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blumgmbh-my.sharepoint.com/personal/richard_sajdl_blum_com/Documents/Dokumenty/A_Plans/EASYPLAN/"/>
    </mc:Choice>
  </mc:AlternateContent>
  <xr:revisionPtr revIDLastSave="381" documentId="8_{D10DDD03-5379-4E8B-8730-C61D0A7F7570}" xr6:coauthVersionLast="47" xr6:coauthVersionMax="47" xr10:uidLastSave="{E16381AE-5745-4EFC-B20B-760A24F20A7E}"/>
  <bookViews>
    <workbookView showSheetTabs="0" xWindow="57480" yWindow="-120" windowWidth="38640" windowHeight="21120" tabRatio="618" xr2:uid="{00000000-000D-0000-FFFF-FFFF00000000}"/>
  </bookViews>
  <sheets>
    <sheet name="Uvod" sheetId="7" r:id="rId1"/>
    <sheet name="AVS" sheetId="8" r:id="rId2"/>
    <sheet name="HF" sheetId="6" r:id="rId3"/>
    <sheet name="HF-A" sheetId="17" r:id="rId4"/>
    <sheet name="HS" sheetId="9" r:id="rId5"/>
    <sheet name="HL" sheetId="10" r:id="rId6"/>
    <sheet name="HK" sheetId="11" r:id="rId7"/>
    <sheet name="HK-S" sheetId="12" r:id="rId8"/>
    <sheet name="HK-XS" sheetId="13" r:id="rId9"/>
    <sheet name="HKi" sheetId="22" r:id="rId10"/>
    <sheet name="BOX" sheetId="5" r:id="rId11"/>
    <sheet name="TBX_B" sheetId="3" r:id="rId12"/>
    <sheet name="TBX_T" sheetId="4" r:id="rId13"/>
    <sheet name="MVX" sheetId="20" r:id="rId14"/>
    <sheet name="LBX" sheetId="2" r:id="rId15"/>
    <sheet name="STR" sheetId="16" r:id="rId16"/>
    <sheet name="ST_TBX" sheetId="14" r:id="rId17"/>
    <sheet name="ST_MVX" sheetId="21" r:id="rId18"/>
    <sheet name="ST_LBX" sheetId="15" r:id="rId19"/>
    <sheet name="List" sheetId="18" state="hidden" r:id="rId20"/>
  </sheets>
  <definedNames>
    <definedName name="_xlnm.Print_Area" localSheetId="1">AVS!$A$1:$E$11</definedName>
    <definedName name="_xlnm.Print_Area" localSheetId="10">BOX!$A$1:$F$21</definedName>
    <definedName name="_xlnm.Print_Area" localSheetId="2">HF!$AC$102:$AT$139</definedName>
    <definedName name="_xlnm.Print_Area" localSheetId="3">'HF-A'!$AC$102:$AT$138</definedName>
    <definedName name="_xlnm.Print_Area" localSheetId="6">HK!$AC$100:$AT$136</definedName>
    <definedName name="_xlnm.Print_Area" localSheetId="9">HKi!$AC$103:$AT$139</definedName>
    <definedName name="_xlnm.Print_Area" localSheetId="7">'HK-S'!$AC$100:$AT$136</definedName>
    <definedName name="_xlnm.Print_Area" localSheetId="8">'HK-XS'!$AC$100:$AT$137</definedName>
    <definedName name="_xlnm.Print_Area" localSheetId="5">HL!$AC$101:$AT$137</definedName>
    <definedName name="_xlnm.Print_Area" localSheetId="4">HS!$AC$100:$AT$136</definedName>
    <definedName name="_xlnm.Print_Area" localSheetId="14">LBX!$AH$160:$BA$199,LBX!$B$81:$AC$108</definedName>
    <definedName name="_xlnm.Print_Area" localSheetId="13">MVX!$AH$171:$BA$209,MVX!$B$81:$AC$107,MVX!$B$110:$AC$135</definedName>
    <definedName name="_xlnm.Print_Area" localSheetId="18">ST_LBX!$AC$110:$AU$149</definedName>
    <definedName name="_xlnm.Print_Area" localSheetId="17">ST_MVX!$AC$110:$AU$149</definedName>
    <definedName name="_xlnm.Print_Area" localSheetId="16">ST_TBX!$AC$110:$AU$149</definedName>
    <definedName name="_xlnm.Print_Area" localSheetId="15">STR!$A$1:$E$17</definedName>
    <definedName name="_xlnm.Print_Area" localSheetId="11">TBX_B!$AH$170:$BA$208,TBX_B!$B$81:$AB$107</definedName>
    <definedName name="_xlnm.Print_Area" localSheetId="12">TBX_T!$AH$171:$BA$209,TBX_T!$B$81:$AC$107,TBX_T!$B$110:$AC$135</definedName>
    <definedName name="_xlnm.Print_Area" localSheetId="0">Uvod!$A$1:$E$19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3" l="1"/>
  <c r="C17" i="12"/>
  <c r="C18" i="6"/>
  <c r="Q37" i="10"/>
  <c r="P37" i="10"/>
  <c r="O37" i="10"/>
  <c r="N37" i="10"/>
  <c r="R37" i="10" s="1"/>
  <c r="T23" i="2"/>
  <c r="S23" i="2" s="1"/>
  <c r="T22" i="2"/>
  <c r="T21" i="2"/>
  <c r="T20" i="2"/>
  <c r="U20" i="2" s="1"/>
  <c r="J9" i="22"/>
  <c r="J8" i="22"/>
  <c r="L10" i="22"/>
  <c r="J10" i="22"/>
  <c r="N35" i="9"/>
  <c r="Z24" i="10" l="1"/>
  <c r="T47" i="10" s="1"/>
  <c r="Z23" i="10"/>
  <c r="T52" i="10" s="1"/>
  <c r="J37" i="10"/>
  <c r="J36" i="10"/>
  <c r="AC121" i="10"/>
  <c r="AC120" i="10"/>
  <c r="W23" i="10"/>
  <c r="AC119" i="10"/>
  <c r="AC118" i="10"/>
  <c r="AG130" i="10"/>
  <c r="N35" i="10"/>
  <c r="AF131" i="9"/>
  <c r="AC126" i="9"/>
  <c r="N37" i="9"/>
  <c r="AC117" i="9"/>
  <c r="AC116" i="9"/>
  <c r="AD113" i="9"/>
  <c r="AE113" i="9"/>
  <c r="AF113" i="9"/>
  <c r="AG113" i="9"/>
  <c r="AH113" i="9"/>
  <c r="AF112" i="9"/>
  <c r="AC113" i="9"/>
  <c r="AC112" i="9"/>
  <c r="C14" i="17"/>
  <c r="T46" i="10" l="1"/>
  <c r="T53" i="10"/>
  <c r="H90" i="17"/>
  <c r="O83" i="17"/>
  <c r="P83" i="17"/>
  <c r="L81" i="17"/>
  <c r="L90" i="17"/>
  <c r="C78" i="17"/>
  <c r="H83" i="17"/>
  <c r="H81" i="17"/>
  <c r="H82" i="17"/>
  <c r="H80" i="17"/>
  <c r="H79" i="17"/>
  <c r="P91" i="17"/>
  <c r="O91" i="17"/>
  <c r="P89" i="17"/>
  <c r="O89" i="17"/>
  <c r="P94" i="17" l="1"/>
  <c r="O94" i="17"/>
  <c r="O96" i="17"/>
  <c r="O87" i="17" s="1"/>
  <c r="P90" i="17"/>
  <c r="R94" i="17"/>
  <c r="L79" i="17"/>
  <c r="F88" i="17"/>
  <c r="H92" i="17"/>
  <c r="O90" i="17"/>
  <c r="H87" i="17" s="1"/>
  <c r="P96" i="17"/>
  <c r="P87" i="17" s="1"/>
  <c r="H93" i="17"/>
  <c r="F87" i="17" l="1"/>
  <c r="S90" i="17" s="1"/>
  <c r="H88" i="17"/>
  <c r="R37" i="17"/>
  <c r="S91" i="17"/>
  <c r="J90" i="17" s="1"/>
  <c r="Q37" i="17" l="1"/>
  <c r="H91" i="17"/>
  <c r="L11" i="17"/>
  <c r="H94" i="17"/>
  <c r="C13" i="17" s="1"/>
  <c r="C12" i="17"/>
  <c r="AC119" i="17" l="1"/>
  <c r="AC120" i="17"/>
  <c r="AC121" i="17"/>
  <c r="AC118" i="17"/>
  <c r="AD116" i="17"/>
  <c r="AE116" i="17"/>
  <c r="AF116" i="17"/>
  <c r="AG116" i="17"/>
  <c r="AH116" i="17"/>
  <c r="AC116" i="17"/>
  <c r="AF115" i="17"/>
  <c r="AC115" i="17"/>
  <c r="AC118" i="6"/>
  <c r="AC119" i="6"/>
  <c r="AC120" i="6"/>
  <c r="AC121" i="6"/>
  <c r="AC122" i="6"/>
  <c r="AC117" i="6"/>
  <c r="AD115" i="6"/>
  <c r="AE115" i="6"/>
  <c r="AF115" i="6"/>
  <c r="AG115" i="6"/>
  <c r="AH115" i="6"/>
  <c r="AC115" i="6"/>
  <c r="AF114" i="6" l="1"/>
  <c r="AC114" i="6"/>
  <c r="AC136" i="11"/>
  <c r="AC122" i="11"/>
  <c r="O35" i="17"/>
  <c r="N35" i="17"/>
  <c r="O35" i="6"/>
  <c r="N35" i="6"/>
  <c r="N36" i="6" s="1"/>
  <c r="J4" i="6"/>
  <c r="L4" i="6"/>
  <c r="AO139" i="22" l="1"/>
  <c r="AM126" i="22"/>
  <c r="AM125" i="22"/>
  <c r="AM123" i="22"/>
  <c r="AM122" i="22"/>
  <c r="AM117" i="22"/>
  <c r="J4" i="12"/>
  <c r="N16" i="22"/>
  <c r="U38" i="22" s="1"/>
  <c r="L4" i="22"/>
  <c r="B27" i="22"/>
  <c r="J7" i="22"/>
  <c r="J6" i="22"/>
  <c r="J4" i="22"/>
  <c r="AS126" i="22"/>
  <c r="AM121" i="22"/>
  <c r="AM120" i="22"/>
  <c r="AM119" i="22"/>
  <c r="AC118" i="22"/>
  <c r="AM116" i="22"/>
  <c r="AM115" i="22"/>
  <c r="AM114" i="22"/>
  <c r="AC111" i="22"/>
  <c r="AC110" i="22"/>
  <c r="AC109" i="22"/>
  <c r="AC108" i="22"/>
  <c r="AJ107" i="22"/>
  <c r="AC107" i="22"/>
  <c r="AJ106" i="22"/>
  <c r="AC106" i="22"/>
  <c r="AJ105" i="22"/>
  <c r="AC105" i="22"/>
  <c r="AJ104" i="22"/>
  <c r="X64" i="22"/>
  <c r="B64" i="22"/>
  <c r="X27" i="22"/>
  <c r="AO103" i="22" s="1"/>
  <c r="Q15" i="22"/>
  <c r="J13" i="22"/>
  <c r="L9" i="22"/>
  <c r="L8" i="22"/>
  <c r="L7" i="22"/>
  <c r="L6" i="22"/>
  <c r="L5" i="22"/>
  <c r="J5" i="22"/>
  <c r="AS183" i="20"/>
  <c r="R52" i="20"/>
  <c r="AS179" i="20"/>
  <c r="AS178" i="20"/>
  <c r="B113" i="20"/>
  <c r="AS173" i="20" s="1"/>
  <c r="O12" i="21"/>
  <c r="L12" i="21" s="1"/>
  <c r="AC146" i="21"/>
  <c r="AC147" i="21"/>
  <c r="AC145" i="21"/>
  <c r="R84" i="21"/>
  <c r="R85" i="21"/>
  <c r="R86" i="21"/>
  <c r="R87" i="21"/>
  <c r="R88" i="21"/>
  <c r="P80" i="21"/>
  <c r="P81" i="21"/>
  <c r="P82" i="21"/>
  <c r="P83" i="21"/>
  <c r="P84" i="21"/>
  <c r="P85" i="21"/>
  <c r="P86" i="21"/>
  <c r="P87" i="21"/>
  <c r="R87" i="14"/>
  <c r="P87" i="14"/>
  <c r="R86" i="14"/>
  <c r="P86" i="14"/>
  <c r="P85" i="14"/>
  <c r="R85" i="14"/>
  <c r="R84" i="14"/>
  <c r="P84" i="14"/>
  <c r="N19" i="21"/>
  <c r="M19" i="21"/>
  <c r="M21" i="21"/>
  <c r="N23" i="21"/>
  <c r="M23" i="21"/>
  <c r="O23" i="21" s="1"/>
  <c r="D62" i="20"/>
  <c r="R55" i="20"/>
  <c r="R54" i="20"/>
  <c r="R53" i="20"/>
  <c r="S49" i="20"/>
  <c r="R49" i="20"/>
  <c r="AC149" i="21"/>
  <c r="AJ143" i="21"/>
  <c r="AC143" i="21"/>
  <c r="AC142" i="21"/>
  <c r="AJ141" i="21"/>
  <c r="AC141" i="21"/>
  <c r="AJ140" i="21"/>
  <c r="AC140" i="21"/>
  <c r="AJ139" i="21"/>
  <c r="AC139" i="21"/>
  <c r="AJ138" i="21"/>
  <c r="AC138" i="21"/>
  <c r="AJ137" i="21"/>
  <c r="AC137" i="21"/>
  <c r="AJ136" i="21"/>
  <c r="AC136" i="21"/>
  <c r="AJ135" i="21"/>
  <c r="AC135" i="21"/>
  <c r="AJ134" i="21"/>
  <c r="AC134" i="21"/>
  <c r="AJ133" i="21"/>
  <c r="AC133" i="21"/>
  <c r="AC132" i="21"/>
  <c r="AC131" i="21"/>
  <c r="AJ130" i="21"/>
  <c r="AC130" i="21"/>
  <c r="AJ129" i="21"/>
  <c r="AI129" i="21"/>
  <c r="AG129" i="21"/>
  <c r="AC129" i="21"/>
  <c r="AE126" i="21"/>
  <c r="AD126" i="21"/>
  <c r="AE125" i="21"/>
  <c r="AD125" i="21"/>
  <c r="AE124" i="21"/>
  <c r="AD124" i="21"/>
  <c r="AE123" i="21"/>
  <c r="AD123" i="21"/>
  <c r="AE122" i="21"/>
  <c r="AD122" i="21"/>
  <c r="AH115" i="21"/>
  <c r="AC115" i="21"/>
  <c r="AH114" i="21"/>
  <c r="AC114" i="21"/>
  <c r="AH113" i="21"/>
  <c r="AC113" i="21"/>
  <c r="AH112" i="21"/>
  <c r="AC112" i="21"/>
  <c r="AH111" i="21"/>
  <c r="AU110" i="21"/>
  <c r="AR110" i="21"/>
  <c r="N94" i="21"/>
  <c r="N93" i="21"/>
  <c r="W88" i="21"/>
  <c r="U88" i="21"/>
  <c r="N88" i="21"/>
  <c r="W87" i="21"/>
  <c r="U87" i="21"/>
  <c r="N87" i="21"/>
  <c r="W86" i="21"/>
  <c r="U86" i="21"/>
  <c r="N86" i="21"/>
  <c r="W85" i="21"/>
  <c r="U85" i="21"/>
  <c r="N85" i="21"/>
  <c r="W84" i="21"/>
  <c r="U84" i="21"/>
  <c r="N84" i="21"/>
  <c r="W83" i="21"/>
  <c r="U83" i="21"/>
  <c r="N83" i="21"/>
  <c r="W82" i="21"/>
  <c r="U82" i="21"/>
  <c r="N82" i="21"/>
  <c r="W81" i="21"/>
  <c r="U81" i="21"/>
  <c r="N81" i="21"/>
  <c r="W80" i="21"/>
  <c r="U80" i="21"/>
  <c r="N80" i="21"/>
  <c r="Z79" i="21"/>
  <c r="Z78" i="21"/>
  <c r="Z38" i="21"/>
  <c r="Z37" i="21"/>
  <c r="V23" i="21"/>
  <c r="V22" i="21" s="1"/>
  <c r="V21" i="21" s="1"/>
  <c r="V20" i="21" s="1"/>
  <c r="U23" i="21"/>
  <c r="S23" i="21"/>
  <c r="P23" i="21"/>
  <c r="P22" i="21"/>
  <c r="O22" i="21"/>
  <c r="P21" i="21"/>
  <c r="O21" i="21"/>
  <c r="Q21" i="21" s="1"/>
  <c r="L21" i="21" s="1"/>
  <c r="P20" i="21"/>
  <c r="Q20" i="21" s="1"/>
  <c r="L20" i="21" s="1"/>
  <c r="O20" i="21"/>
  <c r="O19" i="21"/>
  <c r="T18" i="21"/>
  <c r="U18" i="21" s="1"/>
  <c r="R18" i="21"/>
  <c r="S18" i="21" s="1"/>
  <c r="P18" i="21"/>
  <c r="O18" i="21"/>
  <c r="M12" i="21"/>
  <c r="O11" i="21"/>
  <c r="L11" i="21"/>
  <c r="O10" i="21"/>
  <c r="L10" i="21"/>
  <c r="O9" i="21"/>
  <c r="L9" i="21"/>
  <c r="O8" i="21"/>
  <c r="L8" i="21"/>
  <c r="O7" i="21"/>
  <c r="L7" i="21"/>
  <c r="O6" i="21"/>
  <c r="R28" i="21" s="1"/>
  <c r="Z58" i="21" s="1"/>
  <c r="L6" i="21"/>
  <c r="O5" i="21"/>
  <c r="R26" i="21" s="1"/>
  <c r="Z59" i="21" s="1"/>
  <c r="L5" i="21"/>
  <c r="N12" i="20"/>
  <c r="L12" i="20" s="1"/>
  <c r="AI191" i="20"/>
  <c r="AI190" i="20"/>
  <c r="AI189" i="20"/>
  <c r="AI188" i="20"/>
  <c r="AI187" i="20"/>
  <c r="AQ184" i="20"/>
  <c r="AH181" i="20"/>
  <c r="AS181" i="20"/>
  <c r="AH180" i="20"/>
  <c r="AV180" i="20"/>
  <c r="AS180" i="20"/>
  <c r="AH179" i="20"/>
  <c r="AS177" i="20"/>
  <c r="AH178" i="20"/>
  <c r="AY176" i="20"/>
  <c r="AS176" i="20"/>
  <c r="AH177" i="20"/>
  <c r="AY175" i="20"/>
  <c r="AS175" i="20"/>
  <c r="AH176" i="20"/>
  <c r="AH175" i="20"/>
  <c r="AY174" i="20"/>
  <c r="AS174" i="20"/>
  <c r="AH174" i="20"/>
  <c r="AH173" i="20"/>
  <c r="AY172" i="20"/>
  <c r="AS172" i="20"/>
  <c r="AH172" i="20"/>
  <c r="AY171" i="20"/>
  <c r="AX171" i="20"/>
  <c r="AV171" i="20"/>
  <c r="AS171" i="20"/>
  <c r="AC142" i="20"/>
  <c r="T113" i="20"/>
  <c r="AC110" i="20"/>
  <c r="AC81" i="20"/>
  <c r="S77" i="20"/>
  <c r="S76" i="20"/>
  <c r="S75" i="20"/>
  <c r="S63" i="20"/>
  <c r="Q63" i="20"/>
  <c r="S62" i="20"/>
  <c r="Q62" i="20"/>
  <c r="S61" i="20"/>
  <c r="Q61" i="20"/>
  <c r="S59" i="20"/>
  <c r="Q59" i="20"/>
  <c r="AC41" i="20"/>
  <c r="AP171" i="20" s="1"/>
  <c r="V23" i="20"/>
  <c r="T23" i="20"/>
  <c r="V34" i="20" s="1"/>
  <c r="W34" i="20" s="1"/>
  <c r="L23" i="20"/>
  <c r="B23" i="20"/>
  <c r="AH191" i="20" s="1"/>
  <c r="V22" i="20"/>
  <c r="T22" i="20"/>
  <c r="V33" i="20" s="1"/>
  <c r="W33" i="20" s="1"/>
  <c r="L22" i="20"/>
  <c r="B22" i="20"/>
  <c r="AH190" i="20" s="1"/>
  <c r="V21" i="20"/>
  <c r="T21" i="20"/>
  <c r="V32" i="20" s="1"/>
  <c r="W32" i="20" s="1"/>
  <c r="L21" i="20"/>
  <c r="B21" i="20"/>
  <c r="AH189" i="20" s="1"/>
  <c r="V20" i="20"/>
  <c r="T20" i="20"/>
  <c r="U20" i="20" s="1"/>
  <c r="L20" i="20"/>
  <c r="B20" i="20"/>
  <c r="AH188" i="20" s="1"/>
  <c r="Y19" i="20"/>
  <c r="V19" i="20"/>
  <c r="T19" i="20"/>
  <c r="V30" i="20" s="1"/>
  <c r="W30" i="20" s="1"/>
  <c r="L19" i="20"/>
  <c r="B19" i="20"/>
  <c r="AH187" i="20" s="1"/>
  <c r="N13" i="20"/>
  <c r="L13" i="20"/>
  <c r="L9" i="20"/>
  <c r="L7" i="20"/>
  <c r="L6" i="20"/>
  <c r="L5" i="20"/>
  <c r="N12" i="3"/>
  <c r="N13" i="3"/>
  <c r="AM111" i="11"/>
  <c r="AM111" i="12"/>
  <c r="J5" i="13"/>
  <c r="L5" i="13"/>
  <c r="J14" i="13"/>
  <c r="J13" i="13"/>
  <c r="L14" i="13"/>
  <c r="L13" i="13"/>
  <c r="N14" i="13"/>
  <c r="AC117" i="13"/>
  <c r="AC119" i="13"/>
  <c r="AC120" i="13"/>
  <c r="AC118" i="13"/>
  <c r="AM120" i="13"/>
  <c r="AM121" i="13"/>
  <c r="AM122" i="13"/>
  <c r="AM123" i="13"/>
  <c r="AM124" i="13"/>
  <c r="AS124" i="13"/>
  <c r="AM119" i="13"/>
  <c r="AM118" i="13"/>
  <c r="AM113" i="13"/>
  <c r="AM114" i="13"/>
  <c r="AM115" i="13"/>
  <c r="AM116" i="13"/>
  <c r="AM112" i="13"/>
  <c r="AR111" i="13"/>
  <c r="AP111" i="13"/>
  <c r="AM111" i="13"/>
  <c r="AJ103" i="13"/>
  <c r="AJ104" i="13"/>
  <c r="AJ102" i="13"/>
  <c r="AJ101" i="13"/>
  <c r="AC103" i="13"/>
  <c r="AD103" i="13"/>
  <c r="R30" i="13"/>
  <c r="Q30" i="13"/>
  <c r="P30" i="13"/>
  <c r="O30" i="13"/>
  <c r="R29" i="13"/>
  <c r="Q29" i="13"/>
  <c r="P29" i="13"/>
  <c r="O29" i="13"/>
  <c r="R28" i="13"/>
  <c r="Q28" i="13"/>
  <c r="P28" i="13"/>
  <c r="O28" i="13"/>
  <c r="R23" i="13"/>
  <c r="Q23" i="13"/>
  <c r="P23" i="13"/>
  <c r="O23" i="13"/>
  <c r="R22" i="13"/>
  <c r="Q22" i="13"/>
  <c r="P22" i="13"/>
  <c r="O22" i="13"/>
  <c r="R21" i="13"/>
  <c r="Q21" i="13"/>
  <c r="P21" i="13"/>
  <c r="O21" i="13"/>
  <c r="B71" i="13"/>
  <c r="X71" i="13"/>
  <c r="AS121" i="12"/>
  <c r="AE126" i="15"/>
  <c r="AD126" i="15"/>
  <c r="AE125" i="15"/>
  <c r="AD125" i="15"/>
  <c r="AE124" i="15"/>
  <c r="AD124" i="15"/>
  <c r="AE123" i="15"/>
  <c r="AD123" i="15"/>
  <c r="AE122" i="15"/>
  <c r="AD122" i="15"/>
  <c r="AH115" i="15"/>
  <c r="AC115" i="15"/>
  <c r="AH114" i="15"/>
  <c r="AC114" i="15"/>
  <c r="AH113" i="15"/>
  <c r="AC113" i="15"/>
  <c r="AH112" i="15"/>
  <c r="AC112" i="15"/>
  <c r="AH111" i="15"/>
  <c r="AU110" i="15"/>
  <c r="AR110" i="15"/>
  <c r="AH187" i="2"/>
  <c r="AH183" i="2"/>
  <c r="AH184" i="2"/>
  <c r="AH185" i="2"/>
  <c r="AH186" i="2"/>
  <c r="AH182" i="2"/>
  <c r="AS184" i="4"/>
  <c r="AP170" i="3"/>
  <c r="AP171" i="4"/>
  <c r="AS180" i="4"/>
  <c r="AS181" i="4"/>
  <c r="AS182" i="4"/>
  <c r="AV179" i="4"/>
  <c r="AS179" i="4"/>
  <c r="AS178" i="4"/>
  <c r="AY177" i="4"/>
  <c r="AS177" i="4"/>
  <c r="AY176" i="4"/>
  <c r="AS176" i="4"/>
  <c r="AY175" i="4"/>
  <c r="AS175" i="4"/>
  <c r="AY174" i="4"/>
  <c r="AS174" i="4"/>
  <c r="AY172" i="4"/>
  <c r="AS172" i="4"/>
  <c r="AY171" i="4"/>
  <c r="AX171" i="4"/>
  <c r="AV171" i="4"/>
  <c r="AS171" i="4"/>
  <c r="AI191" i="4"/>
  <c r="AI190" i="4"/>
  <c r="AI189" i="4"/>
  <c r="AI188" i="4"/>
  <c r="AI187" i="4"/>
  <c r="AH181" i="4"/>
  <c r="AH180" i="4"/>
  <c r="AH179" i="4"/>
  <c r="AH178" i="4"/>
  <c r="AH177" i="4"/>
  <c r="AH176" i="4"/>
  <c r="AH175" i="4"/>
  <c r="AH174" i="4"/>
  <c r="AH173" i="4"/>
  <c r="AH172" i="4"/>
  <c r="AP160" i="2"/>
  <c r="AI181" i="2"/>
  <c r="AI180" i="2"/>
  <c r="AI179" i="2"/>
  <c r="AI178" i="2"/>
  <c r="AI177" i="2"/>
  <c r="AH171" i="2"/>
  <c r="AH170" i="2"/>
  <c r="AH169" i="2"/>
  <c r="AH168" i="2"/>
  <c r="AH167" i="2"/>
  <c r="AH166" i="2"/>
  <c r="AH165" i="2"/>
  <c r="AH164" i="2"/>
  <c r="AH163" i="2"/>
  <c r="AH162" i="2"/>
  <c r="AC116" i="13"/>
  <c r="AC115" i="13"/>
  <c r="AC116" i="12"/>
  <c r="AC115" i="12"/>
  <c r="AD104" i="13"/>
  <c r="AD105" i="13"/>
  <c r="AD106" i="13"/>
  <c r="AD107" i="13"/>
  <c r="AD108" i="13"/>
  <c r="AD102" i="13"/>
  <c r="AC108" i="13"/>
  <c r="AC107" i="13"/>
  <c r="AC106" i="13"/>
  <c r="AC105" i="13"/>
  <c r="AC104" i="13"/>
  <c r="AC102" i="13"/>
  <c r="B32" i="13"/>
  <c r="AD108" i="10"/>
  <c r="AC108" i="10"/>
  <c r="AD107" i="10"/>
  <c r="AC107" i="10"/>
  <c r="AD106" i="10"/>
  <c r="AC106" i="10"/>
  <c r="AD105" i="10"/>
  <c r="AC105" i="10"/>
  <c r="AD104" i="10"/>
  <c r="AC104" i="10"/>
  <c r="AD103" i="10"/>
  <c r="AC103" i="10"/>
  <c r="AD103" i="9"/>
  <c r="AD104" i="9"/>
  <c r="AD105" i="9"/>
  <c r="AD106" i="9"/>
  <c r="AD107" i="9"/>
  <c r="AD102" i="9"/>
  <c r="AC107" i="9"/>
  <c r="AC106" i="9"/>
  <c r="AC105" i="9"/>
  <c r="AC104" i="9"/>
  <c r="AC103" i="9"/>
  <c r="AC102" i="9"/>
  <c r="B32" i="9"/>
  <c r="B32" i="17"/>
  <c r="AC111" i="17"/>
  <c r="AC110" i="17"/>
  <c r="AC109" i="17"/>
  <c r="AC108" i="17"/>
  <c r="AC107" i="17"/>
  <c r="AC106" i="17"/>
  <c r="AC105" i="17"/>
  <c r="AC104" i="17"/>
  <c r="AC111" i="4"/>
  <c r="AC110" i="4"/>
  <c r="Z79" i="14"/>
  <c r="Z78" i="14"/>
  <c r="AR110" i="14"/>
  <c r="AU110" i="14"/>
  <c r="AC149" i="14"/>
  <c r="AC148" i="14"/>
  <c r="AC143" i="14"/>
  <c r="AH112" i="14"/>
  <c r="AH113" i="14"/>
  <c r="AH114" i="14"/>
  <c r="AH115" i="14"/>
  <c r="AH111" i="14"/>
  <c r="AJ130" i="14"/>
  <c r="AJ131" i="14"/>
  <c r="AJ132" i="14"/>
  <c r="AJ133" i="14"/>
  <c r="AJ134" i="14"/>
  <c r="AJ135" i="14"/>
  <c r="AJ136" i="14"/>
  <c r="AJ137" i="14"/>
  <c r="AJ138" i="14"/>
  <c r="AJ139" i="14"/>
  <c r="AJ140" i="14"/>
  <c r="AJ141" i="14"/>
  <c r="AJ144" i="14"/>
  <c r="AJ129" i="14"/>
  <c r="AI129" i="14"/>
  <c r="AG129" i="14"/>
  <c r="AC144" i="14"/>
  <c r="AC130" i="14"/>
  <c r="AC131" i="14"/>
  <c r="AC132" i="14"/>
  <c r="AC133" i="14"/>
  <c r="AC134" i="14"/>
  <c r="AC135" i="14"/>
  <c r="AC136" i="14"/>
  <c r="AC137" i="14"/>
  <c r="AC138" i="14"/>
  <c r="AC139" i="14"/>
  <c r="AC140" i="14"/>
  <c r="AC141" i="14"/>
  <c r="AC129" i="14"/>
  <c r="AE123" i="14"/>
  <c r="AE124" i="14"/>
  <c r="AE125" i="14"/>
  <c r="AE126" i="14"/>
  <c r="AE122" i="14"/>
  <c r="AD123" i="14"/>
  <c r="AD124" i="14"/>
  <c r="AD125" i="14"/>
  <c r="AD126" i="14"/>
  <c r="AD122" i="14"/>
  <c r="AC113" i="14"/>
  <c r="AC114" i="14"/>
  <c r="AC115" i="14"/>
  <c r="AC112" i="14"/>
  <c r="AY171" i="3"/>
  <c r="AY173" i="3"/>
  <c r="AY174" i="3"/>
  <c r="AY175" i="3"/>
  <c r="AY176" i="3"/>
  <c r="AY170" i="3"/>
  <c r="AX170" i="3"/>
  <c r="AV170" i="3"/>
  <c r="AS171" i="3"/>
  <c r="AS173" i="3"/>
  <c r="AS174" i="3"/>
  <c r="AS175" i="3"/>
  <c r="AS176" i="3"/>
  <c r="AS177" i="3"/>
  <c r="AS178" i="3"/>
  <c r="AS182" i="3"/>
  <c r="AS170" i="3"/>
  <c r="AI187" i="3"/>
  <c r="AI188" i="3"/>
  <c r="AI189" i="3"/>
  <c r="AI190" i="3"/>
  <c r="AI186" i="3"/>
  <c r="AH172" i="3"/>
  <c r="AH173" i="3"/>
  <c r="AH174" i="3"/>
  <c r="AH175" i="3"/>
  <c r="AH176" i="3"/>
  <c r="AH177" i="3"/>
  <c r="AH178" i="3"/>
  <c r="AH179" i="3"/>
  <c r="AH180" i="3"/>
  <c r="AH171" i="3"/>
  <c r="AS119" i="12"/>
  <c r="AS113" i="12"/>
  <c r="AS112" i="12"/>
  <c r="AR118" i="12"/>
  <c r="AR112" i="12"/>
  <c r="AP112" i="12"/>
  <c r="AP118" i="12"/>
  <c r="AM120" i="12"/>
  <c r="AM121" i="12"/>
  <c r="AM119" i="12"/>
  <c r="AM118" i="12"/>
  <c r="AM114" i="12"/>
  <c r="AM117" i="12"/>
  <c r="AM113" i="12"/>
  <c r="AM112" i="12"/>
  <c r="AC108" i="12"/>
  <c r="AC107" i="12"/>
  <c r="AC106" i="12"/>
  <c r="AC105" i="12"/>
  <c r="AJ104" i="12"/>
  <c r="AC104" i="12"/>
  <c r="AJ103" i="12"/>
  <c r="AC103" i="12"/>
  <c r="AJ102" i="12"/>
  <c r="AC102" i="12"/>
  <c r="AJ101" i="12"/>
  <c r="AO100" i="12"/>
  <c r="AS114" i="11"/>
  <c r="AS118" i="11"/>
  <c r="AS120" i="11"/>
  <c r="AS122" i="11"/>
  <c r="AS112" i="11"/>
  <c r="AR118" i="11"/>
  <c r="AR112" i="11"/>
  <c r="AP118" i="11"/>
  <c r="AP112" i="11"/>
  <c r="AM113" i="11"/>
  <c r="AM114" i="11"/>
  <c r="AM115" i="11"/>
  <c r="AM117" i="11"/>
  <c r="AM118" i="11"/>
  <c r="AM119" i="11"/>
  <c r="AM120" i="11"/>
  <c r="AM121" i="11"/>
  <c r="AM122" i="11"/>
  <c r="AM112" i="11"/>
  <c r="AO100" i="11"/>
  <c r="AJ103" i="11"/>
  <c r="AJ104" i="11"/>
  <c r="AJ102" i="11"/>
  <c r="AJ101" i="11"/>
  <c r="AC103" i="11"/>
  <c r="AC104" i="11"/>
  <c r="AC105" i="11"/>
  <c r="AC106" i="11"/>
  <c r="AC107" i="11"/>
  <c r="AC108" i="11"/>
  <c r="AC102" i="11"/>
  <c r="AS114" i="6"/>
  <c r="AP114" i="6"/>
  <c r="AR114" i="6"/>
  <c r="AM122" i="6"/>
  <c r="AM123" i="6"/>
  <c r="AS117" i="6"/>
  <c r="AM114" i="6"/>
  <c r="AM115" i="6"/>
  <c r="AM116" i="6"/>
  <c r="AM117" i="6"/>
  <c r="AM118" i="6"/>
  <c r="AM119" i="6"/>
  <c r="AM120" i="6"/>
  <c r="AJ103" i="6"/>
  <c r="AC105" i="6"/>
  <c r="AC106" i="6"/>
  <c r="AC107" i="6"/>
  <c r="AC108" i="6"/>
  <c r="AC109" i="6"/>
  <c r="AC110" i="6"/>
  <c r="AC111" i="6"/>
  <c r="AJ104" i="6"/>
  <c r="AJ105" i="6"/>
  <c r="AJ106" i="6"/>
  <c r="AC104" i="6"/>
  <c r="J13" i="11"/>
  <c r="L5" i="12"/>
  <c r="J5" i="12"/>
  <c r="L5" i="11"/>
  <c r="J5" i="11"/>
  <c r="L5" i="6"/>
  <c r="J5" i="6"/>
  <c r="J13" i="12"/>
  <c r="J8" i="12"/>
  <c r="J9" i="12"/>
  <c r="J10" i="12"/>
  <c r="S77" i="4"/>
  <c r="S76" i="4"/>
  <c r="S75" i="4"/>
  <c r="T113" i="4"/>
  <c r="S66" i="4"/>
  <c r="Q66" i="4"/>
  <c r="S62" i="4"/>
  <c r="Q62" i="4"/>
  <c r="S61" i="4"/>
  <c r="Q61" i="4"/>
  <c r="S59" i="4"/>
  <c r="Q59" i="4"/>
  <c r="B113" i="4"/>
  <c r="AS173" i="4" s="1"/>
  <c r="X63" i="12"/>
  <c r="B63" i="12"/>
  <c r="Q15" i="12"/>
  <c r="X26" i="12"/>
  <c r="B26" i="12"/>
  <c r="B59" i="11"/>
  <c r="B70" i="6"/>
  <c r="X59" i="11"/>
  <c r="Q15" i="11"/>
  <c r="X26" i="11"/>
  <c r="B26" i="11"/>
  <c r="X70" i="6"/>
  <c r="M15" i="6"/>
  <c r="M60" i="6" s="1"/>
  <c r="M61" i="6" s="1"/>
  <c r="B32" i="6"/>
  <c r="B113" i="3"/>
  <c r="AS172" i="3" s="1"/>
  <c r="S66" i="3"/>
  <c r="S65" i="3"/>
  <c r="S63" i="3"/>
  <c r="S62" i="3"/>
  <c r="S61" i="3"/>
  <c r="S60" i="3"/>
  <c r="S59" i="3"/>
  <c r="N94" i="14"/>
  <c r="N93" i="14"/>
  <c r="O12" i="14"/>
  <c r="W88" i="14"/>
  <c r="W87" i="14"/>
  <c r="W86" i="14"/>
  <c r="W85" i="14"/>
  <c r="W84" i="14"/>
  <c r="W83" i="14"/>
  <c r="W82" i="14"/>
  <c r="W81" i="14"/>
  <c r="W80" i="14"/>
  <c r="U88" i="14"/>
  <c r="U87" i="14"/>
  <c r="U86" i="14"/>
  <c r="U85" i="14"/>
  <c r="U84" i="14"/>
  <c r="U83" i="14"/>
  <c r="U82" i="14"/>
  <c r="U81" i="14"/>
  <c r="U80" i="14"/>
  <c r="R88" i="14"/>
  <c r="P83" i="14"/>
  <c r="P82" i="14"/>
  <c r="P81" i="14"/>
  <c r="P80" i="14"/>
  <c r="N88" i="14"/>
  <c r="N87" i="14"/>
  <c r="N86" i="14"/>
  <c r="N85" i="14"/>
  <c r="N84" i="14"/>
  <c r="N83" i="14"/>
  <c r="N82" i="14"/>
  <c r="N81" i="14"/>
  <c r="N80" i="14"/>
  <c r="Q66" i="3"/>
  <c r="Q65" i="3"/>
  <c r="Q63" i="3"/>
  <c r="Q62" i="3"/>
  <c r="Q61" i="3"/>
  <c r="Q60" i="3"/>
  <c r="Q59" i="3"/>
  <c r="B32" i="10"/>
  <c r="X32" i="10"/>
  <c r="AO101" i="10" s="1"/>
  <c r="X32" i="9"/>
  <c r="AO100" i="9"/>
  <c r="L5" i="4"/>
  <c r="L5" i="2"/>
  <c r="N12" i="2"/>
  <c r="N12" i="4"/>
  <c r="N14" i="11"/>
  <c r="N15" i="11" s="1"/>
  <c r="N16" i="11"/>
  <c r="L4" i="11"/>
  <c r="J4" i="11"/>
  <c r="Z37" i="15"/>
  <c r="Z36" i="15"/>
  <c r="O12" i="15"/>
  <c r="M12" i="15"/>
  <c r="R51" i="2"/>
  <c r="R52" i="2"/>
  <c r="R53" i="2"/>
  <c r="R50" i="2"/>
  <c r="S47" i="2"/>
  <c r="R47" i="2"/>
  <c r="B41" i="2"/>
  <c r="Z38" i="14"/>
  <c r="Z37" i="14"/>
  <c r="M12" i="14"/>
  <c r="B23" i="2"/>
  <c r="AH181" i="2" s="1"/>
  <c r="B22" i="2"/>
  <c r="AH180" i="2" s="1"/>
  <c r="B21" i="2"/>
  <c r="AH179" i="2" s="1"/>
  <c r="B20" i="2"/>
  <c r="AH178" i="2" s="1"/>
  <c r="B19" i="2"/>
  <c r="AH177" i="2" s="1"/>
  <c r="L23" i="2"/>
  <c r="L22" i="2"/>
  <c r="L21" i="2"/>
  <c r="L20" i="2"/>
  <c r="L19" i="2"/>
  <c r="V23" i="2"/>
  <c r="V22" i="2"/>
  <c r="V21" i="2"/>
  <c r="V20" i="2"/>
  <c r="V19" i="2"/>
  <c r="N13" i="2"/>
  <c r="L13" i="2"/>
  <c r="R55" i="4"/>
  <c r="R54" i="4"/>
  <c r="R53" i="4"/>
  <c r="R52" i="4"/>
  <c r="S49" i="4"/>
  <c r="R49" i="4"/>
  <c r="V23" i="4"/>
  <c r="V22" i="4"/>
  <c r="V21" i="4"/>
  <c r="V20" i="4"/>
  <c r="V19" i="4"/>
  <c r="T23" i="4"/>
  <c r="U23" i="4" s="1"/>
  <c r="T22" i="4"/>
  <c r="S22" i="4" s="1"/>
  <c r="T21" i="4"/>
  <c r="U21" i="4" s="1"/>
  <c r="T20" i="4"/>
  <c r="V31" i="4" s="1"/>
  <c r="W31" i="4" s="1"/>
  <c r="T19" i="4"/>
  <c r="V30" i="4" s="1"/>
  <c r="W30" i="4" s="1"/>
  <c r="L23" i="4"/>
  <c r="B23" i="4"/>
  <c r="AH191" i="4" s="1"/>
  <c r="L22" i="4"/>
  <c r="B22" i="4"/>
  <c r="AH190" i="4" s="1"/>
  <c r="L21" i="4"/>
  <c r="B21" i="4"/>
  <c r="AH189" i="4"/>
  <c r="L20" i="4"/>
  <c r="B20" i="4"/>
  <c r="AH188" i="4" s="1"/>
  <c r="L19" i="4"/>
  <c r="B19" i="4"/>
  <c r="AH187" i="4" s="1"/>
  <c r="N13" i="4"/>
  <c r="L13" i="4"/>
  <c r="L20" i="3"/>
  <c r="L21" i="3"/>
  <c r="L22" i="3"/>
  <c r="L23" i="3"/>
  <c r="L19" i="3"/>
  <c r="V23" i="3"/>
  <c r="V22" i="3"/>
  <c r="V21" i="3"/>
  <c r="V20" i="3"/>
  <c r="V19" i="3"/>
  <c r="B19" i="3"/>
  <c r="AH186" i="3" s="1"/>
  <c r="B20" i="3"/>
  <c r="AH187" i="3" s="1"/>
  <c r="B21" i="3"/>
  <c r="AH188" i="3" s="1"/>
  <c r="B22" i="3"/>
  <c r="AH189" i="3" s="1"/>
  <c r="B23" i="3"/>
  <c r="AH190" i="3" s="1"/>
  <c r="L13" i="3"/>
  <c r="T20" i="3"/>
  <c r="U20" i="3" s="1"/>
  <c r="T21" i="3"/>
  <c r="U21" i="3" s="1"/>
  <c r="T22" i="3"/>
  <c r="U22" i="3" s="1"/>
  <c r="T23" i="3"/>
  <c r="U23" i="3" s="1"/>
  <c r="B41" i="3"/>
  <c r="L5" i="3"/>
  <c r="R51" i="3"/>
  <c r="R52" i="3"/>
  <c r="R53" i="3"/>
  <c r="R50" i="3"/>
  <c r="S47" i="3"/>
  <c r="R47" i="3"/>
  <c r="U22" i="2"/>
  <c r="U21" i="2"/>
  <c r="T19" i="2"/>
  <c r="U19" i="2" s="1"/>
  <c r="T19" i="3"/>
  <c r="S19" i="3" s="1"/>
  <c r="AC112" i="2"/>
  <c r="AC81" i="2"/>
  <c r="AC41" i="2"/>
  <c r="AC143" i="4"/>
  <c r="AC142" i="4"/>
  <c r="AC82" i="4"/>
  <c r="AC81" i="4"/>
  <c r="AC42" i="4"/>
  <c r="AC41" i="4"/>
  <c r="AB142" i="3"/>
  <c r="AB141" i="3"/>
  <c r="AB82" i="3"/>
  <c r="AB81" i="3"/>
  <c r="AB42" i="3"/>
  <c r="AB41" i="3"/>
  <c r="X32" i="13"/>
  <c r="AO100" i="13"/>
  <c r="X32" i="6"/>
  <c r="AO102" i="6" s="1"/>
  <c r="X32" i="17"/>
  <c r="AO102" i="17" s="1"/>
  <c r="L6" i="13"/>
  <c r="J6" i="13"/>
  <c r="J6" i="6"/>
  <c r="L6" i="6"/>
  <c r="L37" i="17"/>
  <c r="L10" i="17"/>
  <c r="J10" i="17"/>
  <c r="L9" i="17"/>
  <c r="J9" i="17"/>
  <c r="L8" i="17"/>
  <c r="J8" i="17"/>
  <c r="L7" i="17"/>
  <c r="J7" i="17"/>
  <c r="L6" i="17"/>
  <c r="J6" i="17"/>
  <c r="L5" i="17"/>
  <c r="J5" i="17"/>
  <c r="L4" i="17"/>
  <c r="J4" i="17"/>
  <c r="L9" i="2"/>
  <c r="L9" i="4"/>
  <c r="L9" i="3"/>
  <c r="B45" i="13"/>
  <c r="N16" i="12"/>
  <c r="N36" i="10"/>
  <c r="L5" i="14"/>
  <c r="T18" i="14"/>
  <c r="U18" i="14" s="1"/>
  <c r="R18" i="14"/>
  <c r="S18" i="14" s="1"/>
  <c r="P18" i="14"/>
  <c r="O18" i="14"/>
  <c r="L5" i="15"/>
  <c r="N19" i="15"/>
  <c r="P19" i="15"/>
  <c r="Q19" i="15"/>
  <c r="L19" i="15"/>
  <c r="N19" i="14"/>
  <c r="P19" i="14"/>
  <c r="Q19" i="14"/>
  <c r="P18" i="15"/>
  <c r="Q18" i="15"/>
  <c r="O18" i="15"/>
  <c r="T18" i="15"/>
  <c r="R18" i="15"/>
  <c r="S18" i="15"/>
  <c r="M19" i="15"/>
  <c r="O19" i="15"/>
  <c r="M19" i="14"/>
  <c r="O19" i="14"/>
  <c r="V23" i="15"/>
  <c r="V22" i="15" s="1"/>
  <c r="V21" i="15" s="1"/>
  <c r="V20" i="15" s="1"/>
  <c r="P20" i="15"/>
  <c r="Q20" i="15"/>
  <c r="L20" i="15"/>
  <c r="P21" i="15"/>
  <c r="Q21" i="15"/>
  <c r="P22" i="15"/>
  <c r="Q22" i="15"/>
  <c r="L22" i="15"/>
  <c r="O20" i="15"/>
  <c r="O22" i="15"/>
  <c r="U23" i="15"/>
  <c r="S23" i="15"/>
  <c r="N23" i="15"/>
  <c r="U14" i="15"/>
  <c r="M23" i="15"/>
  <c r="S14" i="15" s="1"/>
  <c r="O23" i="15"/>
  <c r="O21" i="15"/>
  <c r="O11" i="15"/>
  <c r="L11" i="15"/>
  <c r="O10" i="15"/>
  <c r="L10" i="15"/>
  <c r="O9" i="15"/>
  <c r="L9" i="15"/>
  <c r="O8" i="15"/>
  <c r="L8" i="15"/>
  <c r="O7" i="15"/>
  <c r="L7" i="15"/>
  <c r="O6" i="15"/>
  <c r="L6" i="15"/>
  <c r="O5" i="15"/>
  <c r="R27" i="15" s="1"/>
  <c r="Z54" i="15" s="1"/>
  <c r="AR149" i="15" s="1"/>
  <c r="R26" i="15"/>
  <c r="Z55" i="15"/>
  <c r="AP149" i="15" s="1"/>
  <c r="L6" i="14"/>
  <c r="O6" i="14"/>
  <c r="U23" i="14"/>
  <c r="S23" i="14"/>
  <c r="P21" i="14"/>
  <c r="Q21" i="14"/>
  <c r="L21" i="14" s="1"/>
  <c r="P20" i="14"/>
  <c r="Q20" i="14"/>
  <c r="L20" i="14" s="1"/>
  <c r="P22" i="14"/>
  <c r="Q22" i="14"/>
  <c r="L22" i="14" s="1"/>
  <c r="O20" i="14"/>
  <c r="O22" i="14"/>
  <c r="M21" i="14"/>
  <c r="N23" i="14"/>
  <c r="P23" i="14" s="1"/>
  <c r="Q23" i="14" s="1"/>
  <c r="L23" i="14" s="1"/>
  <c r="M23" i="14"/>
  <c r="O23" i="14" s="1"/>
  <c r="V23" i="14"/>
  <c r="V22" i="14" s="1"/>
  <c r="V21" i="14" s="1"/>
  <c r="V20" i="14" s="1"/>
  <c r="L11" i="14"/>
  <c r="O11" i="14"/>
  <c r="J8" i="13"/>
  <c r="J8" i="6"/>
  <c r="O7" i="14"/>
  <c r="L7" i="14"/>
  <c r="L10" i="14"/>
  <c r="O10" i="14"/>
  <c r="L7" i="13"/>
  <c r="J7" i="13"/>
  <c r="L8" i="13"/>
  <c r="L7" i="6"/>
  <c r="J7" i="6"/>
  <c r="L8" i="14"/>
  <c r="L9" i="14"/>
  <c r="O8" i="14"/>
  <c r="O9" i="14"/>
  <c r="O5" i="14"/>
  <c r="R27" i="14" s="1"/>
  <c r="Z54" i="14" s="1"/>
  <c r="AR149" i="14" s="1"/>
  <c r="R26" i="14"/>
  <c r="Z55" i="14" s="1"/>
  <c r="AP149" i="14" s="1"/>
  <c r="L8" i="6"/>
  <c r="N37" i="13"/>
  <c r="N35" i="13"/>
  <c r="N36" i="13"/>
  <c r="L4" i="13"/>
  <c r="J4" i="13"/>
  <c r="L10" i="13"/>
  <c r="J10" i="13"/>
  <c r="L9" i="13"/>
  <c r="J9" i="13"/>
  <c r="L6" i="12"/>
  <c r="J6" i="12"/>
  <c r="L6" i="11"/>
  <c r="J6" i="11"/>
  <c r="L4" i="12"/>
  <c r="N15" i="12"/>
  <c r="L10" i="12"/>
  <c r="L9" i="12"/>
  <c r="L8" i="12"/>
  <c r="L7" i="12"/>
  <c r="J7" i="12"/>
  <c r="L10" i="11"/>
  <c r="J10" i="11"/>
  <c r="L9" i="11"/>
  <c r="J9" i="11"/>
  <c r="L8" i="11"/>
  <c r="J8" i="11"/>
  <c r="L7" i="11"/>
  <c r="J7" i="11"/>
  <c r="W24" i="10"/>
  <c r="AO137" i="10"/>
  <c r="AI116" i="10"/>
  <c r="AO136" i="10"/>
  <c r="N38" i="10"/>
  <c r="Q38" i="10"/>
  <c r="P38" i="10"/>
  <c r="O38" i="10"/>
  <c r="L4" i="10"/>
  <c r="J4" i="10"/>
  <c r="L9" i="10"/>
  <c r="J9" i="10"/>
  <c r="L8" i="10"/>
  <c r="J8" i="10"/>
  <c r="L7" i="10"/>
  <c r="J7" i="10"/>
  <c r="L6" i="10"/>
  <c r="J6" i="10"/>
  <c r="L5" i="10"/>
  <c r="J5" i="10"/>
  <c r="N36" i="9"/>
  <c r="O36" i="6"/>
  <c r="L4" i="9"/>
  <c r="L7" i="9"/>
  <c r="L8" i="9"/>
  <c r="J7" i="9"/>
  <c r="J8" i="9"/>
  <c r="J4" i="9"/>
  <c r="L9" i="9"/>
  <c r="J9" i="9"/>
  <c r="L6" i="9"/>
  <c r="J6" i="9"/>
  <c r="L5" i="9"/>
  <c r="J5" i="9"/>
  <c r="L37" i="6"/>
  <c r="L11" i="6"/>
  <c r="J11" i="6"/>
  <c r="J10" i="6"/>
  <c r="L10" i="6"/>
  <c r="L9" i="6"/>
  <c r="J9" i="6"/>
  <c r="Y19" i="4"/>
  <c r="L7" i="4"/>
  <c r="L6" i="4"/>
  <c r="Y19" i="3"/>
  <c r="L7" i="3"/>
  <c r="L6" i="3"/>
  <c r="Q23" i="2"/>
  <c r="N23" i="2"/>
  <c r="L7" i="2"/>
  <c r="L6" i="2"/>
  <c r="Y19" i="2"/>
  <c r="O21" i="14"/>
  <c r="L3" i="13"/>
  <c r="L12" i="13"/>
  <c r="O14" i="13"/>
  <c r="Q18" i="14"/>
  <c r="U18" i="15"/>
  <c r="L3" i="12"/>
  <c r="C16" i="12"/>
  <c r="AJ105" i="12"/>
  <c r="U14" i="14"/>
  <c r="S14" i="14"/>
  <c r="S19" i="4"/>
  <c r="U20" i="4"/>
  <c r="S21" i="4"/>
  <c r="V32" i="4"/>
  <c r="W32" i="4" s="1"/>
  <c r="L19" i="14"/>
  <c r="U22" i="4"/>
  <c r="U19" i="4"/>
  <c r="S20" i="4"/>
  <c r="L12" i="3"/>
  <c r="J16" i="13"/>
  <c r="C16" i="13"/>
  <c r="P14" i="13"/>
  <c r="AJ105" i="13"/>
  <c r="Q63" i="4"/>
  <c r="F30" i="12"/>
  <c r="S15" i="12"/>
  <c r="C11" i="12"/>
  <c r="H30" i="12"/>
  <c r="AH114" i="12"/>
  <c r="C30" i="12"/>
  <c r="G30" i="12"/>
  <c r="AG114" i="12"/>
  <c r="D30" i="12"/>
  <c r="E30" i="12"/>
  <c r="F36" i="13"/>
  <c r="E36" i="13"/>
  <c r="D36" i="13"/>
  <c r="C11" i="13"/>
  <c r="C36" i="13"/>
  <c r="G36" i="13"/>
  <c r="AG114" i="13"/>
  <c r="H36" i="13"/>
  <c r="AH114" i="13"/>
  <c r="N5" i="13"/>
  <c r="N6" i="13"/>
  <c r="S27" i="13"/>
  <c r="O56" i="13"/>
  <c r="S20" i="13"/>
  <c r="M21" i="12"/>
  <c r="M42" i="12"/>
  <c r="M22" i="12"/>
  <c r="M23" i="12"/>
  <c r="M29" i="13"/>
  <c r="L28" i="13"/>
  <c r="L22" i="13"/>
  <c r="L30" i="13"/>
  <c r="M22" i="13"/>
  <c r="L23" i="13"/>
  <c r="M30" i="13"/>
  <c r="M23" i="13"/>
  <c r="L21" i="13"/>
  <c r="L29" i="13"/>
  <c r="M28" i="13"/>
  <c r="M21" i="13"/>
  <c r="W16" i="13"/>
  <c r="AN131" i="13"/>
  <c r="AE114" i="13"/>
  <c r="U59" i="13"/>
  <c r="AR137" i="13"/>
  <c r="AD114" i="13"/>
  <c r="C50" i="13"/>
  <c r="AG129" i="13"/>
  <c r="V16" i="13"/>
  <c r="AF114" i="13"/>
  <c r="X13" i="13"/>
  <c r="AO128" i="13"/>
  <c r="AC114" i="13"/>
  <c r="W18" i="13"/>
  <c r="AN133" i="13"/>
  <c r="C55" i="13"/>
  <c r="AG131" i="12"/>
  <c r="AG127" i="12"/>
  <c r="AC128" i="12"/>
  <c r="U48" i="12"/>
  <c r="AR136" i="12"/>
  <c r="AD114" i="12"/>
  <c r="AN131" i="12"/>
  <c r="AN129" i="12"/>
  <c r="AE114" i="12"/>
  <c r="AN134" i="12"/>
  <c r="X13" i="12"/>
  <c r="AQ127" i="12"/>
  <c r="AO126" i="12"/>
  <c r="AC114" i="12"/>
  <c r="U16" i="12"/>
  <c r="AF114" i="12"/>
  <c r="U37" i="12"/>
  <c r="C39" i="12"/>
  <c r="C43" i="12"/>
  <c r="S64" i="4"/>
  <c r="Q67" i="4"/>
  <c r="S67" i="4"/>
  <c r="S63" i="4"/>
  <c r="Q64" i="4"/>
  <c r="N5" i="12"/>
  <c r="F74" i="12"/>
  <c r="AP121" i="12"/>
  <c r="Q67" i="3"/>
  <c r="S67" i="3"/>
  <c r="W16" i="12"/>
  <c r="W18" i="12"/>
  <c r="W21" i="12"/>
  <c r="W21" i="13"/>
  <c r="AN136" i="13"/>
  <c r="U49" i="13"/>
  <c r="AQ129" i="13"/>
  <c r="F85" i="13"/>
  <c r="AP122" i="13"/>
  <c r="F86" i="13"/>
  <c r="AP123" i="13"/>
  <c r="F87" i="13"/>
  <c r="AP124" i="13"/>
  <c r="H87" i="13"/>
  <c r="AR124" i="13"/>
  <c r="O46" i="13"/>
  <c r="O47" i="13"/>
  <c r="O48" i="13"/>
  <c r="H82" i="13"/>
  <c r="F83" i="13"/>
  <c r="AP120" i="13"/>
  <c r="F84" i="13"/>
  <c r="AP121" i="13"/>
  <c r="F78" i="13"/>
  <c r="AP116" i="13"/>
  <c r="F76" i="13"/>
  <c r="AP114" i="13"/>
  <c r="F77" i="13"/>
  <c r="AP115" i="13"/>
  <c r="F75" i="13"/>
  <c r="AP113" i="13"/>
  <c r="O59" i="13"/>
  <c r="H85" i="13"/>
  <c r="M58" i="13"/>
  <c r="H77" i="13"/>
  <c r="M47" i="13"/>
  <c r="M48" i="13"/>
  <c r="M46" i="13"/>
  <c r="AG133" i="13"/>
  <c r="AC129" i="13"/>
  <c r="F73" i="12"/>
  <c r="AP120" i="12"/>
  <c r="H72" i="12"/>
  <c r="AR119" i="12"/>
  <c r="F67" i="12"/>
  <c r="AP114" i="12"/>
  <c r="H66" i="12"/>
  <c r="AR113" i="12"/>
  <c r="H74" i="12"/>
  <c r="AR121" i="12"/>
  <c r="H67" i="12"/>
  <c r="AR114" i="12"/>
  <c r="H73" i="12"/>
  <c r="AR120" i="12"/>
  <c r="F72" i="12"/>
  <c r="AP119" i="12"/>
  <c r="F66" i="12"/>
  <c r="AP113" i="12"/>
  <c r="H74" i="13"/>
  <c r="AR112" i="13"/>
  <c r="O60" i="13"/>
  <c r="AR122" i="13"/>
  <c r="F82" i="13"/>
  <c r="AP119" i="13"/>
  <c r="AR119" i="13"/>
  <c r="M60" i="13"/>
  <c r="H78" i="13"/>
  <c r="AR115" i="13"/>
  <c r="O52" i="13"/>
  <c r="H83" i="13"/>
  <c r="M52" i="13"/>
  <c r="H75" i="13"/>
  <c r="F74" i="13"/>
  <c r="AP112" i="13"/>
  <c r="H86" i="13"/>
  <c r="AR123" i="13"/>
  <c r="AR116" i="13"/>
  <c r="O54" i="13"/>
  <c r="AR120" i="13"/>
  <c r="M54" i="13"/>
  <c r="H76" i="13"/>
  <c r="AR113" i="13"/>
  <c r="H84" i="13"/>
  <c r="AR121" i="13"/>
  <c r="AR114" i="13"/>
  <c r="R21" i="15"/>
  <c r="S21" i="15" s="1"/>
  <c r="P23" i="15"/>
  <c r="Q23" i="15"/>
  <c r="R28" i="15"/>
  <c r="Z53" i="15" s="1"/>
  <c r="L12" i="2"/>
  <c r="L23" i="15"/>
  <c r="R38" i="10" l="1"/>
  <c r="S20" i="2"/>
  <c r="V18" i="3"/>
  <c r="O14" i="3" s="1"/>
  <c r="N3" i="3"/>
  <c r="H118" i="3" s="1"/>
  <c r="AY177" i="3" s="1"/>
  <c r="L3" i="10"/>
  <c r="C36" i="10" s="1"/>
  <c r="U15" i="10" s="1"/>
  <c r="L3" i="9"/>
  <c r="J11" i="17"/>
  <c r="L3" i="11"/>
  <c r="D30" i="11" s="1"/>
  <c r="AG114" i="11" s="1"/>
  <c r="V32" i="3"/>
  <c r="W32" i="3" s="1"/>
  <c r="V31" i="3"/>
  <c r="W31" i="3" s="1"/>
  <c r="S22" i="3"/>
  <c r="V34" i="3"/>
  <c r="W34" i="3" s="1"/>
  <c r="S23" i="3"/>
  <c r="V30" i="3"/>
  <c r="W30" i="3" s="1"/>
  <c r="S20" i="3"/>
  <c r="L3" i="22"/>
  <c r="U19" i="20"/>
  <c r="U21" i="20"/>
  <c r="U22" i="20"/>
  <c r="U23" i="20"/>
  <c r="U23" i="2"/>
  <c r="U14" i="21"/>
  <c r="Q18" i="21"/>
  <c r="Q23" i="21"/>
  <c r="L23" i="21" s="1"/>
  <c r="V19" i="15"/>
  <c r="T21" i="15"/>
  <c r="U21" i="15" s="1"/>
  <c r="L21" i="15"/>
  <c r="O13" i="15"/>
  <c r="S22" i="2"/>
  <c r="V18" i="2"/>
  <c r="O14" i="2" s="1"/>
  <c r="N3" i="2"/>
  <c r="L51" i="2" s="1"/>
  <c r="AZ195" i="2" s="1"/>
  <c r="S19" i="2"/>
  <c r="L3" i="6"/>
  <c r="Z55" i="21"/>
  <c r="AP149" i="21" s="1"/>
  <c r="R27" i="21"/>
  <c r="Z54" i="21" s="1"/>
  <c r="AR149" i="21" s="1"/>
  <c r="O13" i="14"/>
  <c r="S21" i="2"/>
  <c r="V34" i="4"/>
  <c r="W34" i="4" s="1"/>
  <c r="Q34" i="4" s="1"/>
  <c r="S23" i="4"/>
  <c r="S21" i="3"/>
  <c r="U19" i="3"/>
  <c r="V33" i="3"/>
  <c r="W33" i="3" s="1"/>
  <c r="L28" i="3"/>
  <c r="N3" i="4"/>
  <c r="H113" i="4" s="1"/>
  <c r="AY173" i="4" s="1"/>
  <c r="E118" i="4"/>
  <c r="AV178" i="4" s="1"/>
  <c r="Z23" i="4"/>
  <c r="E113" i="4"/>
  <c r="AV173" i="4" s="1"/>
  <c r="T30" i="4"/>
  <c r="L55" i="4"/>
  <c r="AZ207" i="4" s="1"/>
  <c r="L12" i="4"/>
  <c r="C127" i="4"/>
  <c r="G126" i="4"/>
  <c r="V18" i="4"/>
  <c r="O14" i="4" s="1"/>
  <c r="C14" i="4" s="1"/>
  <c r="C15" i="4" s="1"/>
  <c r="N34" i="4"/>
  <c r="R34" i="4"/>
  <c r="V33" i="4"/>
  <c r="W33" i="4" s="1"/>
  <c r="R33" i="4" s="1"/>
  <c r="S34" i="4"/>
  <c r="S30" i="4"/>
  <c r="L49" i="4"/>
  <c r="AZ201" i="4" s="1"/>
  <c r="L52" i="4"/>
  <c r="AZ204" i="4" s="1"/>
  <c r="E112" i="4"/>
  <c r="AV172" i="4" s="1"/>
  <c r="E127" i="4"/>
  <c r="Q32" i="4"/>
  <c r="T32" i="4"/>
  <c r="S32" i="4"/>
  <c r="O32" i="4"/>
  <c r="T31" i="4"/>
  <c r="O31" i="4"/>
  <c r="R31" i="4"/>
  <c r="D127" i="4"/>
  <c r="T34" i="4"/>
  <c r="N32" i="4"/>
  <c r="R30" i="4"/>
  <c r="Q30" i="4"/>
  <c r="E114" i="4"/>
  <c r="AV174" i="4" s="1"/>
  <c r="E117" i="4"/>
  <c r="AV177" i="4" s="1"/>
  <c r="E115" i="4"/>
  <c r="AV175" i="4" s="1"/>
  <c r="E120" i="4"/>
  <c r="AV180" i="4" s="1"/>
  <c r="H122" i="4"/>
  <c r="AY182" i="4" s="1"/>
  <c r="D126" i="4"/>
  <c r="E126" i="4"/>
  <c r="E128" i="4"/>
  <c r="H118" i="4"/>
  <c r="AY178" i="4" s="1"/>
  <c r="E116" i="4"/>
  <c r="AV176" i="4" s="1"/>
  <c r="H121" i="4"/>
  <c r="AY181" i="4" s="1"/>
  <c r="E122" i="4"/>
  <c r="AV182" i="4" s="1"/>
  <c r="B127" i="4"/>
  <c r="B126" i="4"/>
  <c r="C128" i="4"/>
  <c r="S31" i="4"/>
  <c r="N30" i="4"/>
  <c r="B131" i="4"/>
  <c r="AS183" i="4" s="1"/>
  <c r="O34" i="4"/>
  <c r="R32" i="4"/>
  <c r="N31" i="4"/>
  <c r="O30" i="4"/>
  <c r="Q31" i="4"/>
  <c r="L54" i="4"/>
  <c r="AZ206" i="4" s="1"/>
  <c r="L53" i="4"/>
  <c r="AZ205" i="4" s="1"/>
  <c r="E121" i="4"/>
  <c r="AV181" i="4" s="1"/>
  <c r="C126" i="4"/>
  <c r="D128" i="4"/>
  <c r="B128" i="4"/>
  <c r="T21" i="21"/>
  <c r="U21" i="21" s="1"/>
  <c r="V19" i="21"/>
  <c r="T19" i="21" s="1"/>
  <c r="R21" i="21"/>
  <c r="S21" i="21" s="1"/>
  <c r="S19" i="20"/>
  <c r="Q22" i="21"/>
  <c r="L22" i="21" s="1"/>
  <c r="S20" i="20"/>
  <c r="S23" i="20"/>
  <c r="S22" i="20"/>
  <c r="S21" i="20"/>
  <c r="T21" i="14"/>
  <c r="U21" i="14" s="1"/>
  <c r="V19" i="14"/>
  <c r="R21" i="14"/>
  <c r="S21" i="14" s="1"/>
  <c r="S14" i="21"/>
  <c r="P19" i="21"/>
  <c r="Q19" i="21" s="1"/>
  <c r="V18" i="20"/>
  <c r="O14" i="20" s="1"/>
  <c r="N3" i="20"/>
  <c r="L52" i="20" s="1"/>
  <c r="V31" i="20"/>
  <c r="W31" i="20" s="1"/>
  <c r="U46" i="10" l="1"/>
  <c r="U47" i="10"/>
  <c r="D36" i="10"/>
  <c r="AD116" i="10" s="1"/>
  <c r="G36" i="10"/>
  <c r="F36" i="10"/>
  <c r="AF115" i="10" s="1"/>
  <c r="H36" i="10"/>
  <c r="AN133" i="10" s="1"/>
  <c r="E115" i="3"/>
  <c r="AV174" i="3" s="1"/>
  <c r="T115" i="3"/>
  <c r="H113" i="3" s="1"/>
  <c r="AY172" i="3" s="1"/>
  <c r="L52" i="3"/>
  <c r="AZ205" i="3" s="1"/>
  <c r="E113" i="3"/>
  <c r="AV172" i="3" s="1"/>
  <c r="E116" i="3"/>
  <c r="AV175" i="3" s="1"/>
  <c r="T30" i="3"/>
  <c r="Q34" i="3"/>
  <c r="E117" i="3"/>
  <c r="AV176" i="3" s="1"/>
  <c r="R30" i="3"/>
  <c r="E114" i="3"/>
  <c r="AV173" i="3" s="1"/>
  <c r="T33" i="3"/>
  <c r="T34" i="3"/>
  <c r="L50" i="3"/>
  <c r="AZ203" i="3" s="1"/>
  <c r="L53" i="3"/>
  <c r="AZ206" i="3" s="1"/>
  <c r="N30" i="3"/>
  <c r="R31" i="3"/>
  <c r="O31" i="3"/>
  <c r="L51" i="3"/>
  <c r="AZ204" i="3" s="1"/>
  <c r="Q30" i="3"/>
  <c r="N31" i="3"/>
  <c r="E119" i="3"/>
  <c r="AV178" i="3" s="1"/>
  <c r="E112" i="3"/>
  <c r="AV171" i="3" s="1"/>
  <c r="Q31" i="3"/>
  <c r="E118" i="3"/>
  <c r="AV177" i="3" s="1"/>
  <c r="N32" i="3"/>
  <c r="L47" i="3"/>
  <c r="AZ200" i="3" s="1"/>
  <c r="B121" i="3"/>
  <c r="AS180" i="3" s="1"/>
  <c r="C14" i="3"/>
  <c r="N14" i="3" s="1"/>
  <c r="G21" i="3" s="1"/>
  <c r="S34" i="3"/>
  <c r="T31" i="3"/>
  <c r="N34" i="3"/>
  <c r="O34" i="3"/>
  <c r="R34" i="3"/>
  <c r="S31" i="3"/>
  <c r="S30" i="3"/>
  <c r="F36" i="9"/>
  <c r="X14" i="9" s="1"/>
  <c r="C36" i="9"/>
  <c r="C45" i="9" s="1"/>
  <c r="AF128" i="9" s="1"/>
  <c r="E36" i="10"/>
  <c r="AE116" i="10" s="1"/>
  <c r="AC116" i="10"/>
  <c r="G37" i="10"/>
  <c r="AG116" i="10" s="1"/>
  <c r="H37" i="10"/>
  <c r="AH116" i="10" s="1"/>
  <c r="AD115" i="10"/>
  <c r="F37" i="10"/>
  <c r="C47" i="10"/>
  <c r="AG128" i="10" s="1"/>
  <c r="C61" i="10"/>
  <c r="AE115" i="10"/>
  <c r="U52" i="10"/>
  <c r="AP131" i="10" s="1"/>
  <c r="C10" i="10"/>
  <c r="U53" i="10"/>
  <c r="AP132" i="10" s="1"/>
  <c r="AP125" i="10"/>
  <c r="AP126" i="10"/>
  <c r="D36" i="9"/>
  <c r="AD114" i="9" s="1"/>
  <c r="H36" i="9"/>
  <c r="AN129" i="9" s="1"/>
  <c r="C60" i="9"/>
  <c r="E36" i="9"/>
  <c r="AE114" i="9" s="1"/>
  <c r="C10" i="9"/>
  <c r="G36" i="9"/>
  <c r="AG114" i="9" s="1"/>
  <c r="F30" i="11"/>
  <c r="X13" i="11" s="1"/>
  <c r="C11" i="11"/>
  <c r="E30" i="11"/>
  <c r="AH114" i="11" s="1"/>
  <c r="G30" i="11"/>
  <c r="AD114" i="11" s="1"/>
  <c r="S15" i="11"/>
  <c r="M22" i="11" s="1"/>
  <c r="H30" i="11"/>
  <c r="AN131" i="11" s="1"/>
  <c r="C16" i="11"/>
  <c r="AJ105" i="11" s="1"/>
  <c r="C30" i="11"/>
  <c r="O15" i="6"/>
  <c r="C36" i="6"/>
  <c r="AC116" i="6" s="1"/>
  <c r="D36" i="6"/>
  <c r="AD116" i="6" s="1"/>
  <c r="F36" i="6"/>
  <c r="E36" i="6"/>
  <c r="AE116" i="6" s="1"/>
  <c r="O30" i="3"/>
  <c r="Q32" i="3"/>
  <c r="T32" i="3"/>
  <c r="O32" i="3"/>
  <c r="R32" i="3"/>
  <c r="S32" i="3"/>
  <c r="S33" i="3"/>
  <c r="F31" i="22"/>
  <c r="N19" i="22"/>
  <c r="N18" i="22"/>
  <c r="C16" i="22"/>
  <c r="AJ108" i="22" s="1"/>
  <c r="C11" i="22"/>
  <c r="C31" i="22"/>
  <c r="X13" i="22" s="1"/>
  <c r="S15" i="22"/>
  <c r="N5" i="22" s="1"/>
  <c r="T19" i="15"/>
  <c r="U19" i="15" s="1"/>
  <c r="V18" i="15"/>
  <c r="W14" i="15" s="1"/>
  <c r="X14" i="15" s="1"/>
  <c r="L50" i="2"/>
  <c r="AZ194" i="2" s="1"/>
  <c r="L52" i="2"/>
  <c r="AZ196" i="2" s="1"/>
  <c r="L47" i="2"/>
  <c r="AZ191" i="2" s="1"/>
  <c r="L53" i="2"/>
  <c r="AZ197" i="2" s="1"/>
  <c r="Z23" i="2"/>
  <c r="C14" i="2"/>
  <c r="C15" i="2" s="1"/>
  <c r="H36" i="6"/>
  <c r="C17" i="6"/>
  <c r="AJ107" i="6" s="1"/>
  <c r="G36" i="6"/>
  <c r="AG116" i="6" s="1"/>
  <c r="C12" i="6"/>
  <c r="R33" i="3"/>
  <c r="Q33" i="3"/>
  <c r="N33" i="3"/>
  <c r="O33" i="3"/>
  <c r="H118" i="20"/>
  <c r="AY178" i="20" s="1"/>
  <c r="H117" i="20"/>
  <c r="AY177" i="20" s="1"/>
  <c r="S33" i="4"/>
  <c r="G116" i="4" s="1"/>
  <c r="AX176" i="4" s="1"/>
  <c r="T33" i="4"/>
  <c r="G117" i="4" s="1"/>
  <c r="AX177" i="4" s="1"/>
  <c r="O33" i="4"/>
  <c r="G113" i="4" s="1"/>
  <c r="AX173" i="4" s="1"/>
  <c r="G118" i="4"/>
  <c r="AX178" i="4" s="1"/>
  <c r="G115" i="4"/>
  <c r="AX175" i="4" s="1"/>
  <c r="N33" i="4"/>
  <c r="G112" i="4" s="1"/>
  <c r="Q65" i="4"/>
  <c r="S65" i="4"/>
  <c r="Q33" i="4"/>
  <c r="G114" i="4" s="1"/>
  <c r="AX174" i="4" s="1"/>
  <c r="B14" i="4"/>
  <c r="AH182" i="4"/>
  <c r="N14" i="4"/>
  <c r="O13" i="21"/>
  <c r="L19" i="21"/>
  <c r="C128" i="20"/>
  <c r="D127" i="20"/>
  <c r="E117" i="20"/>
  <c r="AV177" i="20" s="1"/>
  <c r="H113" i="20"/>
  <c r="AY173" i="20" s="1"/>
  <c r="G126" i="20"/>
  <c r="B133" i="20"/>
  <c r="C14" i="20"/>
  <c r="AH182" i="20" s="1"/>
  <c r="D128" i="20"/>
  <c r="E118" i="20"/>
  <c r="AV178" i="20" s="1"/>
  <c r="E115" i="20"/>
  <c r="AV175" i="20" s="1"/>
  <c r="D126" i="20"/>
  <c r="E114" i="20"/>
  <c r="AV174" i="20" s="1"/>
  <c r="U19" i="21"/>
  <c r="V18" i="14"/>
  <c r="W14" i="14" s="1"/>
  <c r="X14" i="14" s="1"/>
  <c r="T19" i="14"/>
  <c r="U19" i="14" s="1"/>
  <c r="V18" i="21"/>
  <c r="W14" i="21" s="1"/>
  <c r="X14" i="21" s="1"/>
  <c r="C126" i="20"/>
  <c r="B126" i="20"/>
  <c r="Z23" i="20"/>
  <c r="O32" i="20"/>
  <c r="Q34" i="20"/>
  <c r="L55" i="20"/>
  <c r="AZ207" i="20" s="1"/>
  <c r="O34" i="20"/>
  <c r="N33" i="20"/>
  <c r="T32" i="20"/>
  <c r="Q30" i="20"/>
  <c r="S30" i="20"/>
  <c r="S33" i="20"/>
  <c r="AZ204" i="20"/>
  <c r="T30" i="20"/>
  <c r="E113" i="20"/>
  <c r="AV173" i="20" s="1"/>
  <c r="E127" i="20"/>
  <c r="B128" i="20"/>
  <c r="N32" i="20"/>
  <c r="N34" i="20"/>
  <c r="L54" i="20"/>
  <c r="AZ206" i="20" s="1"/>
  <c r="E116" i="20"/>
  <c r="AV176" i="20" s="1"/>
  <c r="C127" i="20"/>
  <c r="N30" i="20"/>
  <c r="L49" i="20"/>
  <c r="AZ201" i="20" s="1"/>
  <c r="O30" i="20"/>
  <c r="T34" i="20"/>
  <c r="E126" i="20"/>
  <c r="L53" i="20"/>
  <c r="AZ205" i="20" s="1"/>
  <c r="E112" i="20"/>
  <c r="AV172" i="20" s="1"/>
  <c r="B127" i="20"/>
  <c r="Q31" i="20"/>
  <c r="O33" i="20"/>
  <c r="Q32" i="20"/>
  <c r="E122" i="20"/>
  <c r="AV181" i="20" s="1"/>
  <c r="T31" i="20"/>
  <c r="T33" i="20"/>
  <c r="Q33" i="20"/>
  <c r="E128" i="20"/>
  <c r="S32" i="20"/>
  <c r="S34" i="20"/>
  <c r="N31" i="20"/>
  <c r="O31" i="20"/>
  <c r="S31" i="20"/>
  <c r="C17" i="22" l="1"/>
  <c r="G85" i="22"/>
  <c r="H85" i="22"/>
  <c r="M21" i="11"/>
  <c r="N5" i="11"/>
  <c r="H63" i="11" s="1"/>
  <c r="AR114" i="11" s="1"/>
  <c r="M24" i="11"/>
  <c r="M23" i="11"/>
  <c r="AR136" i="11"/>
  <c r="U49" i="11"/>
  <c r="AE114" i="11"/>
  <c r="AN129" i="11"/>
  <c r="W18" i="11"/>
  <c r="W21" i="11"/>
  <c r="G117" i="3"/>
  <c r="AX176" i="3" s="1"/>
  <c r="B14" i="3"/>
  <c r="Q64" i="3"/>
  <c r="E20" i="3"/>
  <c r="AK187" i="3" s="1"/>
  <c r="E22" i="3"/>
  <c r="AK189" i="3" s="1"/>
  <c r="G113" i="3"/>
  <c r="AX172" i="3" s="1"/>
  <c r="F23" i="3"/>
  <c r="AJ208" i="3" s="1"/>
  <c r="J23" i="3"/>
  <c r="AP190" i="3" s="1"/>
  <c r="J21" i="3"/>
  <c r="AP188" i="3" s="1"/>
  <c r="D21" i="3"/>
  <c r="AJ188" i="3" s="1"/>
  <c r="J19" i="3"/>
  <c r="AP186" i="3" s="1"/>
  <c r="W15" i="10"/>
  <c r="AN131" i="9"/>
  <c r="AP127" i="9"/>
  <c r="AN134" i="9"/>
  <c r="W17" i="9"/>
  <c r="U45" i="9"/>
  <c r="AN126" i="9"/>
  <c r="W22" i="9"/>
  <c r="G115" i="3"/>
  <c r="AX174" i="3" s="1"/>
  <c r="G116" i="3"/>
  <c r="AX175" i="3" s="1"/>
  <c r="S64" i="3"/>
  <c r="I21" i="3"/>
  <c r="W21" i="3" s="1"/>
  <c r="F22" i="3"/>
  <c r="AS206" i="3" s="1"/>
  <c r="D20" i="3"/>
  <c r="AJ187" i="3" s="1"/>
  <c r="D19" i="3"/>
  <c r="AJ186" i="3" s="1"/>
  <c r="G22" i="3"/>
  <c r="J77" i="3" s="1"/>
  <c r="F21" i="3"/>
  <c r="AL188" i="3" s="1"/>
  <c r="J20" i="3"/>
  <c r="AP187" i="3" s="1"/>
  <c r="F20" i="3"/>
  <c r="AL187" i="3" s="1"/>
  <c r="I23" i="3"/>
  <c r="AX193" i="3" s="1"/>
  <c r="J22" i="3"/>
  <c r="AP189" i="3" s="1"/>
  <c r="I22" i="3"/>
  <c r="AO189" i="3" s="1"/>
  <c r="AH181" i="3"/>
  <c r="E19" i="3"/>
  <c r="AK186" i="3" s="1"/>
  <c r="E23" i="3"/>
  <c r="AK190" i="3" s="1"/>
  <c r="E21" i="3"/>
  <c r="AK188" i="3" s="1"/>
  <c r="D22" i="3"/>
  <c r="AJ189" i="3" s="1"/>
  <c r="I19" i="3"/>
  <c r="AX185" i="3" s="1"/>
  <c r="G19" i="3"/>
  <c r="AM186" i="3" s="1"/>
  <c r="F19" i="3"/>
  <c r="AL186" i="3" s="1"/>
  <c r="G112" i="3"/>
  <c r="AX171" i="3" s="1"/>
  <c r="G118" i="3"/>
  <c r="AX177" i="3" s="1"/>
  <c r="D23" i="3"/>
  <c r="AJ190" i="3" s="1"/>
  <c r="I20" i="3"/>
  <c r="W20" i="3" s="1"/>
  <c r="C15" i="3"/>
  <c r="G23" i="3"/>
  <c r="AC22" i="3" s="1"/>
  <c r="G20" i="3"/>
  <c r="AM187" i="3" s="1"/>
  <c r="G114" i="3"/>
  <c r="AX173" i="3" s="1"/>
  <c r="AF114" i="11"/>
  <c r="H39" i="11"/>
  <c r="AI126" i="11"/>
  <c r="W19" i="9"/>
  <c r="AH114" i="9"/>
  <c r="AC114" i="9"/>
  <c r="AC125" i="9"/>
  <c r="AF114" i="9"/>
  <c r="U51" i="9"/>
  <c r="AP133" i="9" s="1"/>
  <c r="W20" i="6"/>
  <c r="AH116" i="6"/>
  <c r="X16" i="6"/>
  <c r="AF116" i="6"/>
  <c r="J72" i="6"/>
  <c r="AS115" i="6"/>
  <c r="X24" i="10"/>
  <c r="AN137" i="10" s="1"/>
  <c r="AF116" i="10"/>
  <c r="AN131" i="10"/>
  <c r="AC115" i="10"/>
  <c r="U57" i="10"/>
  <c r="AQ134" i="10"/>
  <c r="X23" i="10"/>
  <c r="AN136" i="10" s="1"/>
  <c r="AG115" i="10"/>
  <c r="W18" i="10"/>
  <c r="AH115" i="10"/>
  <c r="W20" i="10"/>
  <c r="AN128" i="10"/>
  <c r="AQ135" i="9"/>
  <c r="U55" i="9"/>
  <c r="U15" i="9"/>
  <c r="U16" i="9" s="1"/>
  <c r="M22" i="6"/>
  <c r="J17" i="6"/>
  <c r="N5" i="6"/>
  <c r="H76" i="6" s="1"/>
  <c r="AR119" i="6" s="1"/>
  <c r="W16" i="11"/>
  <c r="AN134" i="11"/>
  <c r="U38" i="11"/>
  <c r="AC114" i="11"/>
  <c r="AO126" i="11"/>
  <c r="AQ127" i="11"/>
  <c r="M21" i="6"/>
  <c r="AQ130" i="22"/>
  <c r="AC117" i="22"/>
  <c r="AO129" i="22"/>
  <c r="M24" i="22"/>
  <c r="M25" i="22"/>
  <c r="W21" i="22"/>
  <c r="W18" i="22"/>
  <c r="AN134" i="22" s="1"/>
  <c r="W16" i="22"/>
  <c r="AN132" i="22" s="1"/>
  <c r="U50" i="22"/>
  <c r="E31" i="22"/>
  <c r="D31" i="22"/>
  <c r="U51" i="22"/>
  <c r="H31" i="22"/>
  <c r="AH117" i="22" s="1"/>
  <c r="G31" i="22"/>
  <c r="AG117" i="22" s="1"/>
  <c r="AF117" i="22"/>
  <c r="M22" i="22"/>
  <c r="M23" i="22"/>
  <c r="O4" i="15"/>
  <c r="L4" i="15"/>
  <c r="O14" i="15"/>
  <c r="C28" i="15" s="1"/>
  <c r="Q65" i="20"/>
  <c r="S65" i="20"/>
  <c r="W18" i="6"/>
  <c r="U17" i="6"/>
  <c r="U18" i="6" s="1"/>
  <c r="C49" i="6"/>
  <c r="AF130" i="6" s="1"/>
  <c r="AN137" i="6"/>
  <c r="N14" i="2"/>
  <c r="J22" i="2" s="1"/>
  <c r="AP180" i="2" s="1"/>
  <c r="B14" i="2"/>
  <c r="AH172" i="2"/>
  <c r="AN132" i="6"/>
  <c r="W23" i="6"/>
  <c r="AN134" i="6"/>
  <c r="AC128" i="6"/>
  <c r="AC129" i="6" s="1"/>
  <c r="U59" i="6"/>
  <c r="AQ139" i="6" s="1"/>
  <c r="AO129" i="6"/>
  <c r="U53" i="6"/>
  <c r="AP133" i="6" s="1"/>
  <c r="F69" i="11"/>
  <c r="AP120" i="11" s="1"/>
  <c r="H70" i="11"/>
  <c r="AR121" i="11" s="1"/>
  <c r="H21" i="3"/>
  <c r="AN188" i="3" s="1"/>
  <c r="AM188" i="3"/>
  <c r="G120" i="4"/>
  <c r="AX180" i="4" s="1"/>
  <c r="G122" i="4"/>
  <c r="AX182" i="4" s="1"/>
  <c r="Q60" i="4"/>
  <c r="S60" i="4"/>
  <c r="G121" i="4"/>
  <c r="AX181" i="4" s="1"/>
  <c r="G119" i="4"/>
  <c r="AX179" i="4" s="1"/>
  <c r="AX172" i="4"/>
  <c r="E23" i="4"/>
  <c r="AK191" i="4" s="1"/>
  <c r="I23" i="4"/>
  <c r="D21" i="4"/>
  <c r="AJ189" i="4" s="1"/>
  <c r="F22" i="4"/>
  <c r="F21" i="4"/>
  <c r="AL189" i="4" s="1"/>
  <c r="E20" i="4"/>
  <c r="AK188" i="4" s="1"/>
  <c r="I20" i="4"/>
  <c r="E19" i="4"/>
  <c r="AK187" i="4" s="1"/>
  <c r="D22" i="4"/>
  <c r="AJ190" i="4" s="1"/>
  <c r="J23" i="4"/>
  <c r="AP191" i="4" s="1"/>
  <c r="F20" i="4"/>
  <c r="AL188" i="4" s="1"/>
  <c r="G20" i="4"/>
  <c r="F19" i="4"/>
  <c r="AL187" i="4" s="1"/>
  <c r="I21" i="4"/>
  <c r="D20" i="4"/>
  <c r="AJ188" i="4" s="1"/>
  <c r="G22" i="4"/>
  <c r="I19" i="4"/>
  <c r="E21" i="4"/>
  <c r="AK189" i="4" s="1"/>
  <c r="E22" i="4"/>
  <c r="AK190" i="4" s="1"/>
  <c r="J22" i="4"/>
  <c r="AP190" i="4" s="1"/>
  <c r="D19" i="4"/>
  <c r="AJ187" i="4" s="1"/>
  <c r="D23" i="4"/>
  <c r="AJ191" i="4" s="1"/>
  <c r="I22" i="4"/>
  <c r="G19" i="4"/>
  <c r="G23" i="4"/>
  <c r="G21" i="4"/>
  <c r="J20" i="4"/>
  <c r="AP188" i="4" s="1"/>
  <c r="F23" i="4"/>
  <c r="J19" i="4"/>
  <c r="AP187" i="4" s="1"/>
  <c r="J21" i="4"/>
  <c r="AP189" i="4" s="1"/>
  <c r="G118" i="20"/>
  <c r="AX178" i="20" s="1"/>
  <c r="B14" i="20"/>
  <c r="G112" i="20"/>
  <c r="S60" i="20"/>
  <c r="G113" i="20"/>
  <c r="AX173" i="20" s="1"/>
  <c r="Q60" i="20"/>
  <c r="O4" i="14"/>
  <c r="L4" i="14"/>
  <c r="O14" i="14"/>
  <c r="C28" i="14" s="1"/>
  <c r="O4" i="21"/>
  <c r="O14" i="21"/>
  <c r="C28" i="21" s="1"/>
  <c r="L4" i="21"/>
  <c r="G117" i="20"/>
  <c r="AX177" i="20" s="1"/>
  <c r="G116" i="20"/>
  <c r="AX176" i="20" s="1"/>
  <c r="G114" i="20"/>
  <c r="AX174" i="20" s="1"/>
  <c r="G115" i="20"/>
  <c r="AX175" i="20" s="1"/>
  <c r="N14" i="20"/>
  <c r="F20" i="20" s="1"/>
  <c r="AL188" i="20" s="1"/>
  <c r="C15" i="20"/>
  <c r="S64" i="20"/>
  <c r="Q66" i="20"/>
  <c r="Q64" i="20"/>
  <c r="S66" i="20"/>
  <c r="Q67" i="20"/>
  <c r="S67" i="20"/>
  <c r="F70" i="11" l="1"/>
  <c r="AP121" i="11" s="1"/>
  <c r="H69" i="11"/>
  <c r="AR120" i="11" s="1"/>
  <c r="F71" i="11"/>
  <c r="AP122" i="11" s="1"/>
  <c r="H64" i="11"/>
  <c r="AR115" i="11" s="1"/>
  <c r="H71" i="11"/>
  <c r="AR122" i="11" s="1"/>
  <c r="F64" i="11"/>
  <c r="AP115" i="11" s="1"/>
  <c r="C17" i="11"/>
  <c r="F63" i="11"/>
  <c r="AP114" i="11" s="1"/>
  <c r="H68" i="11"/>
  <c r="AR119" i="11" s="1"/>
  <c r="F62" i="11"/>
  <c r="AP113" i="11" s="1"/>
  <c r="F68" i="11"/>
  <c r="AP119" i="11" s="1"/>
  <c r="H62" i="11"/>
  <c r="AR113" i="11" s="1"/>
  <c r="AC126" i="10"/>
  <c r="U16" i="10"/>
  <c r="AC127" i="10" s="1"/>
  <c r="AT208" i="3"/>
  <c r="AL190" i="3"/>
  <c r="C74" i="3"/>
  <c r="C99" i="3" s="1"/>
  <c r="AM189" i="3"/>
  <c r="AL206" i="3"/>
  <c r="AD24" i="3"/>
  <c r="G119" i="3"/>
  <c r="AX178" i="3" s="1"/>
  <c r="B55" i="3"/>
  <c r="W22" i="3"/>
  <c r="Z21" i="3"/>
  <c r="AU190" i="3"/>
  <c r="B52" i="3"/>
  <c r="AX189" i="3"/>
  <c r="AO188" i="3"/>
  <c r="AX187" i="3"/>
  <c r="Z20" i="3"/>
  <c r="N77" i="3"/>
  <c r="AO187" i="3"/>
  <c r="B49" i="3"/>
  <c r="H22" i="3"/>
  <c r="K77" i="3" s="1"/>
  <c r="AU188" i="3"/>
  <c r="AX191" i="3"/>
  <c r="Z22" i="3"/>
  <c r="AU192" i="3"/>
  <c r="Z23" i="3"/>
  <c r="AJ207" i="3"/>
  <c r="AL189" i="3"/>
  <c r="AU194" i="3"/>
  <c r="B59" i="3"/>
  <c r="AO186" i="3"/>
  <c r="AO190" i="3"/>
  <c r="W23" i="3"/>
  <c r="AD23" i="3"/>
  <c r="H19" i="3"/>
  <c r="AN186" i="3" s="1"/>
  <c r="I74" i="3"/>
  <c r="I99" i="3" s="1"/>
  <c r="AC21" i="3"/>
  <c r="AM190" i="3"/>
  <c r="AI202" i="3"/>
  <c r="AV208" i="3"/>
  <c r="AP208" i="3"/>
  <c r="Z19" i="3"/>
  <c r="AA77" i="3"/>
  <c r="G77" i="3"/>
  <c r="H23" i="3"/>
  <c r="C77" i="3" s="1"/>
  <c r="B46" i="3"/>
  <c r="AI204" i="3"/>
  <c r="AC19" i="3"/>
  <c r="W19" i="3"/>
  <c r="AI199" i="3"/>
  <c r="AU186" i="3"/>
  <c r="H20" i="3"/>
  <c r="AN187" i="3" s="1"/>
  <c r="F79" i="22"/>
  <c r="AP126" i="22" s="1"/>
  <c r="H79" i="22"/>
  <c r="AR126" i="22" s="1"/>
  <c r="AN137" i="22"/>
  <c r="AR139" i="22"/>
  <c r="G72" i="6"/>
  <c r="F72" i="6"/>
  <c r="L3" i="17"/>
  <c r="F36" i="17" s="1"/>
  <c r="H75" i="22"/>
  <c r="AR122" i="22" s="1"/>
  <c r="H74" i="22"/>
  <c r="AR121" i="22" s="1"/>
  <c r="F75" i="22"/>
  <c r="AP122" i="22" s="1"/>
  <c r="F74" i="22"/>
  <c r="AP121" i="22" s="1"/>
  <c r="F69" i="22"/>
  <c r="AP117" i="22" s="1"/>
  <c r="H69" i="22"/>
  <c r="AR117" i="22" s="1"/>
  <c r="H68" i="22"/>
  <c r="AR116" i="22" s="1"/>
  <c r="F68" i="22"/>
  <c r="AP116" i="22" s="1"/>
  <c r="AE117" i="22"/>
  <c r="F67" i="22"/>
  <c r="AP115" i="22" s="1"/>
  <c r="F73" i="22"/>
  <c r="AP120" i="22" s="1"/>
  <c r="AD117" i="22"/>
  <c r="H67" i="22"/>
  <c r="AR115" i="22" s="1"/>
  <c r="F76" i="22"/>
  <c r="AP123" i="22" s="1"/>
  <c r="H73" i="22"/>
  <c r="AR120" i="22" s="1"/>
  <c r="H76" i="22"/>
  <c r="AR123" i="22" s="1"/>
  <c r="D19" i="2"/>
  <c r="AJ177" i="2" s="1"/>
  <c r="D20" i="2"/>
  <c r="AJ178" i="2" s="1"/>
  <c r="O3" i="15"/>
  <c r="D13" i="15"/>
  <c r="I19" i="20"/>
  <c r="AO187" i="20" s="1"/>
  <c r="J20" i="2"/>
  <c r="AP178" i="2" s="1"/>
  <c r="G21" i="2"/>
  <c r="H21" i="2" s="1"/>
  <c r="AN179" i="2" s="1"/>
  <c r="I20" i="2"/>
  <c r="Z20" i="2" s="1"/>
  <c r="J19" i="2"/>
  <c r="AP177" i="2" s="1"/>
  <c r="E19" i="2"/>
  <c r="AK177" i="2" s="1"/>
  <c r="I19" i="2"/>
  <c r="AO177" i="2" s="1"/>
  <c r="G20" i="2"/>
  <c r="AM178" i="2" s="1"/>
  <c r="F19" i="2"/>
  <c r="AL177" i="2" s="1"/>
  <c r="F22" i="2"/>
  <c r="AS197" i="2" s="1"/>
  <c r="F21" i="2"/>
  <c r="AL179" i="2" s="1"/>
  <c r="G23" i="2"/>
  <c r="AI190" i="2" s="1"/>
  <c r="E21" i="2"/>
  <c r="AK179" i="2" s="1"/>
  <c r="I21" i="2"/>
  <c r="Z21" i="2" s="1"/>
  <c r="AP115" i="6"/>
  <c r="G22" i="2"/>
  <c r="AT199" i="2" s="1"/>
  <c r="E23" i="2"/>
  <c r="AK181" i="2" s="1"/>
  <c r="F23" i="2"/>
  <c r="AL181" i="2" s="1"/>
  <c r="D21" i="2"/>
  <c r="AJ179" i="2" s="1"/>
  <c r="J21" i="2"/>
  <c r="AP179" i="2" s="1"/>
  <c r="I23" i="2"/>
  <c r="W23" i="2" s="1"/>
  <c r="J23" i="2"/>
  <c r="AP181" i="2" s="1"/>
  <c r="F20" i="2"/>
  <c r="AL178" i="2" s="1"/>
  <c r="E20" i="2"/>
  <c r="AK178" i="2" s="1"/>
  <c r="E22" i="2"/>
  <c r="AK180" i="2" s="1"/>
  <c r="D23" i="2"/>
  <c r="AJ181" i="2" s="1"/>
  <c r="G19" i="2"/>
  <c r="AM177" i="2" s="1"/>
  <c r="D22" i="2"/>
  <c r="AJ180" i="2" s="1"/>
  <c r="I22" i="2"/>
  <c r="AO180" i="2" s="1"/>
  <c r="F77" i="6"/>
  <c r="AP120" i="6" s="1"/>
  <c r="H75" i="6"/>
  <c r="AR118" i="6" s="1"/>
  <c r="F74" i="6"/>
  <c r="AP117" i="6" s="1"/>
  <c r="N24" i="6"/>
  <c r="F75" i="6"/>
  <c r="AP118" i="6" s="1"/>
  <c r="F76" i="6"/>
  <c r="AP119" i="6" s="1"/>
  <c r="H72" i="6"/>
  <c r="AR115" i="6" s="1"/>
  <c r="M59" i="6"/>
  <c r="H74" i="6" s="1"/>
  <c r="AR117" i="6" s="1"/>
  <c r="AL191" i="4"/>
  <c r="C99" i="4"/>
  <c r="AJ209" i="4"/>
  <c r="AL207" i="4"/>
  <c r="C74" i="4"/>
  <c r="AD24" i="4"/>
  <c r="H19" i="4"/>
  <c r="AN187" i="4" s="1"/>
  <c r="AM187" i="4"/>
  <c r="AT209" i="4"/>
  <c r="AM190" i="4"/>
  <c r="H22" i="4"/>
  <c r="AB77" i="4"/>
  <c r="H20" i="4"/>
  <c r="AN188" i="4" s="1"/>
  <c r="AM188" i="4"/>
  <c r="J74" i="4"/>
  <c r="J99" i="4" s="1"/>
  <c r="AJ208" i="4"/>
  <c r="AS207" i="4"/>
  <c r="AD23" i="4"/>
  <c r="AL190" i="4"/>
  <c r="AU193" i="4"/>
  <c r="AX192" i="4"/>
  <c r="W22" i="4"/>
  <c r="Z22" i="4"/>
  <c r="B55" i="4"/>
  <c r="AO190" i="4"/>
  <c r="AX188" i="4"/>
  <c r="AU189" i="4"/>
  <c r="B49" i="4"/>
  <c r="AO188" i="4"/>
  <c r="W20" i="4"/>
  <c r="Z20" i="4"/>
  <c r="AU195" i="4"/>
  <c r="AO191" i="4"/>
  <c r="W23" i="4"/>
  <c r="AX194" i="4"/>
  <c r="B59" i="4"/>
  <c r="H21" i="4"/>
  <c r="AN189" i="4" s="1"/>
  <c r="AM189" i="4"/>
  <c r="W21" i="4"/>
  <c r="B52" i="4"/>
  <c r="AO189" i="4"/>
  <c r="AX190" i="4"/>
  <c r="AU191" i="4"/>
  <c r="Z21" i="4"/>
  <c r="AP209" i="4"/>
  <c r="AM191" i="4"/>
  <c r="AC21" i="4"/>
  <c r="AI205" i="4"/>
  <c r="AI200" i="4"/>
  <c r="G77" i="4"/>
  <c r="AC19" i="4"/>
  <c r="AI203" i="4"/>
  <c r="AV209" i="4"/>
  <c r="H23" i="4"/>
  <c r="AC22" i="4"/>
  <c r="Z19" i="4"/>
  <c r="AU187" i="4"/>
  <c r="W19" i="4"/>
  <c r="AO187" i="4"/>
  <c r="B46" i="4"/>
  <c r="AX186" i="4"/>
  <c r="J23" i="20"/>
  <c r="AP191" i="20" s="1"/>
  <c r="G23" i="20"/>
  <c r="H23" i="20" s="1"/>
  <c r="F21" i="20"/>
  <c r="AL189" i="20" s="1"/>
  <c r="G121" i="20"/>
  <c r="AX180" i="20" s="1"/>
  <c r="G122" i="20"/>
  <c r="AX181" i="20" s="1"/>
  <c r="I21" i="20"/>
  <c r="B52" i="20" s="1"/>
  <c r="D21" i="20"/>
  <c r="AJ189" i="20" s="1"/>
  <c r="F19" i="20"/>
  <c r="AL187" i="20" s="1"/>
  <c r="D19" i="20"/>
  <c r="AJ187" i="20" s="1"/>
  <c r="AX172" i="20"/>
  <c r="E19" i="20"/>
  <c r="AK187" i="20" s="1"/>
  <c r="G20" i="20"/>
  <c r="H20" i="20" s="1"/>
  <c r="AN188" i="20" s="1"/>
  <c r="D13" i="14"/>
  <c r="O3" i="14"/>
  <c r="O3" i="21"/>
  <c r="D13" i="21"/>
  <c r="E22" i="20"/>
  <c r="AK190" i="20" s="1"/>
  <c r="F23" i="20"/>
  <c r="J19" i="20"/>
  <c r="AP187" i="20" s="1"/>
  <c r="D23" i="20"/>
  <c r="AJ191" i="20" s="1"/>
  <c r="I22" i="20"/>
  <c r="AU193" i="20" s="1"/>
  <c r="E21" i="20"/>
  <c r="AK189" i="20" s="1"/>
  <c r="D22" i="20"/>
  <c r="AJ190" i="20" s="1"/>
  <c r="J21" i="20"/>
  <c r="AP189" i="20" s="1"/>
  <c r="F22" i="20"/>
  <c r="AL190" i="20" s="1"/>
  <c r="I20" i="20"/>
  <c r="B49" i="20" s="1"/>
  <c r="E23" i="20"/>
  <c r="AK191" i="20" s="1"/>
  <c r="J20" i="20"/>
  <c r="AP188" i="20" s="1"/>
  <c r="I23" i="20"/>
  <c r="AU195" i="20" s="1"/>
  <c r="G21" i="20"/>
  <c r="AM189" i="20" s="1"/>
  <c r="G19" i="20"/>
  <c r="H19" i="20" s="1"/>
  <c r="AN187" i="20" s="1"/>
  <c r="E20" i="20"/>
  <c r="AK188" i="20" s="1"/>
  <c r="J22" i="20"/>
  <c r="AP190" i="20" s="1"/>
  <c r="G22" i="20"/>
  <c r="AM190" i="20" s="1"/>
  <c r="D20" i="20"/>
  <c r="AJ188" i="20" s="1"/>
  <c r="AJ198" i="2" l="1"/>
  <c r="J76" i="2"/>
  <c r="J99" i="2" s="1"/>
  <c r="AL180" i="2"/>
  <c r="W21" i="2"/>
  <c r="AO179" i="2"/>
  <c r="AU177" i="2"/>
  <c r="AN189" i="3"/>
  <c r="AM208" i="3"/>
  <c r="AN190" i="3"/>
  <c r="M35" i="17"/>
  <c r="E36" i="17"/>
  <c r="AE117" i="17" s="1"/>
  <c r="D36" i="17"/>
  <c r="AD117" i="17" s="1"/>
  <c r="C36" i="17"/>
  <c r="O20" i="6"/>
  <c r="O21" i="6"/>
  <c r="O22" i="6"/>
  <c r="W19" i="2"/>
  <c r="Z19" i="2"/>
  <c r="AD23" i="2"/>
  <c r="AU181" i="2"/>
  <c r="H23" i="2"/>
  <c r="C79" i="2" s="1"/>
  <c r="W20" i="2"/>
  <c r="AM181" i="2"/>
  <c r="AM179" i="2"/>
  <c r="B52" i="2"/>
  <c r="AU179" i="2"/>
  <c r="AC22" i="2"/>
  <c r="G79" i="2"/>
  <c r="AX178" i="2"/>
  <c r="AC21" i="2"/>
  <c r="H20" i="2"/>
  <c r="AN178" i="2" s="1"/>
  <c r="AO178" i="2"/>
  <c r="AB79" i="2"/>
  <c r="AP199" i="2"/>
  <c r="AI195" i="2"/>
  <c r="AI193" i="2"/>
  <c r="B49" i="2"/>
  <c r="AX184" i="2"/>
  <c r="AX180" i="2"/>
  <c r="B46" i="2"/>
  <c r="AX176" i="2"/>
  <c r="I21" i="15"/>
  <c r="J19" i="15"/>
  <c r="AK122" i="15" s="1"/>
  <c r="F23" i="15"/>
  <c r="D60" i="15"/>
  <c r="AN119" i="15"/>
  <c r="J22" i="15"/>
  <c r="AK125" i="15" s="1"/>
  <c r="H20" i="15"/>
  <c r="AI123" i="15" s="1"/>
  <c r="G23" i="15"/>
  <c r="AH126" i="15" s="1"/>
  <c r="AN114" i="15"/>
  <c r="H18" i="15"/>
  <c r="AI121" i="15" s="1"/>
  <c r="H23" i="15"/>
  <c r="AI126" i="15" s="1"/>
  <c r="E22" i="15"/>
  <c r="AF125" i="15" s="1"/>
  <c r="H19" i="15"/>
  <c r="D45" i="15"/>
  <c r="J21" i="15"/>
  <c r="AK124" i="15" s="1"/>
  <c r="F21" i="15"/>
  <c r="F18" i="15"/>
  <c r="R30" i="15"/>
  <c r="F20" i="15"/>
  <c r="AG123" i="15" s="1"/>
  <c r="G22" i="15"/>
  <c r="AH125" i="15" s="1"/>
  <c r="J18" i="15"/>
  <c r="AK121" i="15" s="1"/>
  <c r="G18" i="15"/>
  <c r="AH121" i="15" s="1"/>
  <c r="F19" i="15"/>
  <c r="AG122" i="15" s="1"/>
  <c r="I23" i="15"/>
  <c r="AN139" i="15"/>
  <c r="I22" i="15"/>
  <c r="I18" i="15"/>
  <c r="F22" i="15"/>
  <c r="AG125" i="15" s="1"/>
  <c r="D40" i="15"/>
  <c r="H22" i="15"/>
  <c r="AI125" i="15" s="1"/>
  <c r="AN123" i="15"/>
  <c r="I20" i="15"/>
  <c r="AN128" i="15"/>
  <c r="S29" i="15"/>
  <c r="D66" i="15"/>
  <c r="R29" i="15"/>
  <c r="E18" i="15"/>
  <c r="E20" i="15"/>
  <c r="AF123" i="15" s="1"/>
  <c r="E19" i="15"/>
  <c r="AF122" i="15" s="1"/>
  <c r="E21" i="15"/>
  <c r="D55" i="15"/>
  <c r="D49" i="15"/>
  <c r="G21" i="15"/>
  <c r="AH124" i="15" s="1"/>
  <c r="I19" i="15"/>
  <c r="J23" i="15"/>
  <c r="AK126" i="15" s="1"/>
  <c r="G20" i="15"/>
  <c r="AH123" i="15" s="1"/>
  <c r="E23" i="15"/>
  <c r="H21" i="15"/>
  <c r="AI124" i="15" s="1"/>
  <c r="G19" i="15"/>
  <c r="AN134" i="15"/>
  <c r="J20" i="15"/>
  <c r="AK123" i="15" s="1"/>
  <c r="W19" i="20"/>
  <c r="AU187" i="20"/>
  <c r="Z19" i="20"/>
  <c r="B46" i="20"/>
  <c r="AX186" i="20"/>
  <c r="W22" i="2"/>
  <c r="AV199" i="2"/>
  <c r="AC19" i="2"/>
  <c r="AM180" i="2"/>
  <c r="AO181" i="2"/>
  <c r="B55" i="2"/>
  <c r="H22" i="2"/>
  <c r="L79" i="2" s="1"/>
  <c r="C76" i="2"/>
  <c r="C99" i="2" s="1"/>
  <c r="H19" i="2"/>
  <c r="AN177" i="2" s="1"/>
  <c r="AU185" i="2"/>
  <c r="Z22" i="2"/>
  <c r="AL197" i="2"/>
  <c r="B59" i="2"/>
  <c r="AD24" i="2"/>
  <c r="AJ199" i="2"/>
  <c r="AX182" i="2"/>
  <c r="AU183" i="2"/>
  <c r="AI205" i="20"/>
  <c r="AC21" i="20"/>
  <c r="AO189" i="20"/>
  <c r="AI203" i="20"/>
  <c r="W21" i="20"/>
  <c r="AM191" i="20"/>
  <c r="N38" i="17"/>
  <c r="AC112" i="17"/>
  <c r="O38" i="17"/>
  <c r="O36" i="17"/>
  <c r="N36" i="17"/>
  <c r="H36" i="17"/>
  <c r="G36" i="17"/>
  <c r="AG117" i="17" s="1"/>
  <c r="AM188" i="20"/>
  <c r="AN191" i="4"/>
  <c r="C77" i="4"/>
  <c r="AM209" i="4"/>
  <c r="L77" i="4"/>
  <c r="AN190" i="4"/>
  <c r="F87" i="21"/>
  <c r="AG137" i="21" s="1"/>
  <c r="R30" i="21"/>
  <c r="F86" i="21"/>
  <c r="AG136" i="21" s="1"/>
  <c r="F89" i="21"/>
  <c r="AG139" i="21" s="1"/>
  <c r="F83" i="21"/>
  <c r="AG133" i="21" s="1"/>
  <c r="S30" i="21"/>
  <c r="F88" i="21"/>
  <c r="AG138" i="21" s="1"/>
  <c r="F84" i="21"/>
  <c r="AG134" i="21" s="1"/>
  <c r="R31" i="21"/>
  <c r="AU191" i="20"/>
  <c r="AP209" i="20"/>
  <c r="AV209" i="20"/>
  <c r="AI200" i="20"/>
  <c r="AC19" i="20"/>
  <c r="Z21" i="20"/>
  <c r="G77" i="20"/>
  <c r="AC22" i="20"/>
  <c r="AX190" i="20"/>
  <c r="AM187" i="20"/>
  <c r="AL191" i="20"/>
  <c r="C99" i="20"/>
  <c r="W20" i="20"/>
  <c r="S29" i="14"/>
  <c r="AN134" i="14"/>
  <c r="AN119" i="14"/>
  <c r="J21" i="14"/>
  <c r="AK124" i="14" s="1"/>
  <c r="D46" i="14"/>
  <c r="J18" i="14"/>
  <c r="AK121" i="14" s="1"/>
  <c r="F20" i="14"/>
  <c r="AG123" i="14" s="1"/>
  <c r="I22" i="14"/>
  <c r="E19" i="14"/>
  <c r="AF122" i="14" s="1"/>
  <c r="G19" i="14"/>
  <c r="H22" i="14"/>
  <c r="AI125" i="14" s="1"/>
  <c r="F18" i="14"/>
  <c r="H23" i="14"/>
  <c r="AI126" i="14" s="1"/>
  <c r="E18" i="14"/>
  <c r="E20" i="14"/>
  <c r="AF123" i="14" s="1"/>
  <c r="J23" i="14"/>
  <c r="AK126" i="14" s="1"/>
  <c r="AN139" i="14"/>
  <c r="H90" i="14"/>
  <c r="AI140" i="14" s="1"/>
  <c r="H94" i="14"/>
  <c r="AI144" i="14" s="1"/>
  <c r="H91" i="14"/>
  <c r="AI141" i="14" s="1"/>
  <c r="H89" i="14"/>
  <c r="AI139" i="14" s="1"/>
  <c r="H81" i="14"/>
  <c r="AI131" i="14" s="1"/>
  <c r="H84" i="14"/>
  <c r="AI134" i="14" s="1"/>
  <c r="H83" i="14"/>
  <c r="AI133" i="14" s="1"/>
  <c r="H86" i="14"/>
  <c r="AI136" i="14" s="1"/>
  <c r="F82" i="14"/>
  <c r="AG132" i="14" s="1"/>
  <c r="F89" i="14"/>
  <c r="AG139" i="14" s="1"/>
  <c r="F88" i="14"/>
  <c r="AG138" i="14" s="1"/>
  <c r="F87" i="14"/>
  <c r="AG137" i="14" s="1"/>
  <c r="F81" i="14"/>
  <c r="AG131" i="14" s="1"/>
  <c r="D50" i="14"/>
  <c r="G21" i="14"/>
  <c r="AH124" i="14" s="1"/>
  <c r="J20" i="14"/>
  <c r="AK123" i="14" s="1"/>
  <c r="G22" i="14"/>
  <c r="AH125" i="14" s="1"/>
  <c r="I23" i="14"/>
  <c r="I20" i="14"/>
  <c r="J22" i="14"/>
  <c r="AK125" i="14" s="1"/>
  <c r="R30" i="14"/>
  <c r="AN128" i="14"/>
  <c r="F21" i="14"/>
  <c r="H18" i="14"/>
  <c r="AI121" i="14" s="1"/>
  <c r="I18" i="14"/>
  <c r="AN114" i="14" s="1"/>
  <c r="I21" i="14"/>
  <c r="G20" i="14"/>
  <c r="AH123" i="14" s="1"/>
  <c r="H21" i="14"/>
  <c r="AI124" i="14" s="1"/>
  <c r="E22" i="14"/>
  <c r="AF125" i="14" s="1"/>
  <c r="F23" i="14"/>
  <c r="D56" i="14"/>
  <c r="G18" i="14"/>
  <c r="AH121" i="14" s="1"/>
  <c r="R29" i="14"/>
  <c r="AN123" i="14"/>
  <c r="F90" i="14"/>
  <c r="AG140" i="14" s="1"/>
  <c r="F94" i="14"/>
  <c r="AG144" i="14" s="1"/>
  <c r="F91" i="14"/>
  <c r="AG141" i="14" s="1"/>
  <c r="H85" i="14"/>
  <c r="AI135" i="14" s="1"/>
  <c r="H88" i="14"/>
  <c r="AI138" i="14" s="1"/>
  <c r="H80" i="14"/>
  <c r="AI130" i="14" s="1"/>
  <c r="H87" i="14"/>
  <c r="AI137" i="14" s="1"/>
  <c r="H82" i="14"/>
  <c r="AI132" i="14" s="1"/>
  <c r="F86" i="14"/>
  <c r="AG136" i="14" s="1"/>
  <c r="F85" i="14"/>
  <c r="AG135" i="14" s="1"/>
  <c r="F84" i="14"/>
  <c r="AG134" i="14" s="1"/>
  <c r="F83" i="14"/>
  <c r="AG133" i="14" s="1"/>
  <c r="F80" i="14"/>
  <c r="AG130" i="14" s="1"/>
  <c r="E23" i="14"/>
  <c r="H19" i="14"/>
  <c r="D61" i="14"/>
  <c r="D41" i="14"/>
  <c r="D67" i="14"/>
  <c r="J19" i="14"/>
  <c r="AK122" i="14" s="1"/>
  <c r="E21" i="14"/>
  <c r="F19" i="14"/>
  <c r="AG122" i="14" s="1"/>
  <c r="H20" i="14"/>
  <c r="AI123" i="14" s="1"/>
  <c r="G23" i="14"/>
  <c r="AH126" i="14" s="1"/>
  <c r="I19" i="14"/>
  <c r="F22" i="14"/>
  <c r="AG125" i="14" s="1"/>
  <c r="AN128" i="21"/>
  <c r="AN123" i="21"/>
  <c r="AN119" i="21"/>
  <c r="H90" i="21"/>
  <c r="AI140" i="21" s="1"/>
  <c r="H88" i="21"/>
  <c r="AI138" i="21" s="1"/>
  <c r="H84" i="21"/>
  <c r="AI134" i="21" s="1"/>
  <c r="H82" i="21"/>
  <c r="AI132" i="21" s="1"/>
  <c r="H80" i="21"/>
  <c r="AI130" i="21" s="1"/>
  <c r="H23" i="21"/>
  <c r="AI126" i="21" s="1"/>
  <c r="G22" i="21"/>
  <c r="AH125" i="21" s="1"/>
  <c r="G21" i="21"/>
  <c r="AH124" i="21" s="1"/>
  <c r="J20" i="21"/>
  <c r="AK123" i="21" s="1"/>
  <c r="F20" i="21"/>
  <c r="AG123" i="21" s="1"/>
  <c r="I19" i="21"/>
  <c r="E19" i="21"/>
  <c r="AF122" i="21" s="1"/>
  <c r="G18" i="21"/>
  <c r="AH121" i="21" s="1"/>
  <c r="F90" i="21"/>
  <c r="AG140" i="21" s="1"/>
  <c r="H85" i="21"/>
  <c r="AI135" i="21" s="1"/>
  <c r="F82" i="21"/>
  <c r="AG132" i="21" s="1"/>
  <c r="F80" i="21"/>
  <c r="AG130" i="21" s="1"/>
  <c r="D67" i="21"/>
  <c r="D61" i="21"/>
  <c r="G23" i="21"/>
  <c r="AH126" i="21" s="1"/>
  <c r="J22" i="21"/>
  <c r="AK125" i="21" s="1"/>
  <c r="F22" i="21"/>
  <c r="AG125" i="21" s="1"/>
  <c r="J21" i="21"/>
  <c r="AK124" i="21" s="1"/>
  <c r="F21" i="21"/>
  <c r="I20" i="21"/>
  <c r="E20" i="21"/>
  <c r="AF123" i="21" s="1"/>
  <c r="H19" i="21"/>
  <c r="J18" i="21"/>
  <c r="AK121" i="21" s="1"/>
  <c r="F18" i="21"/>
  <c r="F94" i="21"/>
  <c r="AG143" i="21" s="1"/>
  <c r="AN139" i="21"/>
  <c r="AN134" i="21"/>
  <c r="H94" i="21"/>
  <c r="AI143" i="21" s="1"/>
  <c r="H91" i="21"/>
  <c r="AI141" i="21" s="1"/>
  <c r="H89" i="21"/>
  <c r="AI139" i="21" s="1"/>
  <c r="H86" i="21"/>
  <c r="AI136" i="21" s="1"/>
  <c r="F85" i="21"/>
  <c r="AG135" i="21" s="1"/>
  <c r="H83" i="21"/>
  <c r="AI133" i="21" s="1"/>
  <c r="H81" i="21"/>
  <c r="AI131" i="21" s="1"/>
  <c r="D50" i="21"/>
  <c r="D46" i="21"/>
  <c r="J23" i="21"/>
  <c r="AK126" i="21" s="1"/>
  <c r="F23" i="21"/>
  <c r="I22" i="21"/>
  <c r="E22" i="21"/>
  <c r="AF125" i="21" s="1"/>
  <c r="I21" i="21"/>
  <c r="E21" i="21"/>
  <c r="H20" i="21"/>
  <c r="AI123" i="21" s="1"/>
  <c r="G19" i="21"/>
  <c r="I18" i="21"/>
  <c r="D41" i="21" s="1"/>
  <c r="E18" i="21"/>
  <c r="F91" i="21"/>
  <c r="AG141" i="21" s="1"/>
  <c r="H87" i="21"/>
  <c r="AI137" i="21" s="1"/>
  <c r="F81" i="21"/>
  <c r="AG131" i="21" s="1"/>
  <c r="D56" i="21"/>
  <c r="I23" i="21"/>
  <c r="E23" i="21"/>
  <c r="H22" i="21"/>
  <c r="AI125" i="21" s="1"/>
  <c r="H21" i="21"/>
  <c r="AI124" i="21" s="1"/>
  <c r="G20" i="21"/>
  <c r="AH123" i="21" s="1"/>
  <c r="J19" i="21"/>
  <c r="AK122" i="21" s="1"/>
  <c r="F19" i="21"/>
  <c r="AG122" i="21" s="1"/>
  <c r="H18" i="21"/>
  <c r="AI121" i="21" s="1"/>
  <c r="Z20" i="20"/>
  <c r="AO188" i="20"/>
  <c r="AU189" i="20"/>
  <c r="Z22" i="20"/>
  <c r="C74" i="20"/>
  <c r="AD24" i="20"/>
  <c r="AL207" i="20"/>
  <c r="AJ209" i="20"/>
  <c r="AS207" i="20"/>
  <c r="AO191" i="20"/>
  <c r="AX188" i="20"/>
  <c r="H21" i="20"/>
  <c r="AN189" i="20" s="1"/>
  <c r="W22" i="20"/>
  <c r="AT209" i="20"/>
  <c r="J74" i="20"/>
  <c r="J99" i="20" s="1"/>
  <c r="AJ208" i="20"/>
  <c r="B55" i="20"/>
  <c r="W23" i="20"/>
  <c r="AD23" i="20"/>
  <c r="AX192" i="20"/>
  <c r="AO190" i="20"/>
  <c r="AX194" i="20"/>
  <c r="B59" i="20"/>
  <c r="H22" i="20"/>
  <c r="AN190" i="20" s="1"/>
  <c r="AB77" i="20"/>
  <c r="C77" i="20"/>
  <c r="AM209" i="20"/>
  <c r="AN191" i="20"/>
  <c r="AC117" i="17" l="1"/>
  <c r="U18" i="17"/>
  <c r="U19" i="17" s="1"/>
  <c r="AC128" i="17"/>
  <c r="AC129" i="17" s="1"/>
  <c r="AH117" i="17"/>
  <c r="W19" i="17"/>
  <c r="W24" i="17"/>
  <c r="W21" i="17"/>
  <c r="AF117" i="17"/>
  <c r="X17" i="17"/>
  <c r="F73" i="6"/>
  <c r="AP116" i="6" s="1"/>
  <c r="AM199" i="2"/>
  <c r="AN181" i="2"/>
  <c r="AN180" i="2"/>
  <c r="AF124" i="15"/>
  <c r="H52" i="15"/>
  <c r="AR126" i="15" s="1"/>
  <c r="AP148" i="15"/>
  <c r="AO148" i="15"/>
  <c r="Z47" i="15"/>
  <c r="AP125" i="15"/>
  <c r="AJ123" i="15"/>
  <c r="F51" i="15"/>
  <c r="AG124" i="15"/>
  <c r="L52" i="15"/>
  <c r="AU126" i="15" s="1"/>
  <c r="H64" i="15"/>
  <c r="AR138" i="15" s="1"/>
  <c r="AF126" i="15"/>
  <c r="AJ125" i="15"/>
  <c r="AP136" i="15"/>
  <c r="F62" i="15"/>
  <c r="AS148" i="15"/>
  <c r="Z49" i="15"/>
  <c r="Z48" i="15"/>
  <c r="AT148" i="15"/>
  <c r="AQ148" i="15"/>
  <c r="AR148" i="15"/>
  <c r="AJ122" i="15"/>
  <c r="F46" i="15"/>
  <c r="AP120" i="15"/>
  <c r="AJ126" i="15"/>
  <c r="F68" i="15"/>
  <c r="AP142" i="15"/>
  <c r="AJ121" i="15"/>
  <c r="F43" i="15"/>
  <c r="AP117" i="15" s="1"/>
  <c r="L64" i="15"/>
  <c r="AU138" i="15" s="1"/>
  <c r="AG126" i="15"/>
  <c r="AH122" i="15"/>
  <c r="H44" i="15"/>
  <c r="AR118" i="15" s="1"/>
  <c r="AF121" i="15"/>
  <c r="H39" i="15"/>
  <c r="AR113" i="15" s="1"/>
  <c r="L39" i="15"/>
  <c r="AU113" i="15" s="1"/>
  <c r="AG121" i="15"/>
  <c r="L44" i="15"/>
  <c r="AU118" i="15" s="1"/>
  <c r="AI122" i="15"/>
  <c r="AJ124" i="15"/>
  <c r="AP131" i="15"/>
  <c r="F57" i="15"/>
  <c r="H73" i="6"/>
  <c r="AR116" i="6" s="1"/>
  <c r="M62" i="6" a="1"/>
  <c r="M62" i="6" s="1"/>
  <c r="H77" i="6" s="1"/>
  <c r="AR120" i="6" s="1"/>
  <c r="U59" i="17"/>
  <c r="AQ138" i="17" s="1"/>
  <c r="U52" i="17"/>
  <c r="AQ133" i="17" s="1"/>
  <c r="AO138" i="17"/>
  <c r="AN135" i="17"/>
  <c r="AN133" i="17"/>
  <c r="AN130" i="17"/>
  <c r="C48" i="17"/>
  <c r="AF130" i="17" s="1"/>
  <c r="Z50" i="21"/>
  <c r="AS148" i="21" s="1"/>
  <c r="Z49" i="21"/>
  <c r="AQ148" i="21" s="1"/>
  <c r="I53" i="14"/>
  <c r="AR126" i="14" s="1"/>
  <c r="AF124" i="14"/>
  <c r="AG121" i="14"/>
  <c r="L40" i="14"/>
  <c r="AU113" i="14" s="1"/>
  <c r="AJ125" i="14"/>
  <c r="AP136" i="14"/>
  <c r="F63" i="14"/>
  <c r="L45" i="14"/>
  <c r="AU118" i="14" s="1"/>
  <c r="AI122" i="14"/>
  <c r="AG124" i="14"/>
  <c r="L53" i="14"/>
  <c r="AU126" i="14" s="1"/>
  <c r="F52" i="14"/>
  <c r="AP125" i="14"/>
  <c r="AJ123" i="14"/>
  <c r="AF126" i="14"/>
  <c r="I65" i="14"/>
  <c r="AR138" i="14" s="1"/>
  <c r="AG126" i="14"/>
  <c r="L65" i="14"/>
  <c r="AU138" i="14" s="1"/>
  <c r="AJ124" i="14"/>
  <c r="F58" i="14"/>
  <c r="AP131" i="14"/>
  <c r="AJ126" i="14"/>
  <c r="AP142" i="14"/>
  <c r="F69" i="14"/>
  <c r="AF121" i="14"/>
  <c r="I40" i="14"/>
  <c r="AR113" i="14" s="1"/>
  <c r="I45" i="14"/>
  <c r="AR118" i="14" s="1"/>
  <c r="AH122" i="14"/>
  <c r="AP120" i="14"/>
  <c r="F47" i="14"/>
  <c r="AJ122" i="14"/>
  <c r="AO148" i="14"/>
  <c r="Z48" i="14"/>
  <c r="AP148" i="14"/>
  <c r="AJ121" i="14"/>
  <c r="F44" i="14"/>
  <c r="AP117" i="14"/>
  <c r="AQ148" i="14"/>
  <c r="AR148" i="14"/>
  <c r="AT148" i="14"/>
  <c r="Z49" i="14"/>
  <c r="Z50" i="14"/>
  <c r="AS148" i="14"/>
  <c r="AN114" i="21"/>
  <c r="AG121" i="21"/>
  <c r="L40" i="21"/>
  <c r="AU113" i="21" s="1"/>
  <c r="L65" i="21"/>
  <c r="AU138" i="21" s="1"/>
  <c r="AG126" i="21"/>
  <c r="AG124" i="21"/>
  <c r="L53" i="21"/>
  <c r="AU126" i="21" s="1"/>
  <c r="AF126" i="21"/>
  <c r="I65" i="21"/>
  <c r="AR138" i="21" s="1"/>
  <c r="I40" i="21"/>
  <c r="AR113" i="21" s="1"/>
  <c r="AF121" i="21"/>
  <c r="AF124" i="21"/>
  <c r="I53" i="21"/>
  <c r="AR126" i="21" s="1"/>
  <c r="AJ126" i="21"/>
  <c r="F69" i="21"/>
  <c r="AP141" i="21"/>
  <c r="F44" i="21"/>
  <c r="AP117" i="21"/>
  <c r="AJ121" i="21"/>
  <c r="AJ124" i="21"/>
  <c r="AP131" i="21"/>
  <c r="F58" i="21"/>
  <c r="AI122" i="21"/>
  <c r="L45" i="21"/>
  <c r="AU118" i="21" s="1"/>
  <c r="Z48" i="21"/>
  <c r="AO148" i="21"/>
  <c r="AP148" i="21"/>
  <c r="F47" i="21"/>
  <c r="AJ122" i="21"/>
  <c r="AP120" i="21"/>
  <c r="F63" i="21"/>
  <c r="AP136" i="21"/>
  <c r="AJ125" i="21"/>
  <c r="F52" i="21"/>
  <c r="AJ123" i="21"/>
  <c r="AP125" i="21"/>
  <c r="AR148" i="21"/>
  <c r="AH122" i="21"/>
  <c r="I45" i="21"/>
  <c r="AR118" i="21" s="1"/>
  <c r="L77" i="2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<sst xmlns="http://schemas.openxmlformats.org/spreadsheetml/2006/main" count="2269" uniqueCount="675">
  <si>
    <t>EASYPLAN</t>
  </si>
  <si>
    <t>výpočet hodnot pro zpracování kování</t>
  </si>
  <si>
    <t>Verze 3.0.0</t>
  </si>
  <si>
    <t>Co budete zpracovávat?</t>
  </si>
  <si>
    <t>Výklopy</t>
  </si>
  <si>
    <t>Výsuvy</t>
  </si>
  <si>
    <t>Potravinové skříně</t>
  </si>
  <si>
    <t>Tato aplikace slouží pro zjednodušení výpočtu hodnot pro nastavení šablon. V některých případech nemusí být výsledky přesné. Firma Blum neručí za škody způsobené použitím této aplikace.</t>
  </si>
  <si>
    <t xml:space="preserve">         Čtěte pečlivě poznámky pod tabulkami.</t>
  </si>
  <si>
    <t>Úpravy:</t>
  </si>
  <si>
    <t>-</t>
  </si>
  <si>
    <t xml:space="preserve">Přidána funkce výpis kování pro AVENTOS HF, HK top, HK-S a HK-XS. </t>
  </si>
  <si>
    <t>Přidána funkce výpis kování pro TANDEMBOX antaro s BLUMOTION i s TIP-ON BLUMOTION</t>
  </si>
  <si>
    <t xml:space="preserve">Přidána funkce výpis kování pro SPACE TOWER s TANDEMBOX antaro </t>
  </si>
  <si>
    <t>Tisk všech výstupů pro každý korpus na jeden list A4</t>
  </si>
  <si>
    <t>Opravy drobných chyb</t>
  </si>
  <si>
    <r>
      <rPr>
        <b/>
        <sz val="18"/>
        <color indexed="8"/>
        <rFont val="Arial"/>
        <family val="2"/>
        <charset val="238"/>
      </rPr>
      <t>AVENTOS</t>
    </r>
    <r>
      <rPr>
        <sz val="18"/>
        <color indexed="8"/>
        <rFont val="Arial"/>
        <family val="2"/>
        <charset val="238"/>
      </rPr>
      <t xml:space="preserve"> - systémy výklopů</t>
    </r>
  </si>
  <si>
    <t>► Úvodní strana</t>
  </si>
  <si>
    <t>Vyberte typ výklopného systému:</t>
  </si>
  <si>
    <t>AVENTOS HK top</t>
  </si>
  <si>
    <t>AVENTOS HK-S</t>
  </si>
  <si>
    <t>AVENTOS HK-XS</t>
  </si>
  <si>
    <t>► Úvod AVENTOS</t>
  </si>
  <si>
    <t>Parametry korpusu (rozměry v mm):</t>
  </si>
  <si>
    <t>Vyplnění:</t>
  </si>
  <si>
    <t>1 = OK</t>
  </si>
  <si>
    <t>KH - Výška korpusu</t>
  </si>
  <si>
    <t>2 = NE</t>
  </si>
  <si>
    <t>KB - Šířka korpusu</t>
  </si>
  <si>
    <t>LF →</t>
  </si>
  <si>
    <t>A. Tloušťka dna/půdy</t>
  </si>
  <si>
    <t>B. Tloušťka boku vpravo/vlevo</t>
  </si>
  <si>
    <t>C. Mezera nahoře***</t>
  </si>
  <si>
    <t>D. Mezera mezi čely</t>
  </si>
  <si>
    <t>E. Mezera dole</t>
  </si>
  <si>
    <t>F. Mezera vpravo/vlevo</t>
  </si>
  <si>
    <t>Pro výpočet kování</t>
  </si>
  <si>
    <t>Tloušťka čela [mm]</t>
  </si>
  <si>
    <t>hmotnost čela:</t>
  </si>
  <si>
    <t>LF:</t>
  </si>
  <si>
    <t>Objemová hmotnost materiálu [kg/m3]</t>
  </si>
  <si>
    <t>Hmotnost úchytky [kg]</t>
  </si>
  <si>
    <t>Vypočtená hmotnost čela [kg]</t>
  </si>
  <si>
    <t>vpravo/vlevo</t>
  </si>
  <si>
    <t>Běžné objemové hmotnosti materiálů:</t>
  </si>
  <si>
    <t>Lamino: 650 až 680</t>
  </si>
  <si>
    <t>zdvih A</t>
  </si>
  <si>
    <t>teleskop</t>
  </si>
  <si>
    <t>MDF: 750 až 780</t>
  </si>
  <si>
    <t>F32</t>
  </si>
  <si>
    <t>Měkké dřevo: 450 až 620</t>
  </si>
  <si>
    <t>F25</t>
  </si>
  <si>
    <t>F35</t>
  </si>
  <si>
    <t>Tvrdé dřevo: 650 až 750</t>
  </si>
  <si>
    <t>F28</t>
  </si>
  <si>
    <t>Pozn.: pro zjištění přesné hodnoty kontaktujte dodavatele materiálů</t>
  </si>
  <si>
    <t>F39</t>
  </si>
  <si>
    <t>výška korpusu</t>
  </si>
  <si>
    <t>*** Mezera nahoře platí pro vrtání misky 5 mm od hrany. Chcete-li</t>
  </si>
  <si>
    <t xml:space="preserve">      mezeru menší nebo větší, přizpůsobte vzdálenost vrtání misky</t>
  </si>
  <si>
    <t>od spodní hrany:</t>
  </si>
  <si>
    <t xml:space="preserve">      (viz katalog).</t>
  </si>
  <si>
    <t>Pro plánování korpusů s asymetrickými čely použijte následující odkaz</t>
  </si>
  <si>
    <t>► Asymetrická čela</t>
  </si>
  <si>
    <t>Vrtání čela</t>
  </si>
  <si>
    <t>Vrtání korpusu</t>
  </si>
  <si>
    <t>výška*</t>
  </si>
  <si>
    <t>vlevo</t>
  </si>
  <si>
    <t>vpravo</t>
  </si>
  <si>
    <t>výška**</t>
  </si>
  <si>
    <t>hloubka</t>
  </si>
  <si>
    <t>rozteč</t>
  </si>
  <si>
    <t>Korpus:</t>
  </si>
  <si>
    <t>Korpus odspodu:</t>
  </si>
  <si>
    <t xml:space="preserve">  Hodnoty vrtání čela platí pro ocelové montážní podložky!</t>
  </si>
  <si>
    <t>FHu:</t>
  </si>
  <si>
    <t>Čelo:</t>
  </si>
  <si>
    <t>Zdvihač</t>
  </si>
  <si>
    <t>ks</t>
  </si>
  <si>
    <t>min</t>
  </si>
  <si>
    <t>max</t>
  </si>
  <si>
    <t>Vrtání korpusu:</t>
  </si>
  <si>
    <t>Vrtání čela:</t>
  </si>
  <si>
    <t>Teleskop</t>
  </si>
  <si>
    <t>max.</t>
  </si>
  <si>
    <t>70T5550.TL</t>
  </si>
  <si>
    <t>78Z5500T</t>
  </si>
  <si>
    <t>175H3100</t>
  </si>
  <si>
    <t>Zpět</t>
  </si>
  <si>
    <t xml:space="preserve"> Minimální výška korpusu:</t>
  </si>
  <si>
    <t>480 mm</t>
  </si>
  <si>
    <t xml:space="preserve"> Maximální výška korpusu:</t>
  </si>
  <si>
    <t>popis</t>
  </si>
  <si>
    <t>označení</t>
  </si>
  <si>
    <t>počet</t>
  </si>
  <si>
    <t>poznámka</t>
  </si>
  <si>
    <t>Sada zdvihačů</t>
  </si>
  <si>
    <t>Sada teleskopů</t>
  </si>
  <si>
    <t>Sada krytek ****</t>
  </si>
  <si>
    <t>zvolte barvu</t>
  </si>
  <si>
    <t>Závěs horní 120°</t>
  </si>
  <si>
    <t>Závěs středový</t>
  </si>
  <si>
    <t>Montážní podložka/čelní kování</t>
  </si>
  <si>
    <t>**** Nutno specifikovat barvu</t>
  </si>
  <si>
    <t>Barvy krytek: HGR = světle šedá | SW = hedvábně bílá | TGR = tmavě šedá</t>
  </si>
  <si>
    <t>Zadání</t>
  </si>
  <si>
    <t>Výsledky</t>
  </si>
  <si>
    <t>Kování</t>
  </si>
  <si>
    <t>Parametry korpusu:</t>
  </si>
  <si>
    <t>C. Mezera nahoře</t>
  </si>
  <si>
    <t>FHo - Výška horního čela</t>
  </si>
  <si>
    <t>FHu - Výška spodního čela</t>
  </si>
  <si>
    <t>Všechny rozměry v mm!</t>
  </si>
  <si>
    <t>TKH</t>
  </si>
  <si>
    <t>min.</t>
  </si>
  <si>
    <t>FHo:</t>
  </si>
  <si>
    <t>Fho:</t>
  </si>
  <si>
    <t>Čelo odspodu:</t>
  </si>
  <si>
    <t>Výpočet asymetrických čel</t>
  </si>
  <si>
    <t>Výsledky plánování</t>
  </si>
  <si>
    <t>nelze</t>
  </si>
  <si>
    <t>od horní hrany:</t>
  </si>
  <si>
    <t>350 - 800</t>
  </si>
  <si>
    <r>
      <t xml:space="preserve">  * Vzdálenost od </t>
    </r>
    <r>
      <rPr>
        <sz val="11"/>
        <color indexed="10"/>
        <rFont val="Arial"/>
        <family val="2"/>
        <charset val="238"/>
      </rPr>
      <t>horní(!)</t>
    </r>
    <r>
      <rPr>
        <sz val="11"/>
        <color theme="1"/>
        <rFont val="Arial"/>
        <family val="2"/>
        <charset val="238"/>
      </rPr>
      <t xml:space="preserve"> hrany čela na první otvor čelního kování. </t>
    </r>
  </si>
  <si>
    <t>** Vzdálenost od spodní hrany korpusu na osu vrtání pro zdvihač</t>
  </si>
  <si>
    <t>350 mm</t>
  </si>
  <si>
    <t>800 mm</t>
  </si>
  <si>
    <t xml:space="preserve">vpravo/vlevo  </t>
  </si>
  <si>
    <t>výběr:</t>
  </si>
  <si>
    <t>vlevo/vpravo:</t>
  </si>
  <si>
    <t>300 mm</t>
  </si>
  <si>
    <t>580 mm</t>
  </si>
  <si>
    <t>Pro výpočet kování (volitelně)</t>
  </si>
  <si>
    <t>210 - 600</t>
  </si>
  <si>
    <t>dva zdvihače</t>
  </si>
  <si>
    <t>dva</t>
  </si>
  <si>
    <t>K23</t>
  </si>
  <si>
    <t>K25</t>
  </si>
  <si>
    <t>K27</t>
  </si>
  <si>
    <t>K29</t>
  </si>
  <si>
    <t>Vrtání korpusu**</t>
  </si>
  <si>
    <t>výška</t>
  </si>
  <si>
    <t xml:space="preserve"> ** pro zdvihače s upevněním pomocí vrutů se korpus nepředvrtává</t>
  </si>
  <si>
    <t>vruty-Bl</t>
  </si>
  <si>
    <t>vruty-TO</t>
  </si>
  <si>
    <t>šrouby-Bl</t>
  </si>
  <si>
    <t>šrouby-TO</t>
  </si>
  <si>
    <t>22K2300</t>
  </si>
  <si>
    <t>22K2300T</t>
  </si>
  <si>
    <t>22K2310</t>
  </si>
  <si>
    <t>22K2310T</t>
  </si>
  <si>
    <t>22K2500</t>
  </si>
  <si>
    <t>22K2500T</t>
  </si>
  <si>
    <t>22K2510</t>
  </si>
  <si>
    <t>22K2510T</t>
  </si>
  <si>
    <t>22K2700</t>
  </si>
  <si>
    <t>22K2700T</t>
  </si>
  <si>
    <t>22K2710</t>
  </si>
  <si>
    <t>22K2710T</t>
  </si>
  <si>
    <t>22K2900</t>
  </si>
  <si>
    <t>22K2900T</t>
  </si>
  <si>
    <t>22K2910</t>
  </si>
  <si>
    <t>22K2910T</t>
  </si>
  <si>
    <t>22K8000</t>
  </si>
  <si>
    <t>20S4200</t>
  </si>
  <si>
    <t>956.1004</t>
  </si>
  <si>
    <t>956A1004</t>
  </si>
  <si>
    <t>210 mm</t>
  </si>
  <si>
    <t>600 mm</t>
  </si>
  <si>
    <t>Standard (s tlumením)</t>
  </si>
  <si>
    <t>Sada krytek</t>
  </si>
  <si>
    <t>Sada čelního kování</t>
  </si>
  <si>
    <t>TIP-ON</t>
  </si>
  <si>
    <t>Sada zdvihačů TIP-ON</t>
  </si>
  <si>
    <t>Píst TIP-ON</t>
  </si>
  <si>
    <t xml:space="preserve">Barvy krytek/TIP-ON: HGR/R7036 = světle šedá </t>
  </si>
  <si>
    <t>SW = hedvábně bílá | TGR = tmavě šedá</t>
  </si>
  <si>
    <t>205 - 600</t>
  </si>
  <si>
    <t>K2B</t>
  </si>
  <si>
    <t>K2C</t>
  </si>
  <si>
    <t>K2E</t>
  </si>
  <si>
    <t>vruty-BL</t>
  </si>
  <si>
    <t>20K2B00</t>
  </si>
  <si>
    <t>20K2B00T</t>
  </si>
  <si>
    <t>20K2C00</t>
  </si>
  <si>
    <t>20K2C00T</t>
  </si>
  <si>
    <t>20K2E00</t>
  </si>
  <si>
    <t>20K2E00T</t>
  </si>
  <si>
    <t>20K8A21</t>
  </si>
  <si>
    <t>240 mm</t>
  </si>
  <si>
    <t>400 mm</t>
  </si>
  <si>
    <t>Čelní kování</t>
  </si>
  <si>
    <t xml:space="preserve">   Vrtání korpusu:</t>
  </si>
  <si>
    <t>BL</t>
  </si>
  <si>
    <t>T-O</t>
  </si>
  <si>
    <t>C. Mezera nahoře ***</t>
  </si>
  <si>
    <t>max:</t>
  </si>
  <si>
    <t>Blumotion</t>
  </si>
  <si>
    <t>jeden zdvihač</t>
  </si>
  <si>
    <t>Závěsy</t>
  </si>
  <si>
    <t>jeden</t>
  </si>
  <si>
    <t>K1101</t>
  </si>
  <si>
    <t>K1301</t>
  </si>
  <si>
    <t>K1501</t>
  </si>
  <si>
    <t>Tip-On</t>
  </si>
  <si>
    <t>K1101T</t>
  </si>
  <si>
    <t>K1301T</t>
  </si>
  <si>
    <t>K1501T</t>
  </si>
  <si>
    <r>
      <t xml:space="preserve">   * Vzdálenost od </t>
    </r>
    <r>
      <rPr>
        <sz val="11"/>
        <color indexed="10"/>
        <rFont val="Arial"/>
        <family val="2"/>
        <charset val="238"/>
      </rPr>
      <t>horní(!)</t>
    </r>
    <r>
      <rPr>
        <sz val="11"/>
        <color theme="1"/>
        <rFont val="Arial"/>
        <family val="2"/>
        <charset val="238"/>
      </rPr>
      <t xml:space="preserve"> hrany čela na první otvor čelního kování. </t>
    </r>
  </si>
  <si>
    <t xml:space="preserve">  ** Vzdálenost od spodní hrany korpusu na osu vrtání pro boční čep.</t>
  </si>
  <si>
    <t xml:space="preserve">      Doporučujeme použít korpusovou šablonu s dorazem posunutým</t>
  </si>
  <si>
    <t xml:space="preserve">      na pozici pro vtrání montážních podložek.</t>
  </si>
  <si>
    <t xml:space="preserve">   Hodnoty platí pro naložené závěsy a nulové montážní podložky</t>
  </si>
  <si>
    <t xml:space="preserve">   Polonaložené nebo vložené závěsy spočítejte podle katalogu</t>
  </si>
  <si>
    <r>
      <t xml:space="preserve">   </t>
    </r>
    <r>
      <rPr>
        <b/>
        <sz val="11"/>
        <color theme="1"/>
        <rFont val="Arial"/>
        <family val="2"/>
        <charset val="238"/>
      </rPr>
      <t>Pozor:</t>
    </r>
    <r>
      <rPr>
        <sz val="11"/>
        <color theme="1"/>
        <rFont val="Arial"/>
        <family val="2"/>
        <charset val="238"/>
      </rPr>
      <t xml:space="preserve"> počet závěsů zvolte podle katalogu nebo použijte AVENTPLAN!</t>
    </r>
  </si>
  <si>
    <t>20K1101</t>
  </si>
  <si>
    <t>20K1101T</t>
  </si>
  <si>
    <t>20K1301</t>
  </si>
  <si>
    <t>20K1301T</t>
  </si>
  <si>
    <t>20K1501</t>
  </si>
  <si>
    <t>20K1501T</t>
  </si>
  <si>
    <t>20K5101</t>
  </si>
  <si>
    <t>20K4101</t>
  </si>
  <si>
    <t>71B3550</t>
  </si>
  <si>
    <t>70T3550.TL</t>
  </si>
  <si>
    <t>173H7100</t>
  </si>
  <si>
    <r>
      <t xml:space="preserve">        </t>
    </r>
    <r>
      <rPr>
        <b/>
        <sz val="11"/>
        <color theme="1"/>
        <rFont val="Arial"/>
        <family val="2"/>
        <charset val="238"/>
      </rPr>
      <t>Pozor:</t>
    </r>
    <r>
      <rPr>
        <sz val="11"/>
        <color theme="1"/>
        <rFont val="Arial"/>
        <family val="2"/>
        <charset val="238"/>
      </rPr>
      <t xml:space="preserve"> počet závěsů zvolte podle katalogu </t>
    </r>
  </si>
  <si>
    <t xml:space="preserve">                    nebo použijte AVENTPLAN!</t>
  </si>
  <si>
    <t>Boční čep</t>
  </si>
  <si>
    <t>Závěs CLIP top BLUMOTION</t>
  </si>
  <si>
    <t>Montážní podložka křížová</t>
  </si>
  <si>
    <t>Závěs CLIP top bez pružiny</t>
  </si>
  <si>
    <t xml:space="preserve">Barvy TIP-ON: R7036 = světle šedá </t>
  </si>
  <si>
    <t>BOX SYSTÉMY</t>
  </si>
  <si>
    <t>TANDEMBOX antaro                        s TIP-ON BLUMOTION</t>
  </si>
  <si>
    <t>LEGRABOX</t>
  </si>
  <si>
    <t>TANDEMBOX antaro</t>
  </si>
  <si>
    <t>► Úvod - box systémy</t>
  </si>
  <si>
    <t xml:space="preserve"> s BLUMOTION</t>
  </si>
  <si>
    <t>Výška korpusu (KH)</t>
  </si>
  <si>
    <t>Šířka korpusu (KB)</t>
  </si>
  <si>
    <t>Jmenovitá délka výsuvů NL (např. 450, 500, 650)</t>
  </si>
  <si>
    <t>NL:</t>
  </si>
  <si>
    <t>Počet zásuvek v korpusu</t>
  </si>
  <si>
    <t>Počet:</t>
  </si>
  <si>
    <t>Počet čel:</t>
  </si>
  <si>
    <r>
      <rPr>
        <sz val="11"/>
        <color theme="1"/>
        <rFont val="Calibri"/>
        <family val="2"/>
        <charset val="238"/>
      </rPr>
      <t>←</t>
    </r>
    <r>
      <rPr>
        <sz val="11"/>
        <color theme="1"/>
        <rFont val="Arial"/>
        <family val="2"/>
        <charset val="238"/>
      </rPr>
      <t xml:space="preserve"> Zbývající výška pro čela</t>
    </r>
  </si>
  <si>
    <t>Výška:</t>
  </si>
  <si>
    <t>Vypočtená výška korpusu</t>
  </si>
  <si>
    <t>Pozice výsuvu</t>
  </si>
  <si>
    <t>Výška čela</t>
  </si>
  <si>
    <t>Výšky boků*</t>
  </si>
  <si>
    <t>Úložná výška</t>
  </si>
  <si>
    <t>úložný</t>
  </si>
  <si>
    <t>potřebný</t>
  </si>
  <si>
    <t>možné</t>
  </si>
  <si>
    <t>hloubka**</t>
  </si>
  <si>
    <r>
      <t xml:space="preserve">prostor </t>
    </r>
    <r>
      <rPr>
        <sz val="11"/>
        <color indexed="8"/>
        <rFont val="Calibri"/>
        <family val="2"/>
        <charset val="238"/>
      </rPr>
      <t>↓</t>
    </r>
  </si>
  <si>
    <r>
      <t xml:space="preserve">boky </t>
    </r>
    <r>
      <rPr>
        <sz val="11"/>
        <color indexed="8"/>
        <rFont val="Calibri"/>
        <family val="2"/>
        <charset val="238"/>
      </rPr>
      <t>↓</t>
    </r>
  </si>
  <si>
    <r>
      <rPr>
        <sz val="11"/>
        <color indexed="8"/>
        <rFont val="Calibri"/>
        <family val="2"/>
        <charset val="238"/>
      </rPr>
      <t>←</t>
    </r>
    <r>
      <rPr>
        <sz val="11"/>
        <color indexed="8"/>
        <rFont val="Arial"/>
        <family val="2"/>
        <charset val="238"/>
      </rPr>
      <t>c</t>
    </r>
    <r>
      <rPr>
        <sz val="11"/>
        <color theme="1"/>
        <rFont val="Arial"/>
        <family val="2"/>
        <charset val="238"/>
      </rPr>
      <t>elkem</t>
    </r>
  </si>
  <si>
    <t>Schema boku korpusu</t>
  </si>
  <si>
    <r>
      <t>←</t>
    </r>
    <r>
      <rPr>
        <sz val="11"/>
        <color theme="1"/>
        <rFont val="Arial"/>
        <family val="2"/>
        <charset val="238"/>
      </rPr>
      <t>◄</t>
    </r>
  </si>
  <si>
    <t>--------   5</t>
  </si>
  <si>
    <t>--------   4</t>
  </si>
  <si>
    <t>--------   3</t>
  </si>
  <si>
    <t>ostatní</t>
  </si>
  <si>
    <t>--------   2</t>
  </si>
  <si>
    <t>Dole</t>
  </si>
  <si>
    <t>--------   Dole</t>
  </si>
  <si>
    <t>pro výsuv 2 - 5:</t>
  </si>
  <si>
    <t>pro výsuv dole:</t>
  </si>
  <si>
    <t>Čela zadávejte od spodu. Vyplňte jen podbarvená políčka.</t>
  </si>
  <si>
    <t xml:space="preserve">  Pozn: pro 5. pozici je nutné dokoupit tělo šablony. </t>
  </si>
  <si>
    <t xml:space="preserve">        Hodnoty vrtání čela neplatí pro zásuvky s bočnicemi výšky N!</t>
  </si>
  <si>
    <t>lišty 30</t>
  </si>
  <si>
    <t>záda M</t>
  </si>
  <si>
    <t>bočnice</t>
  </si>
  <si>
    <t>30 kg</t>
  </si>
  <si>
    <t>65 kg</t>
  </si>
  <si>
    <t>M</t>
  </si>
  <si>
    <t>C</t>
  </si>
  <si>
    <t>D</t>
  </si>
  <si>
    <t>reling</t>
  </si>
  <si>
    <t>zsf</t>
  </si>
  <si>
    <t xml:space="preserve">          U výsuvu dole je vrtání posunuto o 2 mm nahoru jako tolerance, např. pro silnější dno</t>
  </si>
  <si>
    <t xml:space="preserve">       * Možné výšky boků výsuvu vzhledem k výšce čela</t>
  </si>
  <si>
    <t xml:space="preserve">      ** Platí pro naložená čela a vnitřní výsuvy </t>
  </si>
  <si>
    <t xml:space="preserve">          U výsuvů s vloženými čely je nutné připočíst tloušťku čela a příp. zapuštění do korpusu</t>
  </si>
  <si>
    <t xml:space="preserve">   *** Jmenovité délky: 270, 300, 350, 400, 450, 500, 550, 600 nebo 650</t>
  </si>
  <si>
    <t>Vrtání boku korpusu:</t>
  </si>
  <si>
    <t>Přířezy pro zásuvky:</t>
  </si>
  <si>
    <t>dno:</t>
  </si>
  <si>
    <t>mm</t>
  </si>
  <si>
    <t>záda:</t>
  </si>
  <si>
    <t>K</t>
  </si>
  <si>
    <t>378M2702S</t>
  </si>
  <si>
    <t>578.2701B</t>
  </si>
  <si>
    <t>ZRG.207RSIC</t>
  </si>
  <si>
    <t>378M3002S</t>
  </si>
  <si>
    <t>578.3001B</t>
  </si>
  <si>
    <t>ZRG.237RSIC</t>
  </si>
  <si>
    <t>378M3502S</t>
  </si>
  <si>
    <t>578.3501B</t>
  </si>
  <si>
    <t>ZRG.287RSIC</t>
  </si>
  <si>
    <t>378M4002S</t>
  </si>
  <si>
    <t>578.4001B</t>
  </si>
  <si>
    <t>ZRG.337RSIC</t>
  </si>
  <si>
    <t>378M5502S</t>
  </si>
  <si>
    <t>578.4501B</t>
  </si>
  <si>
    <t>576.4501B</t>
  </si>
  <si>
    <t>ZRG.387RSIC</t>
  </si>
  <si>
    <t>vrtání čela Dole:</t>
  </si>
  <si>
    <t>vrtání čel 2 až 5:</t>
  </si>
  <si>
    <t>378M5002S</t>
  </si>
  <si>
    <t>578.5001B</t>
  </si>
  <si>
    <t>576.5001B</t>
  </si>
  <si>
    <t>ZRG.437RSIC</t>
  </si>
  <si>
    <t>578.5501B</t>
  </si>
  <si>
    <t>576.5501B</t>
  </si>
  <si>
    <t>ZRG.487RSIC</t>
  </si>
  <si>
    <t>378M6002S</t>
  </si>
  <si>
    <t>578.6001B</t>
  </si>
  <si>
    <t>576.6001B</t>
  </si>
  <si>
    <t>ZRG.537RSIC</t>
  </si>
  <si>
    <t>378M6502S</t>
  </si>
  <si>
    <t>576.6501B</t>
  </si>
  <si>
    <t>ZRG.587RSIC</t>
  </si>
  <si>
    <t>FH = výška čela</t>
  </si>
  <si>
    <t>Vrtání čel pro podpěru dna</t>
  </si>
  <si>
    <r>
      <t xml:space="preserve">doporučujeme od šířky korpusu </t>
    </r>
    <r>
      <rPr>
        <sz val="11"/>
        <color indexed="8"/>
        <rFont val="Calibri"/>
        <family val="2"/>
        <charset val="238"/>
      </rPr>
      <t xml:space="preserve">≥ </t>
    </r>
    <r>
      <rPr>
        <sz val="11"/>
        <color theme="1"/>
        <rFont val="Arial"/>
        <family val="2"/>
        <charset val="238"/>
      </rPr>
      <t>600 mm</t>
    </r>
  </si>
  <si>
    <t xml:space="preserve">objednací číslo: </t>
  </si>
  <si>
    <t>Z96.10E1</t>
  </si>
  <si>
    <t xml:space="preserve">   Soupis kování</t>
  </si>
  <si>
    <t>Bočnice TBX antaro</t>
  </si>
  <si>
    <t>Držáky zad M</t>
  </si>
  <si>
    <t>Držáky zad C</t>
  </si>
  <si>
    <t>Držáky zad D</t>
  </si>
  <si>
    <t>Podélný reling</t>
  </si>
  <si>
    <t>Čelní kování INSERTA</t>
  </si>
  <si>
    <t>Podpěra dna/stabilizace čela</t>
  </si>
  <si>
    <t>Potřebný prostor v korpusu:</t>
  </si>
  <si>
    <t xml:space="preserve">         Minimální výška čela:</t>
  </si>
  <si>
    <t xml:space="preserve">         - zásuvka nahoře = potřebný prostor + přesah čela přes horní desku nebo vlys</t>
  </si>
  <si>
    <t xml:space="preserve">         - zásuvky a výsuvy uprostřed = potřebný prostor</t>
  </si>
  <si>
    <t xml:space="preserve">         - výsuv dole = potřebný prostor + přesah čela přes dno</t>
  </si>
  <si>
    <t>Jmenovitá délka výsuvů NL</t>
  </si>
  <si>
    <t>hl.**</t>
  </si>
  <si>
    <t xml:space="preserve">      ** Hloubka - platí pro naložená čela a vnitřní výsuvy </t>
  </si>
  <si>
    <t xml:space="preserve"> s TIP-ON BLUMOTION</t>
  </si>
  <si>
    <t>Jmenovitá délka výsuvů NL (např. 450, 500, 650)***</t>
  </si>
  <si>
    <t>pozn.:</t>
  </si>
  <si>
    <t>Spodní výsuv posunut o 2 mm nahoru!</t>
  </si>
  <si>
    <t xml:space="preserve">         U výsuvu dole je vrtání posunuto o 2 mm nahoru jako tolerance, např. pro silnější dno</t>
  </si>
  <si>
    <t xml:space="preserve">      ** Platí pro naložená čela</t>
  </si>
  <si>
    <t xml:space="preserve">          U vnitřních výsuvů s TIP-ON BLUMOTION je nutné posunout pozici korpusové lišty  o min. 7 mm směrem do korpusu!</t>
  </si>
  <si>
    <t>Pozice / vrtání pro boky a čela</t>
  </si>
  <si>
    <t>578.2701M</t>
  </si>
  <si>
    <t>578.3001M</t>
  </si>
  <si>
    <t>578.3501M</t>
  </si>
  <si>
    <t>578.4001M</t>
  </si>
  <si>
    <t>578.4501M</t>
  </si>
  <si>
    <t>576.4501M</t>
  </si>
  <si>
    <t>Vrtání čela Dole:</t>
  </si>
  <si>
    <t>578.5001M</t>
  </si>
  <si>
    <t>576.5001M</t>
  </si>
  <si>
    <t>Vrtání čel 2 až 5:</t>
  </si>
  <si>
    <t>578.5501M</t>
  </si>
  <si>
    <t>576.5501M</t>
  </si>
  <si>
    <t>578.6001M</t>
  </si>
  <si>
    <t>576.6001M</t>
  </si>
  <si>
    <t>576.6501M</t>
  </si>
  <si>
    <t>S0</t>
  </si>
  <si>
    <t>T60B3030</t>
  </si>
  <si>
    <t>S1</t>
  </si>
  <si>
    <t>T60B3130</t>
  </si>
  <si>
    <t>L1</t>
  </si>
  <si>
    <t>T60B3330</t>
  </si>
  <si>
    <t>L3</t>
  </si>
  <si>
    <t>T60B3530</t>
  </si>
  <si>
    <t>L5</t>
  </si>
  <si>
    <t>T60B3560</t>
  </si>
  <si>
    <t>T60.1125W</t>
  </si>
  <si>
    <t>T60B000H</t>
  </si>
  <si>
    <t>Z96.2011</t>
  </si>
  <si>
    <t>Vrtání čel pro podpěrný úhelník</t>
  </si>
  <si>
    <r>
      <t xml:space="preserve">nutný od šířky korpusu </t>
    </r>
    <r>
      <rPr>
        <sz val="11"/>
        <color indexed="8"/>
        <rFont val="Calibri"/>
        <family val="2"/>
        <charset val="238"/>
      </rPr>
      <t xml:space="preserve">≥ </t>
    </r>
    <r>
      <rPr>
        <sz val="11"/>
        <color theme="1"/>
        <rFont val="Arial"/>
        <family val="2"/>
        <charset val="238"/>
      </rPr>
      <t>750 mm</t>
    </r>
  </si>
  <si>
    <t>Sada TIP-ON BLUMOTION</t>
  </si>
  <si>
    <t>T60B3xx0</t>
  </si>
  <si>
    <t>vyberte typ jednotek z tabulky dole</t>
  </si>
  <si>
    <t>Hřídel synchronizace</t>
  </si>
  <si>
    <t>Podpěra hřídele synch.</t>
  </si>
  <si>
    <t>Podpěrný úhelník pro dno</t>
  </si>
  <si>
    <t>Sada TIP-ON BLUMOTION:</t>
  </si>
  <si>
    <t>jednotka</t>
  </si>
  <si>
    <r>
      <t>hmotnost</t>
    </r>
    <r>
      <rPr>
        <vertAlign val="superscript"/>
        <sz val="10"/>
        <color theme="1"/>
        <rFont val="Arial"/>
        <family val="2"/>
        <charset val="238"/>
      </rPr>
      <t>4</t>
    </r>
  </si>
  <si>
    <t>lišta [kg]</t>
  </si>
  <si>
    <t xml:space="preserve">označení </t>
  </si>
  <si>
    <t xml:space="preserve">   Pozn.: 4) - celková hmotnost výsuvu, včetně čela a předpokládané náplně</t>
  </si>
  <si>
    <t xml:space="preserve"> </t>
  </si>
  <si>
    <t>vyberte typ jednotek z katalogu</t>
  </si>
  <si>
    <t xml:space="preserve">        U výsuvu dole je vrtání posunuto o 1 mm nahoru jako tolerance pro případ montáže</t>
  </si>
  <si>
    <t xml:space="preserve">         na bok korpusu v rozloženém stavu.</t>
  </si>
  <si>
    <t xml:space="preserve">       * Možné výšky bočnic výsuvu vzhledem k výšce čela</t>
  </si>
  <si>
    <t xml:space="preserve">     ** Platí pro naložená čela a vnitřní výsuvy s BLUMOTION</t>
  </si>
  <si>
    <t xml:space="preserve">         U výsuvů s vloženými čely je nutné připočíst tloušťku čela a příp. zapuštění do korpusu</t>
  </si>
  <si>
    <t xml:space="preserve">         U vnitřních výsuvů s TIP-ON je nutné posunout pozici korpusové lišty o min. 7 mm směrem do korpusu!</t>
  </si>
  <si>
    <t>F</t>
  </si>
  <si>
    <t>vrtání čela 2 až 5:</t>
  </si>
  <si>
    <r>
      <t>SPACE TOWER</t>
    </r>
    <r>
      <rPr>
        <sz val="18"/>
        <color indexed="8"/>
        <rFont val="Arial"/>
        <family val="2"/>
        <charset val="238"/>
      </rPr>
      <t xml:space="preserve"> - potravinové skříně</t>
    </r>
  </si>
  <si>
    <t>Vyberte typ box systému:</t>
  </si>
  <si>
    <t>SPACE TOWER</t>
  </si>
  <si>
    <t>► Úvod potr.skříně</t>
  </si>
  <si>
    <t>D. Mezera dole</t>
  </si>
  <si>
    <t>E. Mezera na straně závěsů</t>
  </si>
  <si>
    <t>Počet závěsů (3 nebo 4)</t>
  </si>
  <si>
    <t>min.výšky</t>
  </si>
  <si>
    <t>výška korp. min.</t>
  </si>
  <si>
    <t>skut.</t>
  </si>
  <si>
    <t>Pozice</t>
  </si>
  <si>
    <t>Doporučené výšky</t>
  </si>
  <si>
    <t>Vrtání závěsů / podložek</t>
  </si>
  <si>
    <t>3 závěsy*</t>
  </si>
  <si>
    <t>4 závěsy*</t>
  </si>
  <si>
    <r>
      <t xml:space="preserve">   min. výška V</t>
    </r>
    <r>
      <rPr>
        <sz val="8"/>
        <color indexed="8"/>
        <rFont val="Arial"/>
        <family val="2"/>
        <charset val="238"/>
      </rPr>
      <t>x</t>
    </r>
  </si>
  <si>
    <t xml:space="preserve">              min. úložná výška</t>
  </si>
  <si>
    <t xml:space="preserve">        3 závěsy</t>
  </si>
  <si>
    <t xml:space="preserve">         4 závěsy</t>
  </si>
  <si>
    <t xml:space="preserve">                    lišty</t>
  </si>
  <si>
    <t>korpus</t>
  </si>
  <si>
    <t>dveře</t>
  </si>
  <si>
    <t>3 záv.</t>
  </si>
  <si>
    <t>4 záv.</t>
  </si>
  <si>
    <t>výsl.</t>
  </si>
  <si>
    <t>rozměr</t>
  </si>
  <si>
    <t>Horní police →</t>
  </si>
  <si>
    <t xml:space="preserve"> --</t>
  </si>
  <si>
    <t>Úložné výšky zadávejte od spodu. Složení: 4x výsuv D a 1x zásuvka M</t>
  </si>
  <si>
    <t>Přířezy:</t>
  </si>
  <si>
    <t>čelní profil:</t>
  </si>
  <si>
    <t>přední reling:</t>
  </si>
  <si>
    <t xml:space="preserve">       * Horní závěs je vždy 80 mm od horní hrany korpusu.</t>
  </si>
  <si>
    <t xml:space="preserve">      ** Platí pro výsuvy s BLUMOTION</t>
  </si>
  <si>
    <t xml:space="preserve">     *** Mezera pro vrtání misky 5 mm od hrany dveří.</t>
  </si>
  <si>
    <t>Rozměry:</t>
  </si>
  <si>
    <r>
      <t xml:space="preserve">úložné výšky </t>
    </r>
    <r>
      <rPr>
        <sz val="11"/>
        <color theme="1"/>
        <rFont val="Calibri"/>
        <family val="2"/>
        <charset val="238"/>
      </rPr>
      <t>↓</t>
    </r>
  </si>
  <si>
    <t>Rozměry přířezů:</t>
  </si>
  <si>
    <t>Rozměry pro krácení:</t>
  </si>
  <si>
    <t xml:space="preserve">         Upozornění:</t>
  </si>
  <si>
    <t>Nahoru</t>
  </si>
  <si>
    <t xml:space="preserve">         - vždy používejte závěsy s nulovým přesahem, úhel otevření 155°nebo 125°</t>
  </si>
  <si>
    <t xml:space="preserve">         - při použití výsuvů s TIP-ON BLUMOTION je nutné upravit pozice dle katalogu!</t>
  </si>
  <si>
    <t>Z37R237D</t>
  </si>
  <si>
    <t>Korpusové lišty 30 kg</t>
  </si>
  <si>
    <t>Z37R267D</t>
  </si>
  <si>
    <t>Korpusové lišty 65 kg</t>
  </si>
  <si>
    <t>Z37R317D</t>
  </si>
  <si>
    <t>Z37R367D</t>
  </si>
  <si>
    <t>Z37R417D</t>
  </si>
  <si>
    <t>Z37R467D</t>
  </si>
  <si>
    <t>Upevnění čela M</t>
  </si>
  <si>
    <t>Z37R517D</t>
  </si>
  <si>
    <t>Upevnění čela D</t>
  </si>
  <si>
    <t>Z37R567D</t>
  </si>
  <si>
    <t xml:space="preserve">Přední díl </t>
  </si>
  <si>
    <t>Z37R617D</t>
  </si>
  <si>
    <t>Přední reling</t>
  </si>
  <si>
    <t>Závěs 155° s nul.přesahem</t>
  </si>
  <si>
    <t xml:space="preserve">pro TIP-ON: 70T7550.TL </t>
  </si>
  <si>
    <t>Mont. podložka přímá</t>
  </si>
  <si>
    <t xml:space="preserve">verze na vruty: 175H3100 </t>
  </si>
  <si>
    <t>Volitelně:</t>
  </si>
  <si>
    <t>přední díl:</t>
  </si>
  <si>
    <t>reling:</t>
  </si>
  <si>
    <t>TIP-ON dlouhá verze</t>
  </si>
  <si>
    <t>Zadání:</t>
  </si>
  <si>
    <t>Výsledky:</t>
  </si>
  <si>
    <t>Kování:</t>
  </si>
  <si>
    <t xml:space="preserve">         Vždy používejte závěsy s nulovým přesahem, úhel otevření </t>
  </si>
  <si>
    <t xml:space="preserve">        155°nebo 125°</t>
  </si>
  <si>
    <t>Krácení profilů:</t>
  </si>
  <si>
    <t>LEGRABOX pure/free</t>
  </si>
  <si>
    <t>Horní police</t>
  </si>
  <si>
    <t>čelní sklo:</t>
  </si>
  <si>
    <t>MERIVOBOX</t>
  </si>
  <si>
    <t>Vyberte požadovaný box systém:</t>
  </si>
  <si>
    <t>Jmenovitá délka výsuvů NL (např. 450, 500, 600)***</t>
  </si>
  <si>
    <t xml:space="preserve">   *** Jmenovité délky: 270, 300, 350, 400, 450, 500, 550, nebo 600</t>
  </si>
  <si>
    <t>sklo:</t>
  </si>
  <si>
    <t>Úložné výšky zadávejte od spodu. Složení: 4x výsuv E a 1x zásuvka M</t>
  </si>
  <si>
    <t>N</t>
  </si>
  <si>
    <t>E</t>
  </si>
  <si>
    <t xml:space="preserve">         U výsuvu dole je vrtání posunuto o 2 mm nahoru jako tolerance, např. pro silnější dno korpusu</t>
  </si>
  <si>
    <t>Parametry korpusu [mm]:</t>
  </si>
  <si>
    <t>Bočnice MERIVOBOX M</t>
  </si>
  <si>
    <t>Držáky zad E</t>
  </si>
  <si>
    <t xml:space="preserve">Soupis platí pro verzi s relingem. Chcete-li BOXCAP nebo BOXCOVER, </t>
  </si>
  <si>
    <t>použijte brožuru nebo E-SERVICES</t>
  </si>
  <si>
    <t>470M2702S</t>
  </si>
  <si>
    <t>470M3002S</t>
  </si>
  <si>
    <t>470M3502S</t>
  </si>
  <si>
    <t>470M4002S</t>
  </si>
  <si>
    <t>470M5502S</t>
  </si>
  <si>
    <t>470M5002S</t>
  </si>
  <si>
    <t>470M6002S</t>
  </si>
  <si>
    <t>470M6502S</t>
  </si>
  <si>
    <t>Jmenovitá délka výsuvů NL (např. 450, 500, 600)</t>
  </si>
  <si>
    <t>450.2701B</t>
  </si>
  <si>
    <t>450.3001B</t>
  </si>
  <si>
    <t>450.3501B</t>
  </si>
  <si>
    <t>450.4001B</t>
  </si>
  <si>
    <t>450.4501B</t>
  </si>
  <si>
    <t>450.5001B</t>
  </si>
  <si>
    <t>450.5501B</t>
  </si>
  <si>
    <t>450.6001B</t>
  </si>
  <si>
    <t>453.4501B</t>
  </si>
  <si>
    <t>453.5001B</t>
  </si>
  <si>
    <t>453.5501B</t>
  </si>
  <si>
    <t>453.6001B</t>
  </si>
  <si>
    <t>453.6501B</t>
  </si>
  <si>
    <t>ZR4.270RS.E</t>
  </si>
  <si>
    <t>ZR4.300RS.E</t>
  </si>
  <si>
    <t>ZR4.350RS.E</t>
  </si>
  <si>
    <t>ZR4.400RS.E</t>
  </si>
  <si>
    <t>ZR4.450RS.E</t>
  </si>
  <si>
    <t>ZR4.500RS.E</t>
  </si>
  <si>
    <t>ZR4.550RS.E</t>
  </si>
  <si>
    <t>ZR4.600RS.E</t>
  </si>
  <si>
    <t>ZR4.650RS.E</t>
  </si>
  <si>
    <t xml:space="preserve">      ** U výsuvu dole je vrtání posunuto o 2 mm nahoru jako tolerance, např. pro silnější dno korpusu</t>
  </si>
  <si>
    <t>Pozor! Zásuvky výšky N a K nejsou uvedeny v soupisu kování!</t>
  </si>
  <si>
    <t>Čelní úchyt nahoře, INSERTA</t>
  </si>
  <si>
    <t>T60H4040</t>
  </si>
  <si>
    <t>T60H4140</t>
  </si>
  <si>
    <t>T60H4340</t>
  </si>
  <si>
    <t>T60H4540</t>
  </si>
  <si>
    <t>T60H4570</t>
  </si>
  <si>
    <t xml:space="preserve">Barvy: R9006 nebo WGR = světle šedá | SW = hedvábně bílá </t>
  </si>
  <si>
    <t>Barvy TIP-ON: R7036 = světle šedá | SW = hedvábně bílá</t>
  </si>
  <si>
    <t>Korpusové lišty 40 kg</t>
  </si>
  <si>
    <t>Korpusové lišty 70 kg</t>
  </si>
  <si>
    <t>T60H4xx0</t>
  </si>
  <si>
    <t xml:space="preserve">Barvy MERIVOBOX: IG-M = světle šedá | OG-M = tmavě šedá | SW-M = hedvábně bílá </t>
  </si>
  <si>
    <t xml:space="preserve">Barvy: R906 = světle šedá | SW = hedvábně bílá </t>
  </si>
  <si>
    <t xml:space="preserve">          U vnitřních výsuvů s TIP-ON BLUMOTION je nutné posunout pozici korpusové lišty  o min. 5 mm směrem do korpusu!</t>
  </si>
  <si>
    <t>Barvy: IG-M = světle šedá | OG-M = tmavě šedá | SW-M = hedvábně bílá</t>
  </si>
  <si>
    <t>Volitelně - pokud TIP-ON BLUMOTION nechcete, následující položky neobjednávejte:</t>
  </si>
  <si>
    <t xml:space="preserve">      ** Hloubka - platí pro naložená čela a vnitřní výsuvy bez TOB</t>
  </si>
  <si>
    <t>TANDEMBOX antaro                       s BLUMOTION</t>
  </si>
  <si>
    <t>Tato aplikace slouží pro zjednodušení výpočtu hodnot pro nastavení šablon. V některých případech nemusí být výsledky přesné.    Firma Blum neručí za škody způsobené použitím této aplikace.</t>
  </si>
  <si>
    <t>Verze 3.1.0</t>
  </si>
  <si>
    <t>Přidán MERIVOBOX</t>
  </si>
  <si>
    <t>Upraven sortiment TANDEMBOX antaro</t>
  </si>
  <si>
    <t>Verze 3.1.1</t>
  </si>
  <si>
    <t>oprava nulového bodu u vrtání boku MVX</t>
  </si>
  <si>
    <t>oprava značení a rozměrů zad u SPACE TOWER MVX</t>
  </si>
  <si>
    <t xml:space="preserve">Soupis kování platí pro výšku M a E ve verzi s relingem. Chcete-li jiné výšky, BOXCAP nebo BOXCOVER, </t>
  </si>
  <si>
    <t>použijte brožuru nebo E-SERVICES. Hodnoty vrtání jsou shodné pro všechny varianty.</t>
  </si>
  <si>
    <t>Soupis kování platí pro bočnice M a výšku E s relingem. Pro další výšky a varianty</t>
  </si>
  <si>
    <t>AVENTOS HKi</t>
  </si>
  <si>
    <t>170 mm</t>
  </si>
  <si>
    <t>plně integrovaný</t>
  </si>
  <si>
    <t>s krytkou</t>
  </si>
  <si>
    <t>170 - 600</t>
  </si>
  <si>
    <t>plně integrovaná</t>
  </si>
  <si>
    <t>Vrtání čela pro obě varianty:</t>
  </si>
  <si>
    <t xml:space="preserve">plně integrovaný zdvihač </t>
  </si>
  <si>
    <t>s krytkou (částečně integrovaný)</t>
  </si>
  <si>
    <t>s krytkou:</t>
  </si>
  <si>
    <t>boční plná:</t>
  </si>
  <si>
    <t>plně integrovaný / s krytkou</t>
  </si>
  <si>
    <t>od boční hrany</t>
  </si>
  <si>
    <t>4K2300</t>
  </si>
  <si>
    <t>4K2500</t>
  </si>
  <si>
    <t>4K2800</t>
  </si>
  <si>
    <t>4K2700</t>
  </si>
  <si>
    <t>24K2300</t>
  </si>
  <si>
    <t>24K2500</t>
  </si>
  <si>
    <t>24K2700</t>
  </si>
  <si>
    <t>24K2800</t>
  </si>
  <si>
    <t>24K2300T</t>
  </si>
  <si>
    <t>24K2500T</t>
  </si>
  <si>
    <t>24K2700T</t>
  </si>
  <si>
    <t>24K2800T</t>
  </si>
  <si>
    <t>24K42E1</t>
  </si>
  <si>
    <t>24K4201A</t>
  </si>
  <si>
    <t>Čelní kování pro dřevěná čela</t>
  </si>
  <si>
    <t>Čelní kování pro alurámečky</t>
  </si>
  <si>
    <t>24K8000</t>
  </si>
  <si>
    <t xml:space="preserve">Sada krytek </t>
  </si>
  <si>
    <t>pro variantu s krytkami (částečně integrovaný zdvihač):</t>
  </si>
  <si>
    <t>Barvy TIP-ON: R7036 = světle šedá | SW = hedvábně bílá | CS = karbonově černá</t>
  </si>
  <si>
    <t>Barvy TIP-ON: R7036 = světle šedá | SW = hedvábně bílá | CS = karbon černá</t>
  </si>
  <si>
    <t>na TIP-ON</t>
  </si>
  <si>
    <t>Verze 3.2.0</t>
  </si>
  <si>
    <t>přidán AVENTOS Hki</t>
  </si>
  <si>
    <t>AVENTOS Hki</t>
  </si>
  <si>
    <t xml:space="preserve"> AVENTOS HF top</t>
  </si>
  <si>
    <t>480 - 519</t>
  </si>
  <si>
    <t>520 - 1200</t>
  </si>
  <si>
    <t xml:space="preserve">  Hodnoty vrtání do korpusu platí pro zdvihače s předmontovanými</t>
  </si>
  <si>
    <t xml:space="preserve">     pro teleskopy</t>
  </si>
  <si>
    <t xml:space="preserve">  eurošrouby. Pozice varianty s vruty se určuje pomocí krytky.</t>
  </si>
  <si>
    <t>1200 mm</t>
  </si>
  <si>
    <t>od horní hrany spodního čela:</t>
  </si>
  <si>
    <t>Předvrtání do korpusu platí pro zdvihače s předmontovanými eurošrouby.</t>
  </si>
  <si>
    <t xml:space="preserve">U zdvihačů s upevněním pomocí vrutů se pozice určuje pomocí </t>
  </si>
  <si>
    <t>integrovaných šablon.</t>
  </si>
  <si>
    <t>Platí pro zdvihače s předmontovanými eurošrouby.</t>
  </si>
  <si>
    <t>22F2500</t>
  </si>
  <si>
    <t>22F2800</t>
  </si>
  <si>
    <t>22F3200</t>
  </si>
  <si>
    <t>22F3500</t>
  </si>
  <si>
    <t>22F3900</t>
  </si>
  <si>
    <t>22F8000</t>
  </si>
  <si>
    <t>AVENTOS HF top</t>
  </si>
  <si>
    <t>AVENTOS HS top</t>
  </si>
  <si>
    <t>AVENTOS HL top</t>
  </si>
  <si>
    <t>od horní hrany korpusu:</t>
  </si>
  <si>
    <t xml:space="preserve">  * Vzdálenost od horní hrany korpusu na horní osu vrtání pro zdvihač</t>
  </si>
  <si>
    <t xml:space="preserve"> ** Vzdálenost od horní hrany dolního čela na horní otvor podložky</t>
  </si>
  <si>
    <t xml:space="preserve"> * Vzdálenost od spodní hrany korpusu na osu vrtání pro zdvihač</t>
  </si>
  <si>
    <t xml:space="preserve"> &lt;=519</t>
  </si>
  <si>
    <t xml:space="preserve"> &gt;=520</t>
  </si>
  <si>
    <t>Z</t>
  </si>
  <si>
    <t>H</t>
  </si>
  <si>
    <t>FHo</t>
  </si>
  <si>
    <t>min ↓↓</t>
  </si>
  <si>
    <t>max ↓↓</t>
  </si>
  <si>
    <t>absolutně</t>
  </si>
  <si>
    <t>vypočtená</t>
  </si>
  <si>
    <t>výsledná</t>
  </si>
  <si>
    <t>FHu</t>
  </si>
  <si>
    <t xml:space="preserve"> Výška korpusu KH</t>
  </si>
  <si>
    <t xml:space="preserve"> Mezera nahoře F1 [mm] </t>
  </si>
  <si>
    <t xml:space="preserve"> Mezera mezi čely F2 [mm] </t>
  </si>
  <si>
    <t xml:space="preserve"> Mezera dole F3 [mm] </t>
  </si>
  <si>
    <t xml:space="preserve"> Síla dna korpusu [mm] </t>
  </si>
  <si>
    <t xml:space="preserve"> Výška čela nahoře FHo [mm] </t>
  </si>
  <si>
    <t xml:space="preserve"> Výška čela dole FHu [mm] </t>
  </si>
  <si>
    <t xml:space="preserve"> Pozice zdvihače H [mm] </t>
  </si>
  <si>
    <t xml:space="preserve"> Pozice mont. podložky pro teleskopy Z [mm] </t>
  </si>
  <si>
    <t xml:space="preserve"> Teoretická výška korpusu TKH [mm] * </t>
  </si>
  <si>
    <t xml:space="preserve"> Možné výšky čel [mm] </t>
  </si>
  <si>
    <t xml:space="preserve"> Horní čelo (Fho) </t>
  </si>
  <si>
    <t xml:space="preserve"> Spodní čelo (Fhu) </t>
  </si>
  <si>
    <t>TKH - Teoretická výška korpusu *</t>
  </si>
  <si>
    <t xml:space="preserve">        * Tuto výšku použijte pro výběr teleskopů!</t>
  </si>
  <si>
    <r>
      <t xml:space="preserve"> ** Vzdálenost od </t>
    </r>
    <r>
      <rPr>
        <sz val="11"/>
        <rFont val="Arial"/>
        <family val="2"/>
        <charset val="238"/>
      </rPr>
      <t xml:space="preserve">horní </t>
    </r>
    <r>
      <rPr>
        <sz val="11"/>
        <color theme="1"/>
        <rFont val="Arial"/>
        <family val="2"/>
        <charset val="238"/>
      </rPr>
      <t xml:space="preserve">hrany čela na první otvor čelního kování. </t>
    </r>
  </si>
  <si>
    <t>krytky a integrované šablony.</t>
  </si>
  <si>
    <t>od horní hrany čela:</t>
  </si>
  <si>
    <t xml:space="preserve"> Všechny rozměry v mm!</t>
  </si>
  <si>
    <t xml:space="preserve">** Vzdálenost od spodní hrany čela na první otvor čelního kování. </t>
  </si>
  <si>
    <t xml:space="preserve"> * Vzdálenost od horní hrany korpusu na horní osu vrtání pro zdvihač</t>
  </si>
  <si>
    <t>300 - 339</t>
  </si>
  <si>
    <t>340 - 389</t>
  </si>
  <si>
    <t>390 - 540</t>
  </si>
  <si>
    <t>480 - 580</t>
  </si>
  <si>
    <t>Příklad: 22F2500 = vruty, 22F2510 = eurošrouby</t>
  </si>
  <si>
    <t>Ostatní díly jsou stejné.</t>
  </si>
  <si>
    <t xml:space="preserve">Číslo artiklu u sady zdvihačů platí pro zdvihače s upevněním pomocí vrutů. </t>
  </si>
  <si>
    <t xml:space="preserve">Zdvihače s předmontovanými eurošrouby mají na konci 10 </t>
  </si>
  <si>
    <t>(22F2810)</t>
  </si>
  <si>
    <t>(22F2510)</t>
  </si>
  <si>
    <t xml:space="preserve"> AVENTOS HF top - asymetrická čela</t>
  </si>
  <si>
    <t>Vrtání korpusu platí pro zdvihače s předmontovanými eurošrouby!</t>
  </si>
  <si>
    <t>Verze 4.0.0</t>
  </si>
  <si>
    <t>změna na AVENTOS top</t>
  </si>
  <si>
    <t>pro plně integrovanou variantu:</t>
  </si>
  <si>
    <t>Sada předfrézovaných surových desek</t>
  </si>
  <si>
    <t>24K7100</t>
  </si>
  <si>
    <t>Sklo: 2500</t>
  </si>
  <si>
    <t>Tloušťka čela nebo skla [mm]</t>
  </si>
  <si>
    <t>*** Mezera nahoře platí pro vrtání misky 5 mm od hrany. Chcete-li mezeru</t>
  </si>
  <si>
    <t xml:space="preserve">      menší nebo větší, přizpůsobte vzdálenost vrtání miskym (viz katalog)</t>
  </si>
  <si>
    <t xml:space="preserve">      menší nebo větší, přizpůsobte vzdálenost vrtání misky (viz katalog)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</si>
</sst>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_ ;[Red]\-0.0\ "/>
    <numFmt numFmtId="166" formatCode="0.0_ ;\-0.0\ "/>
    <numFmt numFmtId="167" formatCode="0_ ;[Red]\-0\ "/>
  </numFmts>
  <fonts count="62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8"/>
      <color indexed="8"/>
      <name val="Arial"/>
      <family val="2"/>
      <charset val="238"/>
    </font>
    <font>
      <b/>
      <sz val="18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sz val="16"/>
      <color indexed="8"/>
      <name val="Arial"/>
      <family val="2"/>
      <charset val="238"/>
    </font>
    <font>
      <sz val="9"/>
      <name val="Verdana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20"/>
      <color theme="1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b/>
      <sz val="11"/>
      <color rgb="FFFF0000"/>
      <name val="Calibri"/>
      <family val="2"/>
    </font>
    <font>
      <sz val="10"/>
      <color theme="0" tint="-0.249977111117893"/>
      <name val="Arial"/>
      <family val="2"/>
      <charset val="238"/>
    </font>
    <font>
      <sz val="11"/>
      <color theme="1" tint="0.249977111117893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sz val="14"/>
      <color theme="0" tint="-0.499984740745262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1" tint="0.499984740745262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0"/>
      <name val="Arial"/>
      <family val="2"/>
      <charset val="238"/>
    </font>
    <font>
      <sz val="12"/>
      <color theme="1"/>
      <name val="Arial"/>
      <family val="2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20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 tint="-0.249977111117893"/>
      <name val="Arial"/>
      <family val="2"/>
      <charset val="238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5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8" fillId="0" borderId="0" applyNumberFormat="0" applyFill="0" applyBorder="0" applyAlignment="0" applyProtection="0"/>
    <xf numFmtId="0" fontId="19" fillId="0" borderId="0"/>
    <xf numFmtId="0" fontId="9" fillId="0" borderId="0"/>
    <xf numFmtId="0" fontId="15" fillId="0" borderId="0"/>
    <xf numFmtId="0" fontId="1" fillId="0" borderId="0"/>
  </cellStyleXfs>
  <cellXfs count="384">
    <xf numFmtId="0" fontId="0" fillId="0" borderId="0" xfId="0"/>
    <xf numFmtId="0" fontId="21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indent="1"/>
      <protection hidden="1"/>
    </xf>
    <xf numFmtId="0" fontId="0" fillId="0" borderId="0" xfId="0" applyAlignment="1" applyProtection="1">
      <alignment vertical="center" textRotation="90"/>
      <protection hidden="1"/>
    </xf>
    <xf numFmtId="0" fontId="0" fillId="0" borderId="2" xfId="0" quotePrefix="1" applyBorder="1" applyProtection="1">
      <protection hidden="1"/>
    </xf>
    <xf numFmtId="0" fontId="0" fillId="0" borderId="3" xfId="0" quotePrefix="1" applyBorder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4" xfId="0" quotePrefix="1" applyBorder="1" applyProtection="1">
      <protection hidden="1"/>
    </xf>
    <xf numFmtId="0" fontId="0" fillId="0" borderId="0" xfId="0" applyAlignment="1" applyProtection="1">
      <alignment vertical="top"/>
      <protection hidden="1"/>
    </xf>
    <xf numFmtId="0" fontId="20" fillId="0" borderId="0" xfId="0" applyFont="1" applyAlignment="1" applyProtection="1">
      <alignment vertic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20" fillId="0" borderId="0" xfId="0" applyFont="1"/>
    <xf numFmtId="0" fontId="0" fillId="0" borderId="0" xfId="0" applyAlignment="1" applyProtection="1">
      <alignment horizontal="center" vertical="top"/>
      <protection hidden="1"/>
    </xf>
    <xf numFmtId="0" fontId="0" fillId="2" borderId="17" xfId="0" applyFill="1" applyBorder="1" applyAlignment="1">
      <alignment horizontal="center" vertical="center"/>
    </xf>
    <xf numFmtId="0" fontId="0" fillId="0" borderId="0" xfId="0" applyAlignment="1" applyProtection="1">
      <alignment vertical="center"/>
      <protection hidden="1"/>
    </xf>
    <xf numFmtId="0" fontId="20" fillId="0" borderId="0" xfId="0" applyFont="1" applyProtection="1">
      <protection hidden="1"/>
    </xf>
    <xf numFmtId="0" fontId="23" fillId="0" borderId="0" xfId="0" applyFont="1" applyAlignment="1" applyProtection="1">
      <alignment horizontal="left" indent="1"/>
      <protection hidden="1"/>
    </xf>
    <xf numFmtId="0" fontId="0" fillId="0" borderId="0" xfId="0" applyAlignment="1">
      <alignment horizontal="center"/>
    </xf>
    <xf numFmtId="0" fontId="0" fillId="2" borderId="18" xfId="0" applyFill="1" applyBorder="1" applyAlignment="1">
      <alignment horizontal="center" vertical="center" wrapText="1"/>
    </xf>
    <xf numFmtId="0" fontId="24" fillId="0" borderId="0" xfId="0" applyFont="1" applyProtection="1">
      <protection hidden="1"/>
    </xf>
    <xf numFmtId="0" fontId="0" fillId="0" borderId="0" xfId="0" quotePrefix="1" applyProtection="1">
      <protection hidden="1"/>
    </xf>
    <xf numFmtId="0" fontId="0" fillId="0" borderId="0" xfId="0" quotePrefix="1" applyAlignment="1" applyProtection="1">
      <alignment vertical="center" textRotation="90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3" fillId="0" borderId="0" xfId="0" applyFont="1"/>
    <xf numFmtId="0" fontId="0" fillId="2" borderId="18" xfId="0" applyFill="1" applyBorder="1" applyAlignment="1">
      <alignment horizontal="center" vertical="center"/>
    </xf>
    <xf numFmtId="0" fontId="25" fillId="0" borderId="5" xfId="0" applyFont="1" applyBorder="1" applyAlignment="1" applyProtection="1">
      <alignment horizontal="center"/>
      <protection hidden="1"/>
    </xf>
    <xf numFmtId="0" fontId="17" fillId="3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25" fillId="0" borderId="6" xfId="0" applyFont="1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right" vertical="top"/>
      <protection hidden="1"/>
    </xf>
    <xf numFmtId="0" fontId="0" fillId="0" borderId="7" xfId="0" applyBorder="1" applyAlignment="1" applyProtection="1">
      <alignment horizontal="center" vertical="top"/>
      <protection hidden="1"/>
    </xf>
    <xf numFmtId="0" fontId="25" fillId="0" borderId="2" xfId="0" applyFont="1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 vertical="top"/>
      <protection hidden="1"/>
    </xf>
    <xf numFmtId="0" fontId="0" fillId="0" borderId="3" xfId="0" applyBorder="1" applyProtection="1">
      <protection hidden="1"/>
    </xf>
    <xf numFmtId="0" fontId="20" fillId="0" borderId="0" xfId="0" applyFont="1" applyAlignment="1" applyProtection="1">
      <alignment horizontal="left" vertical="center"/>
      <protection hidden="1"/>
    </xf>
    <xf numFmtId="0" fontId="20" fillId="0" borderId="0" xfId="0" applyFont="1" applyAlignment="1">
      <alignment vertical="center"/>
    </xf>
    <xf numFmtId="0" fontId="5" fillId="0" borderId="0" xfId="0" applyFont="1" applyProtection="1">
      <protection hidden="1"/>
    </xf>
    <xf numFmtId="0" fontId="28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left"/>
      <protection hidden="1"/>
    </xf>
    <xf numFmtId="0" fontId="17" fillId="0" borderId="0" xfId="0" applyFont="1" applyAlignment="1" applyProtection="1">
      <alignment horizontal="center"/>
      <protection hidden="1"/>
    </xf>
    <xf numFmtId="0" fontId="0" fillId="3" borderId="19" xfId="0" applyFill="1" applyBorder="1" applyAlignment="1">
      <alignment horizontal="left" vertical="center" wrapText="1"/>
    </xf>
    <xf numFmtId="0" fontId="18" fillId="0" borderId="0" xfId="1" applyFill="1" applyBorder="1" applyAlignment="1" applyProtection="1">
      <alignment vertical="center"/>
      <protection hidden="1"/>
    </xf>
    <xf numFmtId="0" fontId="29" fillId="0" borderId="1" xfId="0" applyFont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0" fillId="3" borderId="7" xfId="0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3" borderId="7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3" borderId="6" xfId="0" applyFill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2" borderId="6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30" fillId="3" borderId="7" xfId="0" applyFont="1" applyFill="1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3" borderId="12" xfId="0" applyFill="1" applyBorder="1" applyAlignment="1">
      <alignment horizontal="left" vertical="center" wrapText="1"/>
    </xf>
    <xf numFmtId="0" fontId="4" fillId="0" borderId="0" xfId="0" applyFont="1"/>
    <xf numFmtId="0" fontId="17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 indent="5"/>
      <protection hidden="1"/>
    </xf>
    <xf numFmtId="0" fontId="0" fillId="0" borderId="0" xfId="0" applyAlignment="1" applyProtection="1">
      <alignment horizontal="left" indent="6"/>
      <protection hidden="1"/>
    </xf>
    <xf numFmtId="0" fontId="17" fillId="0" borderId="0" xfId="0" applyFont="1" applyAlignment="1" applyProtection="1">
      <alignment horizontal="left" indent="1"/>
      <protection hidden="1"/>
    </xf>
    <xf numFmtId="0" fontId="8" fillId="0" borderId="0" xfId="0" applyFont="1" applyAlignment="1">
      <alignment vertical="top"/>
    </xf>
    <xf numFmtId="0" fontId="26" fillId="0" borderId="1" xfId="0" applyFont="1" applyBorder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left" indent="1"/>
      <protection hidden="1"/>
    </xf>
    <xf numFmtId="0" fontId="0" fillId="0" borderId="0" xfId="0" applyAlignment="1" applyProtection="1">
      <alignment horizontal="left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10" fillId="0" borderId="0" xfId="3" applyFont="1" applyProtection="1">
      <protection hidden="1"/>
    </xf>
    <xf numFmtId="0" fontId="10" fillId="0" borderId="0" xfId="3" applyFont="1" applyAlignment="1" applyProtection="1">
      <alignment horizontal="center"/>
      <protection hidden="1"/>
    </xf>
    <xf numFmtId="0" fontId="9" fillId="0" borderId="0" xfId="3"/>
    <xf numFmtId="0" fontId="10" fillId="0" borderId="0" xfId="3" applyFont="1"/>
    <xf numFmtId="164" fontId="0" fillId="0" borderId="1" xfId="0" applyNumberFormat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0" fontId="0" fillId="0" borderId="0" xfId="0" quotePrefix="1" applyAlignment="1" applyProtection="1">
      <alignment horizontal="center"/>
      <protection hidden="1"/>
    </xf>
    <xf numFmtId="164" fontId="0" fillId="0" borderId="7" xfId="0" applyNumberFormat="1" applyBorder="1" applyAlignment="1" applyProtection="1">
      <alignment horizontal="center"/>
      <protection hidden="1"/>
    </xf>
    <xf numFmtId="164" fontId="17" fillId="0" borderId="0" xfId="0" applyNumberFormat="1" applyFont="1" applyAlignment="1" applyProtection="1">
      <alignment horizontal="center" vertical="top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right"/>
      <protection hidden="1"/>
    </xf>
    <xf numFmtId="0" fontId="32" fillId="0" borderId="0" xfId="0" applyFont="1" applyProtection="1">
      <protection hidden="1"/>
    </xf>
    <xf numFmtId="0" fontId="33" fillId="0" borderId="0" xfId="0" applyFont="1" applyProtection="1">
      <protection hidden="1"/>
    </xf>
    <xf numFmtId="0" fontId="0" fillId="0" borderId="14" xfId="0" applyBorder="1" applyProtection="1">
      <protection hidden="1"/>
    </xf>
    <xf numFmtId="0" fontId="34" fillId="0" borderId="0" xfId="1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right" indent="1"/>
      <protection hidden="1"/>
    </xf>
    <xf numFmtId="0" fontId="23" fillId="0" borderId="0" xfId="0" applyFont="1" applyAlignment="1" applyProtection="1">
      <alignment horizontal="right" indent="1"/>
      <protection hidden="1"/>
    </xf>
    <xf numFmtId="0" fontId="0" fillId="3" borderId="0" xfId="0" applyFill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center"/>
      <protection hidden="1"/>
    </xf>
    <xf numFmtId="1" fontId="0" fillId="3" borderId="7" xfId="0" applyNumberFormat="1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0" fillId="5" borderId="7" xfId="0" applyFill="1" applyBorder="1" applyAlignment="1" applyProtection="1">
      <alignment horizontal="center"/>
      <protection hidden="1"/>
    </xf>
    <xf numFmtId="1" fontId="0" fillId="5" borderId="7" xfId="0" applyNumberFormat="1" applyFill="1" applyBorder="1" applyAlignment="1" applyProtection="1">
      <alignment horizontal="center" vertical="center"/>
      <protection hidden="1"/>
    </xf>
    <xf numFmtId="1" fontId="0" fillId="3" borderId="1" xfId="0" applyNumberFormat="1" applyFill="1" applyBorder="1" applyAlignment="1" applyProtection="1">
      <alignment horizontal="center" vertical="center"/>
      <protection hidden="1"/>
    </xf>
    <xf numFmtId="1" fontId="0" fillId="0" borderId="0" xfId="0" applyNumberFormat="1" applyProtection="1">
      <protection hidden="1"/>
    </xf>
    <xf numFmtId="0" fontId="36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right"/>
    </xf>
    <xf numFmtId="0" fontId="0" fillId="7" borderId="0" xfId="0" applyFill="1" applyProtection="1">
      <protection hidden="1"/>
    </xf>
    <xf numFmtId="0" fontId="0" fillId="7" borderId="0" xfId="0" applyFill="1" applyAlignment="1" applyProtection="1">
      <alignment horizontal="center"/>
      <protection hidden="1"/>
    </xf>
    <xf numFmtId="1" fontId="0" fillId="0" borderId="1" xfId="0" applyNumberFormat="1" applyBorder="1" applyAlignment="1" applyProtection="1">
      <alignment horizontal="center" vertical="center"/>
      <protection locked="0"/>
    </xf>
    <xf numFmtId="165" fontId="0" fillId="0" borderId="0" xfId="0" applyNumberFormat="1" applyProtection="1">
      <protection hidden="1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166" fontId="0" fillId="0" borderId="0" xfId="0" applyNumberFormat="1" applyAlignment="1" applyProtection="1">
      <alignment vertical="center" textRotation="90"/>
      <protection hidden="1"/>
    </xf>
    <xf numFmtId="166" fontId="0" fillId="0" borderId="11" xfId="0" applyNumberForma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/>
    </xf>
    <xf numFmtId="1" fontId="12" fillId="0" borderId="0" xfId="0" applyNumberFormat="1" applyFont="1" applyAlignment="1">
      <alignment horizontal="right" vertical="center" indent="2"/>
    </xf>
    <xf numFmtId="167" fontId="38" fillId="0" borderId="0" xfId="0" applyNumberFormat="1" applyFont="1" applyAlignment="1" applyProtection="1">
      <alignment horizontal="right" vertical="center"/>
      <protection hidden="1"/>
    </xf>
    <xf numFmtId="0" fontId="20" fillId="0" borderId="0" xfId="0" applyFont="1" applyAlignment="1" applyProtection="1">
      <alignment horizontal="left" vertical="center" wrapText="1"/>
      <protection hidden="1"/>
    </xf>
    <xf numFmtId="0" fontId="37" fillId="0" borderId="0" xfId="0" applyFont="1" applyProtection="1">
      <protection hidden="1"/>
    </xf>
    <xf numFmtId="0" fontId="0" fillId="3" borderId="1" xfId="0" applyFill="1" applyBorder="1" applyAlignment="1" applyProtection="1">
      <alignment horizontal="right" vertical="center"/>
      <protection hidden="1"/>
    </xf>
    <xf numFmtId="0" fontId="39" fillId="0" borderId="0" xfId="0" applyFont="1" applyAlignment="1" applyProtection="1">
      <alignment horizontal="right" indent="1"/>
      <protection hidden="1"/>
    </xf>
    <xf numFmtId="164" fontId="0" fillId="0" borderId="7" xfId="0" applyNumberForma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29" xfId="0" applyBorder="1" applyProtection="1">
      <protection hidden="1"/>
    </xf>
    <xf numFmtId="0" fontId="5" fillId="0" borderId="0" xfId="1" applyFont="1" applyFill="1" applyBorder="1" applyAlignment="1">
      <alignment horizontal="left" vertical="center" wrapText="1"/>
    </xf>
    <xf numFmtId="0" fontId="18" fillId="0" borderId="0" xfId="1" applyFill="1" applyBorder="1" applyAlignment="1">
      <alignment horizontal="left" vertical="center" wrapText="1"/>
    </xf>
    <xf numFmtId="0" fontId="0" fillId="7" borderId="5" xfId="0" applyFill="1" applyBorder="1" applyAlignment="1" applyProtection="1">
      <alignment horizontal="center"/>
      <protection hidden="1"/>
    </xf>
    <xf numFmtId="0" fontId="0" fillId="7" borderId="5" xfId="0" applyFill="1" applyBorder="1" applyProtection="1">
      <protection hidden="1"/>
    </xf>
    <xf numFmtId="0" fontId="25" fillId="0" borderId="0" xfId="0" applyFont="1" applyProtection="1">
      <protection hidden="1"/>
    </xf>
    <xf numFmtId="0" fontId="25" fillId="0" borderId="0" xfId="0" applyFont="1" applyAlignment="1" applyProtection="1">
      <alignment horizontal="center"/>
      <protection hidden="1"/>
    </xf>
    <xf numFmtId="0" fontId="23" fillId="0" borderId="0" xfId="0" applyFont="1" applyProtection="1">
      <protection hidden="1"/>
    </xf>
    <xf numFmtId="0" fontId="0" fillId="0" borderId="5" xfId="0" applyBorder="1" applyProtection="1">
      <protection hidden="1"/>
    </xf>
    <xf numFmtId="0" fontId="25" fillId="2" borderId="0" xfId="0" applyFont="1" applyFill="1" applyAlignment="1" applyProtection="1">
      <alignment horizontal="center"/>
      <protection hidden="1"/>
    </xf>
    <xf numFmtId="0" fontId="25" fillId="2" borderId="0" xfId="0" applyFont="1" applyFill="1" applyProtection="1">
      <protection hidden="1"/>
    </xf>
    <xf numFmtId="0" fontId="20" fillId="0" borderId="0" xfId="0" applyFont="1" applyAlignment="1" applyProtection="1">
      <alignment horizontal="center"/>
      <protection hidden="1"/>
    </xf>
    <xf numFmtId="0" fontId="40" fillId="0" borderId="0" xfId="0" applyFont="1"/>
    <xf numFmtId="0" fontId="40" fillId="0" borderId="0" xfId="0" applyFont="1" applyAlignment="1">
      <alignment horizontal="right"/>
    </xf>
    <xf numFmtId="0" fontId="10" fillId="0" borderId="0" xfId="0" applyFont="1"/>
    <xf numFmtId="0" fontId="41" fillId="0" borderId="0" xfId="0" applyFont="1"/>
    <xf numFmtId="0" fontId="10" fillId="0" borderId="0" xfId="0" applyFont="1" applyAlignment="1">
      <alignment horizontal="right"/>
    </xf>
    <xf numFmtId="0" fontId="42" fillId="0" borderId="0" xfId="3" applyFont="1" applyAlignment="1" applyProtection="1">
      <alignment horizontal="center"/>
      <protection hidden="1"/>
    </xf>
    <xf numFmtId="0" fontId="42" fillId="0" borderId="0" xfId="3" applyFont="1" applyAlignment="1">
      <alignment horizontal="right"/>
    </xf>
    <xf numFmtId="0" fontId="10" fillId="0" borderId="1" xfId="3" applyFont="1" applyBorder="1" applyAlignment="1">
      <alignment horizontal="center"/>
    </xf>
    <xf numFmtId="0" fontId="0" fillId="2" borderId="0" xfId="0" applyFill="1" applyAlignment="1" applyProtection="1">
      <alignment horizontal="center"/>
      <protection hidden="1"/>
    </xf>
    <xf numFmtId="0" fontId="10" fillId="0" borderId="0" xfId="0" applyFont="1" applyAlignment="1">
      <alignment horizontal="center"/>
    </xf>
    <xf numFmtId="0" fontId="10" fillId="0" borderId="0" xfId="3" applyFont="1" applyAlignment="1" applyProtection="1">
      <alignment vertical="center"/>
      <protection hidden="1"/>
    </xf>
    <xf numFmtId="0" fontId="10" fillId="0" borderId="0" xfId="2" applyFont="1" applyAlignment="1">
      <alignment vertical="center"/>
    </xf>
    <xf numFmtId="0" fontId="44" fillId="0" borderId="0" xfId="0" applyFont="1" applyAlignment="1" applyProtection="1">
      <alignment horizontal="left"/>
      <protection hidden="1"/>
    </xf>
    <xf numFmtId="0" fontId="11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11" fillId="0" borderId="5" xfId="0" applyFont="1" applyBorder="1" applyAlignment="1" applyProtection="1">
      <alignment horizontal="center"/>
      <protection hidden="1"/>
    </xf>
    <xf numFmtId="0" fontId="26" fillId="0" borderId="0" xfId="0" applyFont="1" applyProtection="1">
      <protection hidden="1"/>
    </xf>
    <xf numFmtId="0" fontId="5" fillId="0" borderId="1" xfId="0" quotePrefix="1" applyFont="1" applyBorder="1" applyAlignment="1" applyProtection="1">
      <alignment horizontal="center" vertical="center"/>
      <protection hidden="1"/>
    </xf>
    <xf numFmtId="0" fontId="46" fillId="0" borderId="0" xfId="0" applyFont="1" applyProtection="1">
      <protection hidden="1"/>
    </xf>
    <xf numFmtId="0" fontId="46" fillId="0" borderId="1" xfId="0" applyFont="1" applyBorder="1" applyAlignment="1" applyProtection="1">
      <alignment horizontal="center" vertical="center"/>
      <protection hidden="1"/>
    </xf>
    <xf numFmtId="0" fontId="46" fillId="0" borderId="1" xfId="0" applyFont="1" applyBorder="1" applyAlignment="1" applyProtection="1">
      <alignment horizontal="center" vertical="center" textRotation="90"/>
      <protection hidden="1"/>
    </xf>
    <xf numFmtId="0" fontId="0" fillId="0" borderId="5" xfId="0" applyBorder="1" applyAlignment="1" applyProtection="1">
      <alignment horizontal="left"/>
      <protection hidden="1"/>
    </xf>
    <xf numFmtId="0" fontId="0" fillId="2" borderId="0" xfId="0" applyFill="1" applyAlignment="1" applyProtection="1">
      <alignment horizontal="right"/>
      <protection hidden="1"/>
    </xf>
    <xf numFmtId="0" fontId="18" fillId="0" borderId="12" xfId="1" applyBorder="1" applyAlignment="1" applyProtection="1">
      <alignment horizontal="center" wrapText="1"/>
      <protection hidden="1"/>
    </xf>
    <xf numFmtId="0" fontId="34" fillId="0" borderId="12" xfId="1" applyFont="1" applyBorder="1" applyAlignment="1" applyProtection="1">
      <alignment horizontal="center" wrapText="1"/>
      <protection hidden="1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6" fillId="0" borderId="0" xfId="0" applyFont="1" applyAlignment="1" applyProtection="1">
      <alignment horizontal="center"/>
      <protection hidden="1"/>
    </xf>
    <xf numFmtId="164" fontId="0" fillId="0" borderId="0" xfId="0" applyNumberFormat="1" applyAlignment="1" applyProtection="1">
      <alignment horizontal="center" vertical="top"/>
      <protection hidden="1"/>
    </xf>
    <xf numFmtId="0" fontId="39" fillId="0" borderId="0" xfId="0" applyFont="1" applyAlignment="1" applyProtection="1">
      <alignment horizontal="left" indent="1"/>
      <protection hidden="1"/>
    </xf>
    <xf numFmtId="0" fontId="39" fillId="0" borderId="0" xfId="0" applyFont="1" applyAlignment="1" applyProtection="1">
      <alignment horizontal="left" vertical="top" indent="1"/>
      <protection hidden="1"/>
    </xf>
    <xf numFmtId="0" fontId="17" fillId="0" borderId="0" xfId="0" applyFont="1" applyAlignment="1" applyProtection="1">
      <alignment horizontal="right"/>
      <protection hidden="1"/>
    </xf>
    <xf numFmtId="0" fontId="0" fillId="0" borderId="16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15" xfId="0" applyBorder="1" applyProtection="1">
      <protection hidden="1"/>
    </xf>
    <xf numFmtId="0" fontId="33" fillId="0" borderId="29" xfId="0" applyFont="1" applyBorder="1" applyProtection="1">
      <protection hidden="1"/>
    </xf>
    <xf numFmtId="0" fontId="32" fillId="0" borderId="7" xfId="0" applyFont="1" applyBorder="1" applyProtection="1">
      <protection hidden="1"/>
    </xf>
    <xf numFmtId="0" fontId="48" fillId="0" borderId="1" xfId="0" applyFont="1" applyBorder="1" applyAlignment="1" applyProtection="1">
      <alignment horizontal="center"/>
      <protection hidden="1"/>
    </xf>
    <xf numFmtId="0" fontId="39" fillId="0" borderId="0" xfId="0" applyFont="1" applyProtection="1">
      <protection hidden="1"/>
    </xf>
    <xf numFmtId="0" fontId="32" fillId="0" borderId="0" xfId="0" applyFont="1" applyAlignment="1" applyProtection="1">
      <alignment horizontal="center"/>
      <protection hidden="1"/>
    </xf>
    <xf numFmtId="0" fontId="32" fillId="0" borderId="0" xfId="0" applyFont="1" applyAlignment="1" applyProtection="1">
      <alignment horizontal="left"/>
      <protection hidden="1"/>
    </xf>
    <xf numFmtId="164" fontId="0" fillId="3" borderId="1" xfId="0" applyNumberFormat="1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vertical="top" wrapText="1"/>
      <protection hidden="1"/>
    </xf>
    <xf numFmtId="0" fontId="0" fillId="0" borderId="5" xfId="0" applyBorder="1" applyAlignment="1" applyProtection="1">
      <alignment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right"/>
      <protection hidden="1"/>
    </xf>
    <xf numFmtId="0" fontId="23" fillId="0" borderId="0" xfId="0" applyFont="1" applyAlignment="1" applyProtection="1">
      <alignment horizontal="right"/>
      <protection hidden="1"/>
    </xf>
    <xf numFmtId="0" fontId="39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/>
      <protection hidden="1"/>
    </xf>
    <xf numFmtId="0" fontId="49" fillId="0" borderId="0" xfId="1" applyFont="1" applyFill="1" applyBorder="1" applyAlignment="1">
      <alignment vertical="center" wrapText="1"/>
    </xf>
    <xf numFmtId="0" fontId="0" fillId="0" borderId="0" xfId="0" applyAlignment="1" applyProtection="1">
      <alignment horizontal="right" vertical="top" indent="1"/>
      <protection hidden="1"/>
    </xf>
    <xf numFmtId="0" fontId="39" fillId="2" borderId="18" xfId="0" applyFont="1" applyFill="1" applyBorder="1" applyAlignment="1">
      <alignment horizontal="center" vertical="center" wrapText="1"/>
    </xf>
    <xf numFmtId="0" fontId="31" fillId="0" borderId="0" xfId="0" applyFont="1" applyAlignment="1" applyProtection="1">
      <alignment horizontal="left" vertical="center" indent="1"/>
      <protection hidden="1"/>
    </xf>
    <xf numFmtId="0" fontId="46" fillId="0" borderId="0" xfId="0" applyFont="1" applyAlignment="1" applyProtection="1">
      <alignment vertical="center"/>
      <protection hidden="1"/>
    </xf>
    <xf numFmtId="0" fontId="47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23" fillId="0" borderId="0" xfId="0" applyFont="1" applyAlignment="1" applyProtection="1">
      <alignment horizontal="right" vertical="center"/>
      <protection hidden="1"/>
    </xf>
    <xf numFmtId="0" fontId="10" fillId="0" borderId="0" xfId="3" applyFont="1" applyAlignment="1" applyProtection="1">
      <alignment horizontal="center" vertical="center"/>
      <protection hidden="1"/>
    </xf>
    <xf numFmtId="0" fontId="43" fillId="0" borderId="0" xfId="3" applyFont="1" applyAlignment="1" applyProtection="1">
      <alignment horizontal="center" vertical="center"/>
      <protection hidden="1"/>
    </xf>
    <xf numFmtId="0" fontId="43" fillId="0" borderId="5" xfId="3" applyFont="1" applyBorder="1" applyAlignment="1" applyProtection="1">
      <alignment horizontal="left" vertical="center"/>
      <protection hidden="1"/>
    </xf>
    <xf numFmtId="0" fontId="43" fillId="0" borderId="5" xfId="3" applyFont="1" applyBorder="1" applyAlignment="1" applyProtection="1">
      <alignment horizontal="center" vertical="center"/>
      <protection hidden="1"/>
    </xf>
    <xf numFmtId="0" fontId="40" fillId="0" borderId="5" xfId="4" applyFont="1" applyBorder="1" applyAlignment="1">
      <alignment horizontal="right" vertical="center"/>
    </xf>
    <xf numFmtId="0" fontId="43" fillId="0" borderId="0" xfId="4" applyFont="1" applyAlignment="1" applyProtection="1">
      <alignment horizontal="center" vertical="center"/>
      <protection locked="0" hidden="1"/>
    </xf>
    <xf numFmtId="1" fontId="10" fillId="0" borderId="0" xfId="3" applyNumberFormat="1" applyFont="1" applyAlignment="1" applyProtection="1">
      <alignment horizontal="center" vertical="center"/>
      <protection hidden="1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0" fontId="50" fillId="8" borderId="13" xfId="3" applyFont="1" applyFill="1" applyBorder="1" applyAlignment="1" applyProtection="1">
      <alignment horizontal="center"/>
      <protection locked="0" hidden="1"/>
    </xf>
    <xf numFmtId="0" fontId="32" fillId="0" borderId="29" xfId="0" applyFont="1" applyBorder="1" applyProtection="1">
      <protection hidden="1"/>
    </xf>
    <xf numFmtId="0" fontId="33" fillId="0" borderId="16" xfId="0" applyFont="1" applyBorder="1" applyProtection="1">
      <protection hidden="1"/>
    </xf>
    <xf numFmtId="0" fontId="32" fillId="0" borderId="29" xfId="0" applyFont="1" applyBorder="1" applyAlignment="1" applyProtection="1">
      <alignment horizontal="center"/>
      <protection hidden="1"/>
    </xf>
    <xf numFmtId="0" fontId="32" fillId="0" borderId="29" xfId="0" applyFont="1" applyBorder="1" applyAlignment="1" applyProtection="1">
      <alignment horizontal="left"/>
      <protection hidden="1"/>
    </xf>
    <xf numFmtId="0" fontId="0" fillId="0" borderId="5" xfId="0" applyBorder="1"/>
    <xf numFmtId="0" fontId="5" fillId="0" borderId="0" xfId="1" applyFont="1" applyAlignment="1">
      <alignment horizontal="left"/>
    </xf>
    <xf numFmtId="2" fontId="0" fillId="0" borderId="1" xfId="0" applyNumberFormat="1" applyBorder="1" applyAlignment="1" applyProtection="1">
      <alignment horizontal="center" vertical="center"/>
      <protection hidden="1"/>
    </xf>
    <xf numFmtId="2" fontId="0" fillId="0" borderId="0" xfId="0" applyNumberFormat="1" applyProtection="1">
      <protection hidden="1"/>
    </xf>
    <xf numFmtId="0" fontId="51" fillId="0" borderId="0" xfId="0" applyFont="1"/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2" fillId="3" borderId="19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center"/>
      <protection hidden="1"/>
    </xf>
    <xf numFmtId="0" fontId="26" fillId="0" borderId="1" xfId="0" applyFont="1" applyBorder="1" applyAlignment="1" applyProtection="1">
      <alignment horizontal="center"/>
      <protection hidden="1"/>
    </xf>
    <xf numFmtId="0" fontId="46" fillId="0" borderId="1" xfId="0" applyFont="1" applyBorder="1" applyAlignment="1" applyProtection="1">
      <alignment horizontal="center"/>
      <protection hidden="1"/>
    </xf>
    <xf numFmtId="0" fontId="43" fillId="0" borderId="12" xfId="3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34" fillId="0" borderId="12" xfId="1" applyFont="1" applyBorder="1" applyAlignment="1" applyProtection="1">
      <alignment horizontal="center"/>
      <protection hidden="1"/>
    </xf>
    <xf numFmtId="0" fontId="2" fillId="0" borderId="0" xfId="1" applyFont="1" applyFill="1" applyBorder="1" applyAlignment="1">
      <alignment horizontal="left" vertical="center" wrapText="1" indent="1"/>
    </xf>
    <xf numFmtId="0" fontId="0" fillId="0" borderId="0" xfId="0" applyAlignment="1">
      <alignment vertical="center"/>
    </xf>
    <xf numFmtId="164" fontId="20" fillId="0" borderId="0" xfId="0" applyNumberFormat="1" applyFont="1" applyAlignment="1" applyProtection="1">
      <alignment horizontal="center" vertical="center"/>
      <protection hidden="1"/>
    </xf>
    <xf numFmtId="164" fontId="20" fillId="3" borderId="7" xfId="0" applyNumberFormat="1" applyFont="1" applyFill="1" applyBorder="1" applyAlignment="1" applyProtection="1">
      <alignment horizontal="center" vertical="center"/>
      <protection hidden="1"/>
    </xf>
    <xf numFmtId="0" fontId="52" fillId="0" borderId="0" xfId="0" applyFont="1" applyAlignment="1" applyProtection="1">
      <alignment horizontal="right" vertical="center"/>
      <protection hidden="1"/>
    </xf>
    <xf numFmtId="0" fontId="53" fillId="0" borderId="5" xfId="0" applyFont="1" applyBorder="1" applyAlignment="1" applyProtection="1">
      <alignment vertical="top"/>
      <protection hidden="1"/>
    </xf>
    <xf numFmtId="0" fontId="46" fillId="0" borderId="34" xfId="0" applyFont="1" applyBorder="1" applyAlignment="1" applyProtection="1">
      <alignment horizontal="center"/>
      <protection hidden="1"/>
    </xf>
    <xf numFmtId="0" fontId="46" fillId="0" borderId="35" xfId="0" applyFont="1" applyBorder="1" applyAlignment="1" applyProtection="1">
      <alignment horizontal="center"/>
      <protection hidden="1"/>
    </xf>
    <xf numFmtId="0" fontId="5" fillId="0" borderId="36" xfId="0" applyFont="1" applyBorder="1" applyAlignment="1" applyProtection="1">
      <alignment horizontal="center" vertical="center"/>
      <protection hidden="1"/>
    </xf>
    <xf numFmtId="0" fontId="5" fillId="0" borderId="37" xfId="0" applyFont="1" applyBorder="1" applyAlignment="1" applyProtection="1">
      <alignment horizontal="center" vertical="center"/>
      <protection hidden="1"/>
    </xf>
    <xf numFmtId="0" fontId="5" fillId="0" borderId="38" xfId="0" applyFont="1" applyBorder="1" applyAlignment="1" applyProtection="1">
      <alignment horizontal="center" vertical="center"/>
      <protection hidden="1"/>
    </xf>
    <xf numFmtId="0" fontId="53" fillId="0" borderId="29" xfId="0" applyFont="1" applyBorder="1" applyProtection="1">
      <protection hidden="1"/>
    </xf>
    <xf numFmtId="0" fontId="53" fillId="0" borderId="0" xfId="0" applyFont="1" applyProtection="1">
      <protection hidden="1"/>
    </xf>
    <xf numFmtId="0" fontId="53" fillId="0" borderId="29" xfId="0" applyFont="1" applyBorder="1" applyAlignment="1" applyProtection="1">
      <alignment horizontal="center"/>
      <protection hidden="1"/>
    </xf>
    <xf numFmtId="164" fontId="0" fillId="0" borderId="7" xfId="0" applyNumberFormat="1" applyBorder="1" applyAlignment="1" applyProtection="1">
      <alignment horizontal="center" vertical="top"/>
      <protection hidden="1"/>
    </xf>
    <xf numFmtId="0" fontId="0" fillId="0" borderId="0" xfId="0" applyAlignment="1" applyProtection="1">
      <alignment horizontal="right" vertical="center" indent="1"/>
      <protection hidden="1"/>
    </xf>
    <xf numFmtId="0" fontId="54" fillId="0" borderId="0" xfId="0" applyFont="1" applyAlignment="1" applyProtection="1">
      <alignment horizontal="left"/>
      <protection hidden="1"/>
    </xf>
    <xf numFmtId="0" fontId="55" fillId="0" borderId="0" xfId="0" applyFont="1" applyAlignment="1" applyProtection="1">
      <alignment vertical="top"/>
      <protection hidden="1"/>
    </xf>
    <xf numFmtId="0" fontId="55" fillId="0" borderId="0" xfId="0" applyFont="1" applyAlignment="1" applyProtection="1">
      <alignment horizontal="right" vertical="top"/>
      <protection hidden="1"/>
    </xf>
    <xf numFmtId="0" fontId="55" fillId="0" borderId="7" xfId="0" applyFont="1" applyBorder="1" applyAlignment="1" applyProtection="1">
      <alignment horizontal="center" vertical="top"/>
      <protection hidden="1"/>
    </xf>
    <xf numFmtId="0" fontId="55" fillId="0" borderId="0" xfId="0" applyFont="1" applyAlignment="1" applyProtection="1">
      <alignment horizontal="center" vertical="top"/>
      <protection hidden="1"/>
    </xf>
    <xf numFmtId="0" fontId="55" fillId="0" borderId="0" xfId="0" applyFont="1" applyProtection="1">
      <protection hidden="1"/>
    </xf>
    <xf numFmtId="164" fontId="55" fillId="0" borderId="7" xfId="0" applyNumberFormat="1" applyFont="1" applyBorder="1" applyAlignment="1" applyProtection="1">
      <alignment horizontal="center"/>
      <protection hidden="1"/>
    </xf>
    <xf numFmtId="164" fontId="55" fillId="0" borderId="0" xfId="0" applyNumberFormat="1" applyFont="1" applyAlignment="1" applyProtection="1">
      <alignment horizontal="center"/>
      <protection hidden="1"/>
    </xf>
    <xf numFmtId="164" fontId="55" fillId="0" borderId="7" xfId="0" applyNumberFormat="1" applyFont="1" applyBorder="1" applyAlignment="1" applyProtection="1">
      <alignment horizontal="center" vertical="top"/>
      <protection hidden="1"/>
    </xf>
    <xf numFmtId="164" fontId="55" fillId="0" borderId="0" xfId="0" applyNumberFormat="1" applyFont="1" applyAlignment="1" applyProtection="1">
      <alignment horizontal="center" vertical="top"/>
      <protection hidden="1"/>
    </xf>
    <xf numFmtId="1" fontId="0" fillId="0" borderId="0" xfId="0" applyNumberForma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indent="2"/>
      <protection hidden="1"/>
    </xf>
    <xf numFmtId="0" fontId="5" fillId="0" borderId="0" xfId="3" applyFont="1" applyAlignment="1" applyProtection="1">
      <alignment horizontal="left"/>
      <protection hidden="1"/>
    </xf>
    <xf numFmtId="0" fontId="50" fillId="0" borderId="0" xfId="3" applyFont="1" applyProtection="1">
      <protection hidden="1"/>
    </xf>
    <xf numFmtId="0" fontId="19" fillId="0" borderId="0" xfId="2" applyProtection="1">
      <protection hidden="1"/>
    </xf>
    <xf numFmtId="0" fontId="56" fillId="0" borderId="0" xfId="3" applyFont="1" applyProtection="1">
      <protection hidden="1"/>
    </xf>
    <xf numFmtId="0" fontId="56" fillId="0" borderId="0" xfId="3" applyFont="1" applyAlignment="1" applyProtection="1">
      <alignment horizontal="center"/>
      <protection hidden="1"/>
    </xf>
    <xf numFmtId="0" fontId="56" fillId="0" borderId="0" xfId="5" applyFont="1" applyProtection="1">
      <protection locked="0" hidden="1"/>
    </xf>
    <xf numFmtId="0" fontId="56" fillId="0" borderId="0" xfId="3" applyFont="1" applyAlignment="1" applyProtection="1">
      <alignment horizontal="right"/>
      <protection hidden="1"/>
    </xf>
    <xf numFmtId="0" fontId="11" fillId="0" borderId="0" xfId="3" applyFont="1" applyAlignment="1" applyProtection="1">
      <alignment horizontal="center"/>
      <protection hidden="1"/>
    </xf>
    <xf numFmtId="0" fontId="10" fillId="0" borderId="1" xfId="3" applyFont="1" applyBorder="1" applyProtection="1">
      <protection hidden="1"/>
    </xf>
    <xf numFmtId="0" fontId="10" fillId="0" borderId="1" xfId="3" applyFont="1" applyBorder="1" applyAlignment="1" applyProtection="1">
      <alignment horizontal="left"/>
      <protection hidden="1"/>
    </xf>
    <xf numFmtId="0" fontId="59" fillId="0" borderId="10" xfId="3" applyFont="1" applyBorder="1" applyAlignment="1" applyProtection="1">
      <alignment horizontal="right"/>
      <protection hidden="1"/>
    </xf>
    <xf numFmtId="1" fontId="59" fillId="0" borderId="13" xfId="3" applyNumberFormat="1" applyFont="1" applyBorder="1" applyAlignment="1" applyProtection="1">
      <alignment horizontal="center"/>
      <protection hidden="1"/>
    </xf>
    <xf numFmtId="0" fontId="60" fillId="0" borderId="0" xfId="5" applyFont="1" applyProtection="1">
      <protection hidden="1"/>
    </xf>
    <xf numFmtId="0" fontId="56" fillId="7" borderId="0" xfId="3" applyFont="1" applyFill="1" applyAlignment="1" applyProtection="1">
      <alignment horizontal="center"/>
      <protection hidden="1"/>
    </xf>
    <xf numFmtId="164" fontId="56" fillId="0" borderId="1" xfId="3" applyNumberFormat="1" applyFont="1" applyBorder="1" applyAlignment="1" applyProtection="1">
      <alignment horizontal="center"/>
      <protection hidden="1"/>
    </xf>
    <xf numFmtId="0" fontId="56" fillId="0" borderId="10" xfId="5" applyFont="1" applyBorder="1" applyProtection="1">
      <protection hidden="1"/>
    </xf>
    <xf numFmtId="0" fontId="56" fillId="0" borderId="12" xfId="5" applyFont="1" applyBorder="1" applyProtection="1">
      <protection hidden="1"/>
    </xf>
    <xf numFmtId="0" fontId="56" fillId="0" borderId="1" xfId="3" applyFont="1" applyBorder="1" applyAlignment="1" applyProtection="1">
      <alignment horizontal="center"/>
      <protection hidden="1"/>
    </xf>
    <xf numFmtId="0" fontId="56" fillId="9" borderId="1" xfId="3" applyFont="1" applyFill="1" applyBorder="1" applyAlignment="1" applyProtection="1">
      <alignment horizontal="center"/>
      <protection hidden="1"/>
    </xf>
    <xf numFmtId="164" fontId="11" fillId="0" borderId="0" xfId="3" applyNumberFormat="1" applyFont="1" applyAlignment="1" applyProtection="1">
      <alignment horizontal="center"/>
      <protection hidden="1"/>
    </xf>
    <xf numFmtId="0" fontId="56" fillId="0" borderId="0" xfId="5" applyFont="1" applyProtection="1">
      <protection hidden="1"/>
    </xf>
    <xf numFmtId="0" fontId="57" fillId="0" borderId="0" xfId="3" applyFont="1" applyProtection="1">
      <protection hidden="1"/>
    </xf>
    <xf numFmtId="0" fontId="58" fillId="0" borderId="0" xfId="3" applyFont="1" applyProtection="1">
      <protection hidden="1"/>
    </xf>
    <xf numFmtId="0" fontId="57" fillId="0" borderId="0" xfId="3" applyFont="1" applyAlignment="1" applyProtection="1">
      <alignment horizontal="right"/>
      <protection hidden="1"/>
    </xf>
    <xf numFmtId="0" fontId="56" fillId="0" borderId="0" xfId="3" applyFont="1" applyAlignment="1" applyProtection="1">
      <alignment vertical="center"/>
      <protection hidden="1"/>
    </xf>
    <xf numFmtId="0" fontId="59" fillId="0" borderId="0" xfId="3" applyFont="1" applyAlignment="1" applyProtection="1">
      <alignment vertical="center"/>
      <protection hidden="1"/>
    </xf>
    <xf numFmtId="0" fontId="14" fillId="0" borderId="0" xfId="3" applyFont="1" applyProtection="1">
      <protection hidden="1"/>
    </xf>
    <xf numFmtId="0" fontId="56" fillId="0" borderId="0" xfId="3" applyFont="1" applyProtection="1">
      <protection locked="0" hidden="1"/>
    </xf>
    <xf numFmtId="0" fontId="56" fillId="0" borderId="0" xfId="3" applyFont="1" applyAlignment="1" applyProtection="1">
      <alignment horizontal="left" vertical="center"/>
      <protection hidden="1"/>
    </xf>
    <xf numFmtId="164" fontId="56" fillId="0" borderId="0" xfId="3" applyNumberFormat="1" applyFont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indent="1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61" fillId="0" borderId="0" xfId="0" applyFont="1" applyAlignment="1" applyProtection="1">
      <alignment horizontal="left"/>
      <protection hidden="1"/>
    </xf>
    <xf numFmtId="0" fontId="2" fillId="0" borderId="5" xfId="0" applyFont="1" applyBorder="1" applyAlignment="1" applyProtection="1">
      <alignment vertical="center"/>
      <protection hidden="1"/>
    </xf>
    <xf numFmtId="0" fontId="54" fillId="0" borderId="0" xfId="0" applyFont="1" applyProtection="1">
      <protection hidden="1"/>
    </xf>
    <xf numFmtId="0" fontId="46" fillId="0" borderId="0" xfId="0" applyFont="1" applyAlignment="1" applyProtection="1">
      <alignment horizontal="left" vertical="center" indent="1"/>
      <protection hidden="1"/>
    </xf>
    <xf numFmtId="164" fontId="20" fillId="0" borderId="0" xfId="0" applyNumberFormat="1" applyFont="1" applyAlignment="1" applyProtection="1">
      <alignment horizontal="left" vertical="center"/>
      <protection hidden="1"/>
    </xf>
    <xf numFmtId="164" fontId="17" fillId="0" borderId="0" xfId="0" applyNumberFormat="1" applyFont="1" applyAlignment="1" applyProtection="1">
      <alignment horizontal="left" indent="2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center"/>
      <protection hidden="1"/>
    </xf>
    <xf numFmtId="0" fontId="46" fillId="0" borderId="1" xfId="0" applyFont="1" applyBorder="1" applyAlignment="1" applyProtection="1">
      <alignment horizontal="left" vertical="center" indent="1"/>
      <protection hidden="1"/>
    </xf>
    <xf numFmtId="0" fontId="26" fillId="0" borderId="1" xfId="0" applyFont="1" applyBorder="1" applyAlignment="1" applyProtection="1">
      <alignment horizontal="center"/>
      <protection hidden="1"/>
    </xf>
    <xf numFmtId="0" fontId="35" fillId="6" borderId="0" xfId="0" applyFont="1" applyFill="1" applyAlignment="1">
      <alignment horizontal="left" vertical="center" wrapText="1"/>
    </xf>
    <xf numFmtId="0" fontId="0" fillId="0" borderId="0" xfId="0" applyAlignment="1" applyProtection="1">
      <alignment horizontal="right" vertical="center"/>
      <protection hidden="1"/>
    </xf>
    <xf numFmtId="0" fontId="48" fillId="0" borderId="10" xfId="0" applyFont="1" applyBorder="1" applyAlignment="1" applyProtection="1">
      <alignment horizontal="center"/>
      <protection hidden="1"/>
    </xf>
    <xf numFmtId="0" fontId="48" fillId="0" borderId="12" xfId="0" applyFont="1" applyBorder="1" applyAlignment="1" applyProtection="1">
      <alignment horizontal="center"/>
      <protection hidden="1"/>
    </xf>
    <xf numFmtId="0" fontId="48" fillId="0" borderId="13" xfId="0" applyFont="1" applyBorder="1" applyAlignment="1" applyProtection="1">
      <alignment horizontal="center"/>
      <protection hidden="1"/>
    </xf>
    <xf numFmtId="0" fontId="46" fillId="0" borderId="10" xfId="0" applyFont="1" applyBorder="1" applyAlignment="1" applyProtection="1">
      <alignment horizontal="left" vertical="center" indent="1"/>
      <protection hidden="1"/>
    </xf>
    <xf numFmtId="0" fontId="46" fillId="0" borderId="12" xfId="0" applyFont="1" applyBorder="1" applyAlignment="1" applyProtection="1">
      <alignment horizontal="left" vertical="center" indent="1"/>
      <protection hidden="1"/>
    </xf>
    <xf numFmtId="0" fontId="46" fillId="0" borderId="13" xfId="0" applyFont="1" applyBorder="1" applyAlignment="1" applyProtection="1">
      <alignment horizontal="left" vertical="center" indent="1"/>
      <protection hidden="1"/>
    </xf>
    <xf numFmtId="0" fontId="47" fillId="0" borderId="1" xfId="0" applyFont="1" applyBorder="1" applyAlignment="1" applyProtection="1">
      <alignment horizontal="left" vertical="center" indent="1"/>
      <protection hidden="1"/>
    </xf>
    <xf numFmtId="0" fontId="18" fillId="0" borderId="12" xfId="1" applyBorder="1" applyAlignment="1" applyProtection="1">
      <alignment horizontal="center"/>
      <protection hidden="1"/>
    </xf>
    <xf numFmtId="0" fontId="56" fillId="0" borderId="0" xfId="3" applyFont="1" applyAlignment="1" applyProtection="1">
      <alignment horizontal="center" textRotation="90"/>
      <protection hidden="1"/>
    </xf>
    <xf numFmtId="0" fontId="56" fillId="0" borderId="0" xfId="5" applyFont="1" applyAlignment="1" applyProtection="1">
      <alignment horizontal="left"/>
      <protection hidden="1"/>
    </xf>
    <xf numFmtId="0" fontId="59" fillId="0" borderId="1" xfId="3" applyFont="1" applyBorder="1" applyAlignment="1" applyProtection="1">
      <alignment horizontal="center" vertical="center"/>
      <protection hidden="1"/>
    </xf>
    <xf numFmtId="0" fontId="13" fillId="0" borderId="10" xfId="3" applyFont="1" applyBorder="1" applyAlignment="1" applyProtection="1">
      <alignment horizontal="left" vertical="center"/>
      <protection hidden="1"/>
    </xf>
    <xf numFmtId="0" fontId="13" fillId="0" borderId="13" xfId="3" applyFont="1" applyBorder="1" applyAlignment="1" applyProtection="1">
      <alignment horizontal="left" vertical="center"/>
      <protection hidden="1"/>
    </xf>
    <xf numFmtId="0" fontId="46" fillId="0" borderId="1" xfId="0" applyFont="1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43" fillId="0" borderId="10" xfId="3" applyFont="1" applyBorder="1" applyAlignment="1" applyProtection="1">
      <alignment horizontal="center" vertical="center"/>
      <protection hidden="1"/>
    </xf>
    <xf numFmtId="0" fontId="43" fillId="0" borderId="12" xfId="3" applyFont="1" applyBorder="1" applyAlignment="1" applyProtection="1">
      <alignment horizontal="center" vertical="center"/>
      <protection hidden="1"/>
    </xf>
    <xf numFmtId="0" fontId="46" fillId="0" borderId="31" xfId="0" applyFont="1" applyBorder="1" applyAlignment="1" applyProtection="1">
      <alignment horizontal="center"/>
      <protection hidden="1"/>
    </xf>
    <xf numFmtId="0" fontId="46" fillId="0" borderId="32" xfId="0" applyFont="1" applyBorder="1" applyAlignment="1" applyProtection="1">
      <alignment horizontal="center"/>
      <protection hidden="1"/>
    </xf>
    <xf numFmtId="0" fontId="46" fillId="0" borderId="33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49" fillId="3" borderId="12" xfId="1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wrapText="1"/>
      <protection hidden="1"/>
    </xf>
    <xf numFmtId="0" fontId="0" fillId="3" borderId="1" xfId="0" applyFill="1" applyBorder="1" applyAlignment="1" applyProtection="1">
      <alignment horizontal="center" wrapText="1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3" borderId="1" xfId="0" applyFill="1" applyBorder="1" applyAlignment="1" applyProtection="1">
      <alignment horizontal="left" vertical="center" indent="1"/>
      <protection hidden="1"/>
    </xf>
    <xf numFmtId="0" fontId="0" fillId="0" borderId="1" xfId="0" applyBorder="1" applyAlignment="1" applyProtection="1">
      <alignment horizontal="left" vertical="center" indent="1"/>
      <protection hidden="1"/>
    </xf>
    <xf numFmtId="0" fontId="0" fillId="3" borderId="22" xfId="0" applyFill="1" applyBorder="1" applyAlignment="1" applyProtection="1">
      <alignment horizontal="left" vertical="center" indent="1"/>
      <protection hidden="1"/>
    </xf>
    <xf numFmtId="0" fontId="0" fillId="3" borderId="20" xfId="0" applyFill="1" applyBorder="1" applyAlignment="1" applyProtection="1">
      <alignment horizontal="left" vertical="center" indent="1"/>
      <protection hidden="1"/>
    </xf>
    <xf numFmtId="0" fontId="0" fillId="3" borderId="21" xfId="0" applyFill="1" applyBorder="1" applyAlignment="1" applyProtection="1">
      <alignment horizontal="left" vertical="center" indent="1"/>
      <protection hidden="1"/>
    </xf>
    <xf numFmtId="0" fontId="34" fillId="0" borderId="12" xfId="1" applyFont="1" applyBorder="1" applyAlignment="1" applyProtection="1">
      <alignment horizontal="center"/>
      <protection hidden="1"/>
    </xf>
    <xf numFmtId="0" fontId="0" fillId="0" borderId="8" xfId="0" quotePrefix="1" applyBorder="1" applyAlignment="1" applyProtection="1">
      <alignment horizontal="center" vertical="center" textRotation="90"/>
      <protection hidden="1"/>
    </xf>
    <xf numFmtId="0" fontId="0" fillId="0" borderId="8" xfId="0" applyBorder="1" applyAlignment="1" applyProtection="1">
      <alignment horizontal="center" vertical="center" textRotation="90"/>
      <protection hidden="1"/>
    </xf>
    <xf numFmtId="0" fontId="0" fillId="0" borderId="4" xfId="0" applyBorder="1" applyAlignment="1" applyProtection="1">
      <alignment horizontal="left" vertical="center" indent="1"/>
      <protection hidden="1"/>
    </xf>
    <xf numFmtId="0" fontId="0" fillId="3" borderId="26" xfId="0" applyFill="1" applyBorder="1" applyAlignment="1" applyProtection="1">
      <alignment horizontal="left" vertical="center" indent="1"/>
      <protection hidden="1"/>
    </xf>
    <xf numFmtId="0" fontId="0" fillId="3" borderId="27" xfId="0" applyFill="1" applyBorder="1" applyAlignment="1" applyProtection="1">
      <alignment horizontal="left" vertical="center" indent="1"/>
      <protection hidden="1"/>
    </xf>
    <xf numFmtId="0" fontId="0" fillId="3" borderId="28" xfId="0" applyFill="1" applyBorder="1" applyAlignment="1" applyProtection="1">
      <alignment horizontal="left" vertical="center" indent="1"/>
      <protection hidden="1"/>
    </xf>
    <xf numFmtId="0" fontId="0" fillId="0" borderId="10" xfId="0" applyBorder="1" applyAlignment="1" applyProtection="1">
      <alignment horizontal="left" vertical="center" indent="1"/>
      <protection hidden="1"/>
    </xf>
    <xf numFmtId="0" fontId="0" fillId="0" borderId="12" xfId="0" applyBorder="1" applyAlignment="1" applyProtection="1">
      <alignment horizontal="left" vertical="center" indent="1"/>
      <protection hidden="1"/>
    </xf>
    <xf numFmtId="0" fontId="0" fillId="0" borderId="13" xfId="0" applyBorder="1" applyAlignment="1" applyProtection="1">
      <alignment horizontal="left" vertical="center" indent="1"/>
      <protection hidden="1"/>
    </xf>
    <xf numFmtId="0" fontId="0" fillId="0" borderId="23" xfId="0" applyBorder="1" applyAlignment="1" applyProtection="1">
      <alignment horizontal="left" vertical="center" indent="1"/>
      <protection hidden="1"/>
    </xf>
    <xf numFmtId="0" fontId="0" fillId="0" borderId="24" xfId="0" applyBorder="1" applyAlignment="1" applyProtection="1">
      <alignment horizontal="left" vertical="center" indent="1"/>
      <protection hidden="1"/>
    </xf>
    <xf numFmtId="0" fontId="0" fillId="0" borderId="25" xfId="0" applyBorder="1" applyAlignment="1" applyProtection="1">
      <alignment horizontal="left" vertical="center" indent="1"/>
      <protection hidden="1"/>
    </xf>
    <xf numFmtId="0" fontId="0" fillId="0" borderId="1" xfId="0" applyBorder="1" applyAlignment="1" applyProtection="1">
      <alignment horizontal="center"/>
      <protection hidden="1"/>
    </xf>
    <xf numFmtId="0" fontId="2" fillId="0" borderId="0" xfId="1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top" wrapText="1"/>
    </xf>
    <xf numFmtId="0" fontId="0" fillId="3" borderId="1" xfId="0" applyFill="1" applyBorder="1" applyAlignment="1" applyProtection="1">
      <alignment horizontal="center"/>
      <protection hidden="1"/>
    </xf>
    <xf numFmtId="0" fontId="46" fillId="0" borderId="15" xfId="0" applyFont="1" applyBorder="1" applyAlignment="1" applyProtection="1">
      <alignment horizontal="center" wrapText="1"/>
      <protection hidden="1"/>
    </xf>
    <xf numFmtId="0" fontId="46" fillId="0" borderId="16" xfId="0" applyFont="1" applyBorder="1" applyAlignment="1" applyProtection="1">
      <alignment horizontal="center" wrapText="1"/>
      <protection hidden="1"/>
    </xf>
    <xf numFmtId="0" fontId="46" fillId="0" borderId="9" xfId="0" applyFont="1" applyBorder="1" applyAlignment="1" applyProtection="1">
      <alignment horizontal="center" wrapText="1"/>
      <protection hidden="1"/>
    </xf>
    <xf numFmtId="0" fontId="46" fillId="0" borderId="6" xfId="0" applyFont="1" applyBorder="1" applyAlignment="1" applyProtection="1">
      <alignment horizontal="center" wrapText="1"/>
      <protection hidden="1"/>
    </xf>
    <xf numFmtId="0" fontId="46" fillId="0" borderId="1" xfId="0" applyFont="1" applyBorder="1" applyAlignment="1" applyProtection="1">
      <alignment horizontal="center" wrapText="1"/>
      <protection hidden="1"/>
    </xf>
    <xf numFmtId="0" fontId="46" fillId="0" borderId="12" xfId="0" applyFont="1" applyBorder="1" applyAlignment="1" applyProtection="1">
      <alignment horizontal="center" wrapText="1"/>
      <protection hidden="1"/>
    </xf>
    <xf numFmtId="0" fontId="46" fillId="0" borderId="13" xfId="0" applyFont="1" applyBorder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left" vertical="center"/>
      <protection hidden="1"/>
    </xf>
    <xf numFmtId="0" fontId="0" fillId="0" borderId="30" xfId="0" applyBorder="1" applyAlignment="1" applyProtection="1">
      <alignment horizontal="left" vertical="center"/>
      <protection hidden="1"/>
    </xf>
    <xf numFmtId="0" fontId="0" fillId="0" borderId="10" xfId="0" applyBorder="1" applyAlignment="1" applyProtection="1">
      <alignment horizontal="left" vertical="center" wrapText="1" indent="1"/>
      <protection hidden="1"/>
    </xf>
    <xf numFmtId="0" fontId="0" fillId="0" borderId="12" xfId="0" applyBorder="1" applyAlignment="1" applyProtection="1">
      <alignment horizontal="left" vertical="center" wrapText="1" indent="1"/>
      <protection hidden="1"/>
    </xf>
    <xf numFmtId="0" fontId="0" fillId="0" borderId="13" xfId="0" applyBorder="1" applyAlignment="1" applyProtection="1">
      <alignment horizontal="left" vertical="center" wrapText="1" indent="1"/>
      <protection hidden="1"/>
    </xf>
    <xf numFmtId="0" fontId="46" fillId="0" borderId="1" xfId="0" applyFont="1" applyBorder="1" applyAlignment="1" applyProtection="1">
      <alignment horizontal="center" textRotation="90" wrapText="1"/>
      <protection hidden="1"/>
    </xf>
    <xf numFmtId="0" fontId="46" fillId="3" borderId="1" xfId="0" applyFont="1" applyFill="1" applyBorder="1" applyAlignment="1" applyProtection="1">
      <alignment horizontal="center" wrapText="1"/>
      <protection hidden="1"/>
    </xf>
    <xf numFmtId="0" fontId="46" fillId="0" borderId="10" xfId="0" applyFont="1" applyBorder="1" applyAlignment="1" applyProtection="1">
      <alignment horizontal="center" wrapText="1"/>
      <protection hidden="1"/>
    </xf>
    <xf numFmtId="0" fontId="46" fillId="0" borderId="15" xfId="0" applyFont="1" applyBorder="1" applyAlignment="1" applyProtection="1">
      <alignment horizontal="center"/>
      <protection hidden="1"/>
    </xf>
    <xf numFmtId="0" fontId="46" fillId="0" borderId="16" xfId="0" applyFont="1" applyBorder="1" applyAlignment="1" applyProtection="1">
      <alignment horizontal="center"/>
      <protection hidden="1"/>
    </xf>
    <xf numFmtId="0" fontId="46" fillId="0" borderId="9" xfId="0" applyFont="1" applyBorder="1" applyAlignment="1" applyProtection="1">
      <alignment horizontal="center"/>
      <protection hidden="1"/>
    </xf>
    <xf numFmtId="0" fontId="46" fillId="0" borderId="6" xfId="0" applyFont="1" applyBorder="1" applyAlignment="1" applyProtection="1">
      <alignment horizontal="center"/>
      <protection hidden="1"/>
    </xf>
    <xf numFmtId="0" fontId="0" fillId="3" borderId="10" xfId="0" applyFill="1" applyBorder="1" applyAlignment="1" applyProtection="1">
      <alignment horizontal="center"/>
      <protection hidden="1"/>
    </xf>
    <xf numFmtId="0" fontId="0" fillId="3" borderId="12" xfId="0" applyFill="1" applyBorder="1" applyAlignment="1" applyProtection="1">
      <alignment horizontal="center"/>
      <protection hidden="1"/>
    </xf>
    <xf numFmtId="0" fontId="0" fillId="3" borderId="13" xfId="0" applyFill="1" applyBorder="1" applyAlignment="1" applyProtection="1">
      <alignment horizontal="center"/>
      <protection hidden="1"/>
    </xf>
    <xf numFmtId="0" fontId="0" fillId="3" borderId="2" xfId="0" applyFill="1" applyBorder="1" applyAlignment="1" applyProtection="1">
      <alignment horizontal="center"/>
      <protection hidden="1"/>
    </xf>
    <xf numFmtId="0" fontId="46" fillId="0" borderId="10" xfId="0" applyFont="1" applyBorder="1" applyAlignment="1" applyProtection="1">
      <alignment horizontal="left" vertical="center" wrapText="1" indent="1"/>
      <protection hidden="1"/>
    </xf>
    <xf numFmtId="0" fontId="46" fillId="0" borderId="12" xfId="0" applyFont="1" applyBorder="1" applyAlignment="1" applyProtection="1">
      <alignment horizontal="left" vertical="center" wrapText="1" indent="1"/>
      <protection hidden="1"/>
    </xf>
    <xf numFmtId="0" fontId="46" fillId="0" borderId="13" xfId="0" applyFont="1" applyBorder="1" applyAlignment="1" applyProtection="1">
      <alignment horizontal="left" vertical="center" wrapText="1" indent="1"/>
      <protection hidden="1"/>
    </xf>
  </cellXfs>
  <cellStyles count="6">
    <cellStyle name="Hyperlink" xfId="1" builtinId="8"/>
    <cellStyle name="Normal" xfId="0" builtinId="0"/>
    <cellStyle name="normální 2" xfId="2" xr:uid="{00000000-0005-0000-0000-000002000000}"/>
    <cellStyle name="normální 2 2" xfId="3" xr:uid="{00000000-0005-0000-0000-000003000000}"/>
    <cellStyle name="normální 2 5" xfId="5" xr:uid="{4494AC53-EF37-4203-97F1-EA0CD2B789B6}"/>
    <cellStyle name="normální 2_AventPlan_2501" xfId="4" xr:uid="{E97D99CC-5FE9-4D1A-80FE-92D69C98CE25}"/>
  </cellStyles>
  <dxfs count="20"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</dxfs>
  <tableStyles count="0" defaultTableStyle="TableStyleMedium2" defaultPivotStyle="PivotStyleLight16"/>
  <colors>
    <mruColors>
      <color rgb="FFFFCC99"/>
      <color rgb="FFFFDA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png"/><Relationship Id="rId3" Type="http://schemas.openxmlformats.org/officeDocument/2006/relationships/image" Target="../media/image9.png"/><Relationship Id="rId7" Type="http://schemas.openxmlformats.org/officeDocument/2006/relationships/image" Target="../media/image36.png"/><Relationship Id="rId2" Type="http://schemas.openxmlformats.org/officeDocument/2006/relationships/image" Target="../media/image21.png"/><Relationship Id="rId1" Type="http://schemas.openxmlformats.org/officeDocument/2006/relationships/image" Target="../media/image13.png"/><Relationship Id="rId6" Type="http://schemas.openxmlformats.org/officeDocument/2006/relationships/image" Target="../media/image35.png"/><Relationship Id="rId5" Type="http://schemas.openxmlformats.org/officeDocument/2006/relationships/image" Target="../media/image28.png"/><Relationship Id="rId4" Type="http://schemas.openxmlformats.org/officeDocument/2006/relationships/image" Target="../media/image29.png"/><Relationship Id="rId9" Type="http://schemas.openxmlformats.org/officeDocument/2006/relationships/image" Target="../media/image38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png"/><Relationship Id="rId2" Type="http://schemas.openxmlformats.org/officeDocument/2006/relationships/image" Target="../media/image39.png"/><Relationship Id="rId1" Type="http://schemas.openxmlformats.org/officeDocument/2006/relationships/image" Target="../media/image1.png"/><Relationship Id="rId5" Type="http://schemas.openxmlformats.org/officeDocument/2006/relationships/image" Target="../media/image42.png"/><Relationship Id="rId4" Type="http://schemas.openxmlformats.org/officeDocument/2006/relationships/image" Target="../media/image41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7.png"/><Relationship Id="rId13" Type="http://schemas.openxmlformats.org/officeDocument/2006/relationships/image" Target="../media/image52.png"/><Relationship Id="rId3" Type="http://schemas.openxmlformats.org/officeDocument/2006/relationships/image" Target="../media/image13.png"/><Relationship Id="rId7" Type="http://schemas.openxmlformats.org/officeDocument/2006/relationships/image" Target="../media/image46.png"/><Relationship Id="rId12" Type="http://schemas.openxmlformats.org/officeDocument/2006/relationships/image" Target="../media/image51.png"/><Relationship Id="rId2" Type="http://schemas.openxmlformats.org/officeDocument/2006/relationships/image" Target="../media/image1.png"/><Relationship Id="rId1" Type="http://schemas.openxmlformats.org/officeDocument/2006/relationships/image" Target="../media/image43.png"/><Relationship Id="rId6" Type="http://schemas.openxmlformats.org/officeDocument/2006/relationships/image" Target="../media/image45.png"/><Relationship Id="rId11" Type="http://schemas.openxmlformats.org/officeDocument/2006/relationships/image" Target="../media/image50.png"/><Relationship Id="rId5" Type="http://schemas.openxmlformats.org/officeDocument/2006/relationships/image" Target="../media/image44.png"/><Relationship Id="rId10" Type="http://schemas.openxmlformats.org/officeDocument/2006/relationships/image" Target="../media/image49.png"/><Relationship Id="rId4" Type="http://schemas.openxmlformats.org/officeDocument/2006/relationships/image" Target="../media/image14.png"/><Relationship Id="rId9" Type="http://schemas.openxmlformats.org/officeDocument/2006/relationships/image" Target="../media/image48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7.png"/><Relationship Id="rId13" Type="http://schemas.openxmlformats.org/officeDocument/2006/relationships/image" Target="../media/image52.png"/><Relationship Id="rId3" Type="http://schemas.openxmlformats.org/officeDocument/2006/relationships/image" Target="../media/image1.png"/><Relationship Id="rId7" Type="http://schemas.openxmlformats.org/officeDocument/2006/relationships/image" Target="../media/image46.png"/><Relationship Id="rId12" Type="http://schemas.openxmlformats.org/officeDocument/2006/relationships/image" Target="../media/image51.png"/><Relationship Id="rId2" Type="http://schemas.openxmlformats.org/officeDocument/2006/relationships/image" Target="../media/image14.png"/><Relationship Id="rId1" Type="http://schemas.openxmlformats.org/officeDocument/2006/relationships/image" Target="../media/image53.png"/><Relationship Id="rId6" Type="http://schemas.openxmlformats.org/officeDocument/2006/relationships/image" Target="../media/image45.png"/><Relationship Id="rId11" Type="http://schemas.openxmlformats.org/officeDocument/2006/relationships/image" Target="../media/image55.png"/><Relationship Id="rId5" Type="http://schemas.openxmlformats.org/officeDocument/2006/relationships/image" Target="../media/image44.png"/><Relationship Id="rId10" Type="http://schemas.openxmlformats.org/officeDocument/2006/relationships/image" Target="../media/image54.png"/><Relationship Id="rId4" Type="http://schemas.openxmlformats.org/officeDocument/2006/relationships/image" Target="../media/image13.png"/><Relationship Id="rId9" Type="http://schemas.openxmlformats.org/officeDocument/2006/relationships/image" Target="../media/image48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8.png"/><Relationship Id="rId13" Type="http://schemas.openxmlformats.org/officeDocument/2006/relationships/image" Target="../media/image43.png"/><Relationship Id="rId3" Type="http://schemas.openxmlformats.org/officeDocument/2006/relationships/image" Target="../media/image53.png"/><Relationship Id="rId7" Type="http://schemas.openxmlformats.org/officeDocument/2006/relationships/image" Target="../media/image47.png"/><Relationship Id="rId12" Type="http://schemas.openxmlformats.org/officeDocument/2006/relationships/image" Target="../media/image46.png"/><Relationship Id="rId17" Type="http://schemas.openxmlformats.org/officeDocument/2006/relationships/image" Target="../media/image60.png"/><Relationship Id="rId2" Type="http://schemas.openxmlformats.org/officeDocument/2006/relationships/image" Target="../media/image57.png"/><Relationship Id="rId16" Type="http://schemas.openxmlformats.org/officeDocument/2006/relationships/image" Target="../media/image59.png"/><Relationship Id="rId1" Type="http://schemas.openxmlformats.org/officeDocument/2006/relationships/image" Target="../media/image56.png"/><Relationship Id="rId6" Type="http://schemas.openxmlformats.org/officeDocument/2006/relationships/image" Target="../media/image13.png"/><Relationship Id="rId11" Type="http://schemas.openxmlformats.org/officeDocument/2006/relationships/image" Target="../media/image45.png"/><Relationship Id="rId5" Type="http://schemas.openxmlformats.org/officeDocument/2006/relationships/image" Target="../media/image1.png"/><Relationship Id="rId15" Type="http://schemas.openxmlformats.org/officeDocument/2006/relationships/image" Target="../media/image58.png"/><Relationship Id="rId10" Type="http://schemas.openxmlformats.org/officeDocument/2006/relationships/image" Target="../media/image52.png"/><Relationship Id="rId4" Type="http://schemas.openxmlformats.org/officeDocument/2006/relationships/image" Target="../media/image14.png"/><Relationship Id="rId9" Type="http://schemas.openxmlformats.org/officeDocument/2006/relationships/image" Target="../media/image51.png"/><Relationship Id="rId14" Type="http://schemas.openxmlformats.org/officeDocument/2006/relationships/image" Target="../media/image49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7.png"/><Relationship Id="rId13" Type="http://schemas.openxmlformats.org/officeDocument/2006/relationships/image" Target="../media/image66.png"/><Relationship Id="rId3" Type="http://schemas.openxmlformats.org/officeDocument/2006/relationships/image" Target="../media/image62.png"/><Relationship Id="rId7" Type="http://schemas.openxmlformats.org/officeDocument/2006/relationships/image" Target="../media/image44.png"/><Relationship Id="rId12" Type="http://schemas.openxmlformats.org/officeDocument/2006/relationships/image" Target="../media/image51.png"/><Relationship Id="rId2" Type="http://schemas.openxmlformats.org/officeDocument/2006/relationships/image" Target="../media/image61.png"/><Relationship Id="rId1" Type="http://schemas.openxmlformats.org/officeDocument/2006/relationships/image" Target="../media/image14.png"/><Relationship Id="rId6" Type="http://schemas.openxmlformats.org/officeDocument/2006/relationships/image" Target="../media/image63.png"/><Relationship Id="rId11" Type="http://schemas.openxmlformats.org/officeDocument/2006/relationships/image" Target="../media/image65.png"/><Relationship Id="rId5" Type="http://schemas.openxmlformats.org/officeDocument/2006/relationships/image" Target="../media/image13.png"/><Relationship Id="rId15" Type="http://schemas.openxmlformats.org/officeDocument/2006/relationships/image" Target="../media/image52.png"/><Relationship Id="rId10" Type="http://schemas.openxmlformats.org/officeDocument/2006/relationships/image" Target="../media/image64.png"/><Relationship Id="rId4" Type="http://schemas.openxmlformats.org/officeDocument/2006/relationships/image" Target="../media/image1.png"/><Relationship Id="rId9" Type="http://schemas.openxmlformats.org/officeDocument/2006/relationships/image" Target="../media/image48.png"/><Relationship Id="rId14" Type="http://schemas.openxmlformats.org/officeDocument/2006/relationships/image" Target="../media/image67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70.png"/><Relationship Id="rId4" Type="http://schemas.openxmlformats.org/officeDocument/2006/relationships/image" Target="../media/image69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.png"/><Relationship Id="rId1" Type="http://schemas.openxmlformats.org/officeDocument/2006/relationships/image" Target="../media/image43.png"/><Relationship Id="rId6" Type="http://schemas.openxmlformats.org/officeDocument/2006/relationships/image" Target="../media/image72.png"/><Relationship Id="rId5" Type="http://schemas.openxmlformats.org/officeDocument/2006/relationships/image" Target="../media/image71.png"/><Relationship Id="rId4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3.png"/><Relationship Id="rId1" Type="http://schemas.openxmlformats.org/officeDocument/2006/relationships/image" Target="../media/image73.png"/><Relationship Id="rId6" Type="http://schemas.openxmlformats.org/officeDocument/2006/relationships/image" Target="../media/image70.png"/><Relationship Id="rId5" Type="http://schemas.openxmlformats.org/officeDocument/2006/relationships/image" Target="../media/image71.png"/><Relationship Id="rId4" Type="http://schemas.openxmlformats.org/officeDocument/2006/relationships/image" Target="../media/image13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.png"/><Relationship Id="rId1" Type="http://schemas.openxmlformats.org/officeDocument/2006/relationships/image" Target="../media/image43.png"/><Relationship Id="rId6" Type="http://schemas.openxmlformats.org/officeDocument/2006/relationships/image" Target="../media/image71.png"/><Relationship Id="rId5" Type="http://schemas.openxmlformats.org/officeDocument/2006/relationships/image" Target="../media/image75.png"/><Relationship Id="rId4" Type="http://schemas.openxmlformats.org/officeDocument/2006/relationships/image" Target="../media/image7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6.png"/><Relationship Id="rId1" Type="http://schemas.openxmlformats.org/officeDocument/2006/relationships/image" Target="../media/image1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18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7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7" Type="http://schemas.openxmlformats.org/officeDocument/2006/relationships/image" Target="../media/image18.png"/><Relationship Id="rId2" Type="http://schemas.openxmlformats.org/officeDocument/2006/relationships/image" Target="../media/image19.jpeg"/><Relationship Id="rId1" Type="http://schemas.openxmlformats.org/officeDocument/2006/relationships/image" Target="../media/image13.png"/><Relationship Id="rId6" Type="http://schemas.openxmlformats.org/officeDocument/2006/relationships/image" Target="../media/image17.png"/><Relationship Id="rId5" Type="http://schemas.openxmlformats.org/officeDocument/2006/relationships/image" Target="../media/image16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7" Type="http://schemas.openxmlformats.org/officeDocument/2006/relationships/image" Target="../media/image18.png"/><Relationship Id="rId2" Type="http://schemas.openxmlformats.org/officeDocument/2006/relationships/image" Target="../media/image21.png"/><Relationship Id="rId1" Type="http://schemas.openxmlformats.org/officeDocument/2006/relationships/image" Target="../media/image13.png"/><Relationship Id="rId6" Type="http://schemas.openxmlformats.org/officeDocument/2006/relationships/image" Target="../media/image16.png"/><Relationship Id="rId5" Type="http://schemas.openxmlformats.org/officeDocument/2006/relationships/image" Target="../media/image11.png"/><Relationship Id="rId4" Type="http://schemas.openxmlformats.org/officeDocument/2006/relationships/image" Target="../media/image2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7" Type="http://schemas.openxmlformats.org/officeDocument/2006/relationships/image" Target="../media/image18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6.png"/><Relationship Id="rId5" Type="http://schemas.openxmlformats.org/officeDocument/2006/relationships/image" Target="../media/image10.png"/><Relationship Id="rId4" Type="http://schemas.openxmlformats.org/officeDocument/2006/relationships/image" Target="../media/image2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1.png"/><Relationship Id="rId1" Type="http://schemas.openxmlformats.org/officeDocument/2006/relationships/image" Target="../media/image13.png"/><Relationship Id="rId6" Type="http://schemas.openxmlformats.org/officeDocument/2006/relationships/image" Target="../media/image26.png"/><Relationship Id="rId5" Type="http://schemas.openxmlformats.org/officeDocument/2006/relationships/image" Target="../media/image8.png"/><Relationship Id="rId4" Type="http://schemas.openxmlformats.org/officeDocument/2006/relationships/image" Target="../media/image2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7" Type="http://schemas.openxmlformats.org/officeDocument/2006/relationships/image" Target="../media/image30.png"/><Relationship Id="rId2" Type="http://schemas.openxmlformats.org/officeDocument/2006/relationships/image" Target="../media/image21.png"/><Relationship Id="rId1" Type="http://schemas.openxmlformats.org/officeDocument/2006/relationships/image" Target="../media/image13.png"/><Relationship Id="rId6" Type="http://schemas.openxmlformats.org/officeDocument/2006/relationships/image" Target="../media/image29.png"/><Relationship Id="rId5" Type="http://schemas.openxmlformats.org/officeDocument/2006/relationships/image" Target="../media/image9.png"/><Relationship Id="rId4" Type="http://schemas.openxmlformats.org/officeDocument/2006/relationships/image" Target="../media/image28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png"/><Relationship Id="rId3" Type="http://schemas.openxmlformats.org/officeDocument/2006/relationships/image" Target="../media/image21.png"/><Relationship Id="rId7" Type="http://schemas.openxmlformats.org/officeDocument/2006/relationships/image" Target="../media/image33.png"/><Relationship Id="rId2" Type="http://schemas.openxmlformats.org/officeDocument/2006/relationships/image" Target="../media/image13.png"/><Relationship Id="rId1" Type="http://schemas.openxmlformats.org/officeDocument/2006/relationships/image" Target="../media/image1.png"/><Relationship Id="rId6" Type="http://schemas.openxmlformats.org/officeDocument/2006/relationships/image" Target="../media/image32.png"/><Relationship Id="rId5" Type="http://schemas.openxmlformats.org/officeDocument/2006/relationships/image" Target="../media/image31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19</xdr:row>
      <xdr:rowOff>95250</xdr:rowOff>
    </xdr:from>
    <xdr:to>
      <xdr:col>1</xdr:col>
      <xdr:colOff>304800</xdr:colOff>
      <xdr:row>21</xdr:row>
      <xdr:rowOff>0</xdr:rowOff>
    </xdr:to>
    <xdr:pic>
      <xdr:nvPicPr>
        <xdr:cNvPr id="32397" name="Obrázek 20" descr="Notice.gif">
          <a:extLst>
            <a:ext uri="{FF2B5EF4-FFF2-40B4-BE49-F238E27FC236}">
              <a16:creationId xmlns:a16="http://schemas.microsoft.com/office/drawing/2014/main" id="{40A246F7-EC7B-4721-9123-12067C5A8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50" y="4419600"/>
          <a:ext cx="25400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419100</xdr:colOff>
      <xdr:row>3</xdr:row>
      <xdr:rowOff>101600</xdr:rowOff>
    </xdr:from>
    <xdr:to>
      <xdr:col>3</xdr:col>
      <xdr:colOff>1581150</xdr:colOff>
      <xdr:row>13</xdr:row>
      <xdr:rowOff>133350</xdr:rowOff>
    </xdr:to>
    <xdr:pic>
      <xdr:nvPicPr>
        <xdr:cNvPr id="32398" name="Obrázek 1">
          <a:extLst>
            <a:ext uri="{FF2B5EF4-FFF2-40B4-BE49-F238E27FC236}">
              <a16:creationId xmlns:a16="http://schemas.microsoft.com/office/drawing/2014/main" id="{6F5C20B3-E23E-4CC8-B026-3D28EF419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901700"/>
          <a:ext cx="1162050" cy="180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222250</xdr:colOff>
      <xdr:row>5</xdr:row>
      <xdr:rowOff>63500</xdr:rowOff>
    </xdr:from>
    <xdr:to>
      <xdr:col>2</xdr:col>
      <xdr:colOff>1790700</xdr:colOff>
      <xdr:row>12</xdr:row>
      <xdr:rowOff>0</xdr:rowOff>
    </xdr:to>
    <xdr:pic>
      <xdr:nvPicPr>
        <xdr:cNvPr id="32399" name="Obrázek 2">
          <a:extLst>
            <a:ext uri="{FF2B5EF4-FFF2-40B4-BE49-F238E27FC236}">
              <a16:creationId xmlns:a16="http://schemas.microsoft.com/office/drawing/2014/main" id="{6583CC1F-392C-4929-8FA1-C57047F28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1100" y="1219200"/>
          <a:ext cx="156845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482600</xdr:colOff>
      <xdr:row>23</xdr:row>
      <xdr:rowOff>0</xdr:rowOff>
    </xdr:from>
    <xdr:to>
      <xdr:col>2</xdr:col>
      <xdr:colOff>1019175</xdr:colOff>
      <xdr:row>31</xdr:row>
      <xdr:rowOff>0</xdr:rowOff>
    </xdr:to>
    <xdr:pic>
      <xdr:nvPicPr>
        <xdr:cNvPr id="32400" name="Obrázek 1">
          <a:extLst>
            <a:ext uri="{FF2B5EF4-FFF2-40B4-BE49-F238E27FC236}">
              <a16:creationId xmlns:a16="http://schemas.microsoft.com/office/drawing/2014/main" id="{42419141-DD1B-4A19-A4EB-F75948C89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450" y="5035550"/>
          <a:ext cx="2444750" cy="142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1295400</xdr:colOff>
      <xdr:row>22</xdr:row>
      <xdr:rowOff>139700</xdr:rowOff>
    </xdr:from>
    <xdr:to>
      <xdr:col>3</xdr:col>
      <xdr:colOff>971550</xdr:colOff>
      <xdr:row>30</xdr:row>
      <xdr:rowOff>161925</xdr:rowOff>
    </xdr:to>
    <xdr:pic>
      <xdr:nvPicPr>
        <xdr:cNvPr id="32401" name="Obrázek 2">
          <a:extLst>
            <a:ext uri="{FF2B5EF4-FFF2-40B4-BE49-F238E27FC236}">
              <a16:creationId xmlns:a16="http://schemas.microsoft.com/office/drawing/2014/main" id="{0EB63DAB-18D3-4656-B1DF-EE88A3A43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28" r="9178"/>
        <a:stretch>
          <a:fillRect/>
        </a:stretch>
      </xdr:blipFill>
      <xdr:spPr bwMode="auto">
        <a:xfrm>
          <a:off x="3524250" y="4997450"/>
          <a:ext cx="1581150" cy="144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298450</xdr:colOff>
      <xdr:row>4</xdr:row>
      <xdr:rowOff>63500</xdr:rowOff>
    </xdr:from>
    <xdr:to>
      <xdr:col>1</xdr:col>
      <xdr:colOff>1666875</xdr:colOff>
      <xdr:row>12</xdr:row>
      <xdr:rowOff>0</xdr:rowOff>
    </xdr:to>
    <xdr:pic>
      <xdr:nvPicPr>
        <xdr:cNvPr id="32402" name="Obrázek 1">
          <a:extLst>
            <a:ext uri="{FF2B5EF4-FFF2-40B4-BE49-F238E27FC236}">
              <a16:creationId xmlns:a16="http://schemas.microsoft.com/office/drawing/2014/main" id="{8727A6C1-6D49-4C74-B337-3923907A3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" y="1041400"/>
          <a:ext cx="13716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749300</xdr:colOff>
      <xdr:row>1</xdr:row>
      <xdr:rowOff>50800</xdr:rowOff>
    </xdr:from>
    <xdr:to>
      <xdr:col>3</xdr:col>
      <xdr:colOff>1847850</xdr:colOff>
      <xdr:row>1</xdr:row>
      <xdr:rowOff>352425</xdr:rowOff>
    </xdr:to>
    <xdr:pic>
      <xdr:nvPicPr>
        <xdr:cNvPr id="32403" name="Obrázek 2">
          <a:extLst>
            <a:ext uri="{FF2B5EF4-FFF2-40B4-BE49-F238E27FC236}">
              <a16:creationId xmlns:a16="http://schemas.microsoft.com/office/drawing/2014/main" id="{883284FD-A881-45B6-87A2-21480B035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3150" y="127000"/>
          <a:ext cx="10985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31</xdr:row>
      <xdr:rowOff>101600</xdr:rowOff>
    </xdr:from>
    <xdr:to>
      <xdr:col>1</xdr:col>
      <xdr:colOff>228600</xdr:colOff>
      <xdr:row>31</xdr:row>
      <xdr:rowOff>257175</xdr:rowOff>
    </xdr:to>
    <xdr:pic>
      <xdr:nvPicPr>
        <xdr:cNvPr id="2" name="Obrázek 28" descr="Info.gif">
          <a:extLst>
            <a:ext uri="{FF2B5EF4-FFF2-40B4-BE49-F238E27FC236}">
              <a16:creationId xmlns:a16="http://schemas.microsoft.com/office/drawing/2014/main" id="{B4296D7E-BA04-41CD-80B9-63003D6C5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4833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82550</xdr:colOff>
      <xdr:row>58</xdr:row>
      <xdr:rowOff>12700</xdr:rowOff>
    </xdr:from>
    <xdr:to>
      <xdr:col>2</xdr:col>
      <xdr:colOff>0</xdr:colOff>
      <xdr:row>58</xdr:row>
      <xdr:rowOff>171450</xdr:rowOff>
    </xdr:to>
    <xdr:pic>
      <xdr:nvPicPr>
        <xdr:cNvPr id="3" name="Obrázek 28" descr="Info.gif">
          <a:extLst>
            <a:ext uri="{FF2B5EF4-FFF2-40B4-BE49-F238E27FC236}">
              <a16:creationId xmlns:a16="http://schemas.microsoft.com/office/drawing/2014/main" id="{F9AA23A6-24B7-4335-BBC0-8AE6DCF62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14109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13</xdr:row>
      <xdr:rowOff>85725</xdr:rowOff>
    </xdr:from>
    <xdr:to>
      <xdr:col>24</xdr:col>
      <xdr:colOff>0</xdr:colOff>
      <xdr:row>21</xdr:row>
      <xdr:rowOff>53975</xdr:rowOff>
    </xdr:to>
    <xdr:pic>
      <xdr:nvPicPr>
        <xdr:cNvPr id="4" name="Obrázek 6">
          <a:extLst>
            <a:ext uri="{FF2B5EF4-FFF2-40B4-BE49-F238E27FC236}">
              <a16:creationId xmlns:a16="http://schemas.microsoft.com/office/drawing/2014/main" id="{8AB1AE08-4ED4-4781-90DF-E992B15DF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87625" y="3171825"/>
          <a:ext cx="76200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44450</xdr:colOff>
      <xdr:row>0</xdr:row>
      <xdr:rowOff>114300</xdr:rowOff>
    </xdr:from>
    <xdr:to>
      <xdr:col>8</xdr:col>
      <xdr:colOff>0</xdr:colOff>
      <xdr:row>2</xdr:row>
      <xdr:rowOff>200025</xdr:rowOff>
    </xdr:to>
    <xdr:pic>
      <xdr:nvPicPr>
        <xdr:cNvPr id="7" name="Obrázek 7">
          <a:extLst>
            <a:ext uri="{FF2B5EF4-FFF2-40B4-BE49-F238E27FC236}">
              <a16:creationId xmlns:a16="http://schemas.microsoft.com/office/drawing/2014/main" id="{FCD6E448-083F-4D1E-8B69-27D9653B1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114300"/>
          <a:ext cx="635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39</xdr:col>
      <xdr:colOff>838200</xdr:colOff>
      <xdr:row>129</xdr:row>
      <xdr:rowOff>38100</xdr:rowOff>
    </xdr:from>
    <xdr:ext cx="730250" cy="1424289"/>
    <xdr:pic>
      <xdr:nvPicPr>
        <xdr:cNvPr id="10" name="Obrázek 6">
          <a:extLst>
            <a:ext uri="{FF2B5EF4-FFF2-40B4-BE49-F238E27FC236}">
              <a16:creationId xmlns:a16="http://schemas.microsoft.com/office/drawing/2014/main" id="{F62D714B-AB7F-403D-A08D-C82CBD591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89550" y="24390350"/>
          <a:ext cx="730250" cy="1424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42</xdr:col>
      <xdr:colOff>311150</xdr:colOff>
      <xdr:row>128</xdr:row>
      <xdr:rowOff>31750</xdr:rowOff>
    </xdr:from>
    <xdr:to>
      <xdr:col>45</xdr:col>
      <xdr:colOff>628650</xdr:colOff>
      <xdr:row>138</xdr:row>
      <xdr:rowOff>74915</xdr:rowOff>
    </xdr:to>
    <xdr:pic>
      <xdr:nvPicPr>
        <xdr:cNvPr id="11" name="Obrázek 2">
          <a:extLst>
            <a:ext uri="{FF2B5EF4-FFF2-40B4-BE49-F238E27FC236}">
              <a16:creationId xmlns:a16="http://schemas.microsoft.com/office/drawing/2014/main" id="{7343F6C8-D44D-4B8F-A228-30AC79009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96100" y="24206200"/>
          <a:ext cx="2197100" cy="1821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63500</xdr:colOff>
      <xdr:row>102</xdr:row>
      <xdr:rowOff>12700</xdr:rowOff>
    </xdr:from>
    <xdr:to>
      <xdr:col>45</xdr:col>
      <xdr:colOff>571500</xdr:colOff>
      <xdr:row>112</xdr:row>
      <xdr:rowOff>152400</xdr:rowOff>
    </xdr:to>
    <xdr:pic>
      <xdr:nvPicPr>
        <xdr:cNvPr id="14" name="Obrázek 1">
          <a:extLst>
            <a:ext uri="{FF2B5EF4-FFF2-40B4-BE49-F238E27FC236}">
              <a16:creationId xmlns:a16="http://schemas.microsoft.com/office/drawing/2014/main" id="{0A9F6545-ACD3-48F2-B5B2-207EA88D9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8450" y="19392900"/>
          <a:ext cx="2387600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495299</xdr:colOff>
      <xdr:row>2</xdr:row>
      <xdr:rowOff>95250</xdr:rowOff>
    </xdr:from>
    <xdr:to>
      <xdr:col>24</xdr:col>
      <xdr:colOff>92454</xdr:colOff>
      <xdr:row>11</xdr:row>
      <xdr:rowOff>190500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24BB28F-7B3D-7E99-C262-940713516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741399" y="641350"/>
          <a:ext cx="2448305" cy="20066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228601</xdr:colOff>
      <xdr:row>35</xdr:row>
      <xdr:rowOff>76200</xdr:rowOff>
    </xdr:from>
    <xdr:to>
      <xdr:col>6</xdr:col>
      <xdr:colOff>9526</xdr:colOff>
      <xdr:row>45</xdr:row>
      <xdr:rowOff>160265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3AD2EAF-1F09-F79F-1680-3CB03FAE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04801" y="7385050"/>
          <a:ext cx="2736850" cy="1858890"/>
        </a:xfrm>
        <a:prstGeom prst="rect">
          <a:avLst/>
        </a:prstGeom>
      </xdr:spPr>
    </xdr:pic>
    <xdr:clientData/>
  </xdr:twoCellAnchor>
  <xdr:twoCellAnchor editAs="oneCell">
    <xdr:from>
      <xdr:col>2</xdr:col>
      <xdr:colOff>6350</xdr:colOff>
      <xdr:row>46</xdr:row>
      <xdr:rowOff>57150</xdr:rowOff>
    </xdr:from>
    <xdr:to>
      <xdr:col>6</xdr:col>
      <xdr:colOff>0</xdr:colOff>
      <xdr:row>56</xdr:row>
      <xdr:rowOff>172255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DA4B5FF-98A6-D705-5D31-6F8B098E9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7500" y="9321800"/>
          <a:ext cx="2711450" cy="1893105"/>
        </a:xfrm>
        <a:prstGeom prst="rect">
          <a:avLst/>
        </a:prstGeom>
      </xdr:spPr>
    </xdr:pic>
    <xdr:clientData/>
  </xdr:twoCellAnchor>
  <xdr:twoCellAnchor editAs="oneCell">
    <xdr:from>
      <xdr:col>20</xdr:col>
      <xdr:colOff>440911</xdr:colOff>
      <xdr:row>36</xdr:row>
      <xdr:rowOff>38100</xdr:rowOff>
    </xdr:from>
    <xdr:to>
      <xdr:col>22</xdr:col>
      <xdr:colOff>340605</xdr:colOff>
      <xdr:row>48</xdr:row>
      <xdr:rowOff>161925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AA5826D-D362-5885-DED4-91363124D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290011" y="7705725"/>
          <a:ext cx="2652419" cy="22955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21</xdr:row>
      <xdr:rowOff>95250</xdr:rowOff>
    </xdr:from>
    <xdr:to>
      <xdr:col>1</xdr:col>
      <xdr:colOff>304800</xdr:colOff>
      <xdr:row>23</xdr:row>
      <xdr:rowOff>0</xdr:rowOff>
    </xdr:to>
    <xdr:pic>
      <xdr:nvPicPr>
        <xdr:cNvPr id="31420" name="Obrázek 20" descr="Notice.gif">
          <a:extLst>
            <a:ext uri="{FF2B5EF4-FFF2-40B4-BE49-F238E27FC236}">
              <a16:creationId xmlns:a16="http://schemas.microsoft.com/office/drawing/2014/main" id="{D0BC6F0C-447E-4A95-A0B5-33A60F2B9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4337050"/>
          <a:ext cx="26035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361950</xdr:colOff>
      <xdr:row>5</xdr:row>
      <xdr:rowOff>107950</xdr:rowOff>
    </xdr:from>
    <xdr:to>
      <xdr:col>3</xdr:col>
      <xdr:colOff>1981200</xdr:colOff>
      <xdr:row>12</xdr:row>
      <xdr:rowOff>95250</xdr:rowOff>
    </xdr:to>
    <xdr:pic>
      <xdr:nvPicPr>
        <xdr:cNvPr id="31422" name="Obrázek 2">
          <a:extLst>
            <a:ext uri="{FF2B5EF4-FFF2-40B4-BE49-F238E27FC236}">
              <a16:creationId xmlns:a16="http://schemas.microsoft.com/office/drawing/2014/main" id="{862B3DE0-0E5D-48E9-8896-17162CCB1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1206500"/>
          <a:ext cx="1619250" cy="123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571500</xdr:colOff>
      <xdr:row>1</xdr:row>
      <xdr:rowOff>0</xdr:rowOff>
    </xdr:from>
    <xdr:to>
      <xdr:col>3</xdr:col>
      <xdr:colOff>1666875</xdr:colOff>
      <xdr:row>2</xdr:row>
      <xdr:rowOff>0</xdr:rowOff>
    </xdr:to>
    <xdr:pic>
      <xdr:nvPicPr>
        <xdr:cNvPr id="31425" name="Obrázek 7">
          <a:extLst>
            <a:ext uri="{FF2B5EF4-FFF2-40B4-BE49-F238E27FC236}">
              <a16:creationId xmlns:a16="http://schemas.microsoft.com/office/drawing/2014/main" id="{4E43C98B-15B3-439A-9FE6-5FDBE6B26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76200"/>
          <a:ext cx="10985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228601</xdr:colOff>
      <xdr:row>5</xdr:row>
      <xdr:rowOff>31750</xdr:rowOff>
    </xdr:from>
    <xdr:to>
      <xdr:col>2</xdr:col>
      <xdr:colOff>1952625</xdr:colOff>
      <xdr:row>12</xdr:row>
      <xdr:rowOff>113440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EB4E3E5-DAF4-486D-9D80-E6711A599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38451" y="1130300"/>
          <a:ext cx="1720849" cy="132629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5</xdr:row>
      <xdr:rowOff>63500</xdr:rowOff>
    </xdr:from>
    <xdr:to>
      <xdr:col>1</xdr:col>
      <xdr:colOff>1895475</xdr:colOff>
      <xdr:row>12</xdr:row>
      <xdr:rowOff>65264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8AC0100-E92E-40E9-947A-ED295059E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1162050"/>
          <a:ext cx="1606550" cy="124953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273050</xdr:colOff>
      <xdr:row>0</xdr:row>
      <xdr:rowOff>44450</xdr:rowOff>
    </xdr:from>
    <xdr:to>
      <xdr:col>10</xdr:col>
      <xdr:colOff>0</xdr:colOff>
      <xdr:row>1</xdr:row>
      <xdr:rowOff>133350</xdr:rowOff>
    </xdr:to>
    <xdr:pic>
      <xdr:nvPicPr>
        <xdr:cNvPr id="42227" name="Obrázek 3">
          <a:extLst>
            <a:ext uri="{FF2B5EF4-FFF2-40B4-BE49-F238E27FC236}">
              <a16:creationId xmlns:a16="http://schemas.microsoft.com/office/drawing/2014/main" id="{65D1D4CC-49A4-47B8-96B0-CA4614CE7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9850" y="44450"/>
          <a:ext cx="109855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</xdr:colOff>
      <xdr:row>26</xdr:row>
      <xdr:rowOff>95250</xdr:rowOff>
    </xdr:from>
    <xdr:to>
      <xdr:col>1</xdr:col>
      <xdr:colOff>285750</xdr:colOff>
      <xdr:row>28</xdr:row>
      <xdr:rowOff>0</xdr:rowOff>
    </xdr:to>
    <xdr:pic>
      <xdr:nvPicPr>
        <xdr:cNvPr id="42228" name="Obrázek 20" descr="Notice.gif">
          <a:extLst>
            <a:ext uri="{FF2B5EF4-FFF2-40B4-BE49-F238E27FC236}">
              <a16:creationId xmlns:a16="http://schemas.microsoft.com/office/drawing/2014/main" id="{87573740-BF26-46D1-874D-046CAE18A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5454650"/>
          <a:ext cx="25400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158</xdr:row>
      <xdr:rowOff>19050</xdr:rowOff>
    </xdr:from>
    <xdr:to>
      <xdr:col>1</xdr:col>
      <xdr:colOff>285750</xdr:colOff>
      <xdr:row>159</xdr:row>
      <xdr:rowOff>0</xdr:rowOff>
    </xdr:to>
    <xdr:pic>
      <xdr:nvPicPr>
        <xdr:cNvPr id="42230" name="Obrázek 28" descr="Info.gif">
          <a:extLst>
            <a:ext uri="{FF2B5EF4-FFF2-40B4-BE49-F238E27FC236}">
              <a16:creationId xmlns:a16="http://schemas.microsoft.com/office/drawing/2014/main" id="{016D2C60-1CD0-4E7E-B1F4-E05C78AD9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25120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603250</xdr:colOff>
      <xdr:row>18</xdr:row>
      <xdr:rowOff>101600</xdr:rowOff>
    </xdr:from>
    <xdr:to>
      <xdr:col>29</xdr:col>
      <xdr:colOff>768350</xdr:colOff>
      <xdr:row>22</xdr:row>
      <xdr:rowOff>177800</xdr:rowOff>
    </xdr:to>
    <xdr:pic>
      <xdr:nvPicPr>
        <xdr:cNvPr id="42231" name="Obrázek 9">
          <a:extLst>
            <a:ext uri="{FF2B5EF4-FFF2-40B4-BE49-F238E27FC236}">
              <a16:creationId xmlns:a16="http://schemas.microsoft.com/office/drawing/2014/main" id="{1B14EC8E-F32C-4BDD-90AF-CA6A1D2EF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92900" y="3117850"/>
          <a:ext cx="768350" cy="153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42</xdr:row>
      <xdr:rowOff>228600</xdr:rowOff>
    </xdr:from>
    <xdr:to>
      <xdr:col>6</xdr:col>
      <xdr:colOff>311150</xdr:colOff>
      <xdr:row>62</xdr:row>
      <xdr:rowOff>101600</xdr:rowOff>
    </xdr:to>
    <xdr:pic>
      <xdr:nvPicPr>
        <xdr:cNvPr id="42232" name="Obrázek 1">
          <a:extLst>
            <a:ext uri="{FF2B5EF4-FFF2-40B4-BE49-F238E27FC236}">
              <a16:creationId xmlns:a16="http://schemas.microsoft.com/office/drawing/2014/main" id="{69DBB7CD-88AF-40A4-99BD-EB7962B36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4033500"/>
          <a:ext cx="2997200" cy="337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273050</xdr:colOff>
      <xdr:row>64</xdr:row>
      <xdr:rowOff>63500</xdr:rowOff>
    </xdr:from>
    <xdr:to>
      <xdr:col>26</xdr:col>
      <xdr:colOff>815975</xdr:colOff>
      <xdr:row>75</xdr:row>
      <xdr:rowOff>120650</xdr:rowOff>
    </xdr:to>
    <xdr:pic>
      <xdr:nvPicPr>
        <xdr:cNvPr id="42233" name="Obrázek 2">
          <a:extLst>
            <a:ext uri="{FF2B5EF4-FFF2-40B4-BE49-F238E27FC236}">
              <a16:creationId xmlns:a16="http://schemas.microsoft.com/office/drawing/2014/main" id="{E5197A24-685D-430B-8605-B4C7EFDC3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9850" y="18522950"/>
          <a:ext cx="3505200" cy="199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571500</xdr:colOff>
      <xdr:row>64</xdr:row>
      <xdr:rowOff>38100</xdr:rowOff>
    </xdr:from>
    <xdr:to>
      <xdr:col>6</xdr:col>
      <xdr:colOff>666750</xdr:colOff>
      <xdr:row>76</xdr:row>
      <xdr:rowOff>6350</xdr:rowOff>
    </xdr:to>
    <xdr:pic>
      <xdr:nvPicPr>
        <xdr:cNvPr id="42234" name="Obrázek 3">
          <a:extLst>
            <a:ext uri="{FF2B5EF4-FFF2-40B4-BE49-F238E27FC236}">
              <a16:creationId xmlns:a16="http://schemas.microsoft.com/office/drawing/2014/main" id="{6BA6DA3D-5F4F-4E73-8707-46A75724C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8497550"/>
          <a:ext cx="3416300" cy="208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89</xdr:row>
      <xdr:rowOff>177800</xdr:rowOff>
    </xdr:from>
    <xdr:to>
      <xdr:col>7</xdr:col>
      <xdr:colOff>196850</xdr:colOff>
      <xdr:row>100</xdr:row>
      <xdr:rowOff>95250</xdr:rowOff>
    </xdr:to>
    <xdr:pic>
      <xdr:nvPicPr>
        <xdr:cNvPr id="42235" name="Obrázek 15">
          <a:extLst>
            <a:ext uri="{FF2B5EF4-FFF2-40B4-BE49-F238E27FC236}">
              <a16:creationId xmlns:a16="http://schemas.microsoft.com/office/drawing/2014/main" id="{3D7110CF-795C-47C0-BA8B-93D7D5104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2263100"/>
          <a:ext cx="3365500" cy="187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50800</xdr:colOff>
      <xdr:row>89</xdr:row>
      <xdr:rowOff>152400</xdr:rowOff>
    </xdr:from>
    <xdr:to>
      <xdr:col>27</xdr:col>
      <xdr:colOff>142875</xdr:colOff>
      <xdr:row>100</xdr:row>
      <xdr:rowOff>95250</xdr:rowOff>
    </xdr:to>
    <xdr:pic>
      <xdr:nvPicPr>
        <xdr:cNvPr id="42236" name="Obrázek 16">
          <a:extLst>
            <a:ext uri="{FF2B5EF4-FFF2-40B4-BE49-F238E27FC236}">
              <a16:creationId xmlns:a16="http://schemas.microsoft.com/office/drawing/2014/main" id="{2BECD726-4883-4284-99BF-F5DE59654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3400" y="22237700"/>
          <a:ext cx="3365500" cy="187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647700</xdr:colOff>
      <xdr:row>80</xdr:row>
      <xdr:rowOff>177800</xdr:rowOff>
    </xdr:from>
    <xdr:to>
      <xdr:col>11</xdr:col>
      <xdr:colOff>139700</xdr:colOff>
      <xdr:row>86</xdr:row>
      <xdr:rowOff>0</xdr:rowOff>
    </xdr:to>
    <xdr:pic>
      <xdr:nvPicPr>
        <xdr:cNvPr id="42237" name="Obrázek 2">
          <a:extLst>
            <a:ext uri="{FF2B5EF4-FFF2-40B4-BE49-F238E27FC236}">
              <a16:creationId xmlns:a16="http://schemas.microsoft.com/office/drawing/2014/main" id="{5969140F-8848-4223-B55D-D61520115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20542250"/>
          <a:ext cx="1619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29</xdr:row>
      <xdr:rowOff>19050</xdr:rowOff>
    </xdr:from>
    <xdr:to>
      <xdr:col>1</xdr:col>
      <xdr:colOff>190500</xdr:colOff>
      <xdr:row>30</xdr:row>
      <xdr:rowOff>0</xdr:rowOff>
    </xdr:to>
    <xdr:pic>
      <xdr:nvPicPr>
        <xdr:cNvPr id="42238" name="Obrázek 28" descr="Info.gif">
          <a:extLst>
            <a:ext uri="{FF2B5EF4-FFF2-40B4-BE49-F238E27FC236}">
              <a16:creationId xmlns:a16="http://schemas.microsoft.com/office/drawing/2014/main" id="{179079BA-628E-41DB-87CB-2255F3430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9118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88900</xdr:colOff>
      <xdr:row>142</xdr:row>
      <xdr:rowOff>171450</xdr:rowOff>
    </xdr:from>
    <xdr:to>
      <xdr:col>26</xdr:col>
      <xdr:colOff>714375</xdr:colOff>
      <xdr:row>156</xdr:row>
      <xdr:rowOff>101600</xdr:rowOff>
    </xdr:to>
    <xdr:pic>
      <xdr:nvPicPr>
        <xdr:cNvPr id="42239" name="Obrázek 16">
          <a:extLst>
            <a:ext uri="{FF2B5EF4-FFF2-40B4-BE49-F238E27FC236}">
              <a16:creationId xmlns:a16="http://schemas.microsoft.com/office/drawing/2014/main" id="{1EE39281-E2A4-4845-A010-C877C5E14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29819600"/>
          <a:ext cx="8178800" cy="241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69850</xdr:colOff>
      <xdr:row>16</xdr:row>
      <xdr:rowOff>171450</xdr:rowOff>
    </xdr:from>
    <xdr:to>
      <xdr:col>26</xdr:col>
      <xdr:colOff>886239</xdr:colOff>
      <xdr:row>23</xdr:row>
      <xdr:rowOff>44450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30238FC-12C6-4436-85A5-2D35ABF40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918450" y="2806700"/>
          <a:ext cx="810039" cy="2070100"/>
        </a:xfrm>
        <a:prstGeom prst="rect">
          <a:avLst/>
        </a:prstGeom>
      </xdr:spPr>
    </xdr:pic>
    <xdr:clientData/>
  </xdr:twoCellAnchor>
  <xdr:twoCellAnchor editAs="oneCell">
    <xdr:from>
      <xdr:col>26</xdr:col>
      <xdr:colOff>298450</xdr:colOff>
      <xdr:row>0</xdr:row>
      <xdr:rowOff>127000</xdr:rowOff>
    </xdr:from>
    <xdr:to>
      <xdr:col>29</xdr:col>
      <xdr:colOff>695267</xdr:colOff>
      <xdr:row>13</xdr:row>
      <xdr:rowOff>82550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F4C97F38-5064-4AFC-9DEB-82EEC7D30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874000" y="127000"/>
          <a:ext cx="2536767" cy="2838450"/>
        </a:xfrm>
        <a:prstGeom prst="rect">
          <a:avLst/>
        </a:prstGeom>
      </xdr:spPr>
    </xdr:pic>
    <xdr:clientData/>
  </xdr:twoCellAnchor>
  <xdr:oneCellAnchor>
    <xdr:from>
      <xdr:col>33</xdr:col>
      <xdr:colOff>38100</xdr:colOff>
      <xdr:row>191</xdr:row>
      <xdr:rowOff>19050</xdr:rowOff>
    </xdr:from>
    <xdr:ext cx="152400" cy="158750"/>
    <xdr:pic>
      <xdr:nvPicPr>
        <xdr:cNvPr id="17" name="Obrázek 28" descr="Info.gif">
          <a:extLst>
            <a:ext uri="{FF2B5EF4-FFF2-40B4-BE49-F238E27FC236}">
              <a16:creationId xmlns:a16="http://schemas.microsoft.com/office/drawing/2014/main" id="{A1C6CB69-5A5D-499B-9B8E-48EFFB7BB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7500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38</xdr:col>
      <xdr:colOff>63501</xdr:colOff>
      <xdr:row>170</xdr:row>
      <xdr:rowOff>19050</xdr:rowOff>
    </xdr:from>
    <xdr:to>
      <xdr:col>42</xdr:col>
      <xdr:colOff>12109</xdr:colOff>
      <xdr:row>181</xdr:row>
      <xdr:rowOff>273050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A8F9679A-7449-49E3-9B87-39E1421B6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4466551" y="32378650"/>
          <a:ext cx="1980608" cy="2216150"/>
        </a:xfrm>
        <a:prstGeom prst="rect">
          <a:avLst/>
        </a:prstGeom>
      </xdr:spPr>
    </xdr:pic>
    <xdr:clientData/>
  </xdr:twoCellAnchor>
  <xdr:oneCellAnchor>
    <xdr:from>
      <xdr:col>47</xdr:col>
      <xdr:colOff>69851</xdr:colOff>
      <xdr:row>183</xdr:row>
      <xdr:rowOff>6350</xdr:rowOff>
    </xdr:from>
    <xdr:ext cx="775252" cy="1981200"/>
    <xdr:pic>
      <xdr:nvPicPr>
        <xdr:cNvPr id="20" name="Obrázek 19">
          <a:extLst>
            <a:ext uri="{FF2B5EF4-FFF2-40B4-BE49-F238E27FC236}">
              <a16:creationId xmlns:a16="http://schemas.microsoft.com/office/drawing/2014/main" id="{8C67B6FF-D98E-4A89-8DD7-9B0CB1B95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986501" y="32861250"/>
          <a:ext cx="775252" cy="1981200"/>
        </a:xfrm>
        <a:prstGeom prst="rect">
          <a:avLst/>
        </a:prstGeom>
      </xdr:spPr>
    </xdr:pic>
    <xdr:clientData/>
  </xdr:oneCellAnchor>
  <xdr:oneCellAnchor>
    <xdr:from>
      <xdr:col>50</xdr:col>
      <xdr:colOff>51564</xdr:colOff>
      <xdr:row>182</xdr:row>
      <xdr:rowOff>311150</xdr:rowOff>
    </xdr:from>
    <xdr:ext cx="1971890" cy="2241550"/>
    <xdr:pic>
      <xdr:nvPicPr>
        <xdr:cNvPr id="21" name="Obrázek 1">
          <a:extLst>
            <a:ext uri="{FF2B5EF4-FFF2-40B4-BE49-F238E27FC236}">
              <a16:creationId xmlns:a16="http://schemas.microsoft.com/office/drawing/2014/main" id="{6678350F-230A-4C37-8AB8-97CD4CEA3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8964" y="33032700"/>
          <a:ext cx="1971890" cy="224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35</xdr:col>
      <xdr:colOff>6350</xdr:colOff>
      <xdr:row>197</xdr:row>
      <xdr:rowOff>120650</xdr:rowOff>
    </xdr:from>
    <xdr:ext cx="736600" cy="1455087"/>
    <xdr:pic>
      <xdr:nvPicPr>
        <xdr:cNvPr id="23" name="Obrázek 9">
          <a:extLst>
            <a:ext uri="{FF2B5EF4-FFF2-40B4-BE49-F238E27FC236}">
              <a16:creationId xmlns:a16="http://schemas.microsoft.com/office/drawing/2014/main" id="{C7F85E62-1E4C-434C-9352-637A9E1C5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0" y="35706050"/>
          <a:ext cx="736600" cy="1455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44</xdr:col>
      <xdr:colOff>63500</xdr:colOff>
      <xdr:row>197</xdr:row>
      <xdr:rowOff>146050</xdr:rowOff>
    </xdr:from>
    <xdr:ext cx="2978150" cy="1701800"/>
    <xdr:pic>
      <xdr:nvPicPr>
        <xdr:cNvPr id="24" name="Obrázek 2">
          <a:extLst>
            <a:ext uri="{FF2B5EF4-FFF2-40B4-BE49-F238E27FC236}">
              <a16:creationId xmlns:a16="http://schemas.microsoft.com/office/drawing/2014/main" id="{F6CCECA6-04B0-4784-9D67-5153F002A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1850" y="35553650"/>
          <a:ext cx="2978150" cy="17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37</xdr:col>
      <xdr:colOff>44450</xdr:colOff>
      <xdr:row>197</xdr:row>
      <xdr:rowOff>133350</xdr:rowOff>
    </xdr:from>
    <xdr:ext cx="2787650" cy="1715477"/>
    <xdr:pic>
      <xdr:nvPicPr>
        <xdr:cNvPr id="25" name="Obrázek 3">
          <a:extLst>
            <a:ext uri="{FF2B5EF4-FFF2-40B4-BE49-F238E27FC236}">
              <a16:creationId xmlns:a16="http://schemas.microsoft.com/office/drawing/2014/main" id="{FF2A4BCF-AA90-4652-B535-CBA831657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3550" y="35540950"/>
          <a:ext cx="2787650" cy="17154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44450</xdr:rowOff>
    </xdr:from>
    <xdr:to>
      <xdr:col>10</xdr:col>
      <xdr:colOff>6350</xdr:colOff>
      <xdr:row>1</xdr:row>
      <xdr:rowOff>120650</xdr:rowOff>
    </xdr:to>
    <xdr:pic>
      <xdr:nvPicPr>
        <xdr:cNvPr id="43240" name="Obrázek 2">
          <a:extLst>
            <a:ext uri="{FF2B5EF4-FFF2-40B4-BE49-F238E27FC236}">
              <a16:creationId xmlns:a16="http://schemas.microsoft.com/office/drawing/2014/main" id="{08507452-FA06-44CB-BF85-B62E3126E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44450"/>
          <a:ext cx="107315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552450</xdr:colOff>
      <xdr:row>18</xdr:row>
      <xdr:rowOff>88900</xdr:rowOff>
    </xdr:from>
    <xdr:to>
      <xdr:col>29</xdr:col>
      <xdr:colOff>723505</xdr:colOff>
      <xdr:row>22</xdr:row>
      <xdr:rowOff>184150</xdr:rowOff>
    </xdr:to>
    <xdr:pic>
      <xdr:nvPicPr>
        <xdr:cNvPr id="43242" name="Obrázek 12">
          <a:extLst>
            <a:ext uri="{FF2B5EF4-FFF2-40B4-BE49-F238E27FC236}">
              <a16:creationId xmlns:a16="http://schemas.microsoft.com/office/drawing/2014/main" id="{C95987C3-30C3-4E91-B545-67B2865FC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3943350"/>
          <a:ext cx="742555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</xdr:colOff>
      <xdr:row>26</xdr:row>
      <xdr:rowOff>95250</xdr:rowOff>
    </xdr:from>
    <xdr:to>
      <xdr:col>1</xdr:col>
      <xdr:colOff>285750</xdr:colOff>
      <xdr:row>28</xdr:row>
      <xdr:rowOff>0</xdr:rowOff>
    </xdr:to>
    <xdr:pic>
      <xdr:nvPicPr>
        <xdr:cNvPr id="43243" name="Obrázek 20" descr="Notice.gif">
          <a:extLst>
            <a:ext uri="{FF2B5EF4-FFF2-40B4-BE49-F238E27FC236}">
              <a16:creationId xmlns:a16="http://schemas.microsoft.com/office/drawing/2014/main" id="{AFF7646B-C6CD-47BC-BF94-EC00B5DCA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5041900"/>
          <a:ext cx="25400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29</xdr:row>
      <xdr:rowOff>19050</xdr:rowOff>
    </xdr:from>
    <xdr:to>
      <xdr:col>1</xdr:col>
      <xdr:colOff>190500</xdr:colOff>
      <xdr:row>30</xdr:row>
      <xdr:rowOff>0</xdr:rowOff>
    </xdr:to>
    <xdr:pic>
      <xdr:nvPicPr>
        <xdr:cNvPr id="43244" name="Obrázek 28" descr="Info.gif">
          <a:extLst>
            <a:ext uri="{FF2B5EF4-FFF2-40B4-BE49-F238E27FC236}">
              <a16:creationId xmlns:a16="http://schemas.microsoft.com/office/drawing/2014/main" id="{1BD0FAC5-20E6-4572-9363-178CEBAB5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4991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163</xdr:row>
      <xdr:rowOff>19050</xdr:rowOff>
    </xdr:from>
    <xdr:to>
      <xdr:col>1</xdr:col>
      <xdr:colOff>285750</xdr:colOff>
      <xdr:row>164</xdr:row>
      <xdr:rowOff>0</xdr:rowOff>
    </xdr:to>
    <xdr:pic>
      <xdr:nvPicPr>
        <xdr:cNvPr id="43246" name="Obrázek 28" descr="Info.gif">
          <a:extLst>
            <a:ext uri="{FF2B5EF4-FFF2-40B4-BE49-F238E27FC236}">
              <a16:creationId xmlns:a16="http://schemas.microsoft.com/office/drawing/2014/main" id="{1A4DEF9E-0FB7-4AEA-99FD-658C535FD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37629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42</xdr:row>
      <xdr:rowOff>228600</xdr:rowOff>
    </xdr:from>
    <xdr:to>
      <xdr:col>6</xdr:col>
      <xdr:colOff>311150</xdr:colOff>
      <xdr:row>62</xdr:row>
      <xdr:rowOff>101600</xdr:rowOff>
    </xdr:to>
    <xdr:pic>
      <xdr:nvPicPr>
        <xdr:cNvPr id="43247" name="Obrázek 9">
          <a:extLst>
            <a:ext uri="{FF2B5EF4-FFF2-40B4-BE49-F238E27FC236}">
              <a16:creationId xmlns:a16="http://schemas.microsoft.com/office/drawing/2014/main" id="{4474A208-08E9-4B19-94F3-52B7865A5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3976350"/>
          <a:ext cx="2997200" cy="337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266700</xdr:colOff>
      <xdr:row>64</xdr:row>
      <xdr:rowOff>57150</xdr:rowOff>
    </xdr:from>
    <xdr:to>
      <xdr:col>27</xdr:col>
      <xdr:colOff>501650</xdr:colOff>
      <xdr:row>75</xdr:row>
      <xdr:rowOff>158750</xdr:rowOff>
    </xdr:to>
    <xdr:pic>
      <xdr:nvPicPr>
        <xdr:cNvPr id="43248" name="Obrázek 10">
          <a:extLst>
            <a:ext uri="{FF2B5EF4-FFF2-40B4-BE49-F238E27FC236}">
              <a16:creationId xmlns:a16="http://schemas.microsoft.com/office/drawing/2014/main" id="{42D7C49C-62EA-4B0C-AE02-0F3FAE3DD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7722850"/>
          <a:ext cx="3505200" cy="199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571500</xdr:colOff>
      <xdr:row>64</xdr:row>
      <xdr:rowOff>31750</xdr:rowOff>
    </xdr:from>
    <xdr:to>
      <xdr:col>6</xdr:col>
      <xdr:colOff>666750</xdr:colOff>
      <xdr:row>76</xdr:row>
      <xdr:rowOff>38100</xdr:rowOff>
    </xdr:to>
    <xdr:pic>
      <xdr:nvPicPr>
        <xdr:cNvPr id="43249" name="Obrázek 11">
          <a:extLst>
            <a:ext uri="{FF2B5EF4-FFF2-40B4-BE49-F238E27FC236}">
              <a16:creationId xmlns:a16="http://schemas.microsoft.com/office/drawing/2014/main" id="{7CBE3638-FA1B-436A-8A92-0129D23DF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7633950"/>
          <a:ext cx="3416300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89</xdr:row>
      <xdr:rowOff>152400</xdr:rowOff>
    </xdr:from>
    <xdr:to>
      <xdr:col>7</xdr:col>
      <xdr:colOff>203200</xdr:colOff>
      <xdr:row>100</xdr:row>
      <xdr:rowOff>69850</xdr:rowOff>
    </xdr:to>
    <xdr:pic>
      <xdr:nvPicPr>
        <xdr:cNvPr id="43250" name="Obrázek 4">
          <a:extLst>
            <a:ext uri="{FF2B5EF4-FFF2-40B4-BE49-F238E27FC236}">
              <a16:creationId xmlns:a16="http://schemas.microsoft.com/office/drawing/2014/main" id="{32A4DEE2-C312-426C-BE7C-1226BD59C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2263100"/>
          <a:ext cx="3365500" cy="187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50800</xdr:colOff>
      <xdr:row>89</xdr:row>
      <xdr:rowOff>152400</xdr:rowOff>
    </xdr:from>
    <xdr:to>
      <xdr:col>28</xdr:col>
      <xdr:colOff>260350</xdr:colOff>
      <xdr:row>100</xdr:row>
      <xdr:rowOff>69850</xdr:rowOff>
    </xdr:to>
    <xdr:pic>
      <xdr:nvPicPr>
        <xdr:cNvPr id="43251" name="Obrázek 6">
          <a:extLst>
            <a:ext uri="{FF2B5EF4-FFF2-40B4-BE49-F238E27FC236}">
              <a16:creationId xmlns:a16="http://schemas.microsoft.com/office/drawing/2014/main" id="{C7D23AD0-C0B7-4F98-AF25-C2D6DA148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22263100"/>
          <a:ext cx="3365500" cy="187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717550</xdr:colOff>
      <xdr:row>81</xdr:row>
      <xdr:rowOff>25400</xdr:rowOff>
    </xdr:from>
    <xdr:to>
      <xdr:col>11</xdr:col>
      <xdr:colOff>742950</xdr:colOff>
      <xdr:row>86</xdr:row>
      <xdr:rowOff>0</xdr:rowOff>
    </xdr:to>
    <xdr:pic>
      <xdr:nvPicPr>
        <xdr:cNvPr id="43252" name="Obrázek 8">
          <a:extLst>
            <a:ext uri="{FF2B5EF4-FFF2-40B4-BE49-F238E27FC236}">
              <a16:creationId xmlns:a16="http://schemas.microsoft.com/office/drawing/2014/main" id="{3F32B1D8-426E-4CA8-BED7-AD4F85943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2750" y="20643850"/>
          <a:ext cx="1492250" cy="92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</xdr:colOff>
      <xdr:row>144</xdr:row>
      <xdr:rowOff>171450</xdr:rowOff>
    </xdr:from>
    <xdr:to>
      <xdr:col>26</xdr:col>
      <xdr:colOff>730250</xdr:colOff>
      <xdr:row>158</xdr:row>
      <xdr:rowOff>107950</xdr:rowOff>
    </xdr:to>
    <xdr:pic>
      <xdr:nvPicPr>
        <xdr:cNvPr id="43253" name="Obrázek 4">
          <a:extLst>
            <a:ext uri="{FF2B5EF4-FFF2-40B4-BE49-F238E27FC236}">
              <a16:creationId xmlns:a16="http://schemas.microsoft.com/office/drawing/2014/main" id="{65057C8A-E02D-47CF-9B05-2584B2011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30537150"/>
          <a:ext cx="8185150" cy="242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63501</xdr:colOff>
      <xdr:row>16</xdr:row>
      <xdr:rowOff>165100</xdr:rowOff>
    </xdr:from>
    <xdr:to>
      <xdr:col>26</xdr:col>
      <xdr:colOff>838753</xdr:colOff>
      <xdr:row>23</xdr:row>
      <xdr:rowOff>50800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53701E1F-FF68-4F83-9BDB-795BC4A18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639051" y="3638550"/>
          <a:ext cx="775252" cy="1981200"/>
        </a:xfrm>
        <a:prstGeom prst="rect">
          <a:avLst/>
        </a:prstGeom>
      </xdr:spPr>
    </xdr:pic>
    <xdr:clientData/>
  </xdr:twoCellAnchor>
  <xdr:twoCellAnchor editAs="oneCell">
    <xdr:from>
      <xdr:col>26</xdr:col>
      <xdr:colOff>241300</xdr:colOff>
      <xdr:row>0</xdr:row>
      <xdr:rowOff>203200</xdr:rowOff>
    </xdr:from>
    <xdr:to>
      <xdr:col>29</xdr:col>
      <xdr:colOff>638117</xdr:colOff>
      <xdr:row>13</xdr:row>
      <xdr:rowOff>165100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8D25AB69-ABE8-49D5-A155-FF862DB5B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816850" y="203200"/>
          <a:ext cx="2536767" cy="2838450"/>
        </a:xfrm>
        <a:prstGeom prst="rect">
          <a:avLst/>
        </a:prstGeom>
      </xdr:spPr>
    </xdr:pic>
    <xdr:clientData/>
  </xdr:twoCellAnchor>
  <xdr:oneCellAnchor>
    <xdr:from>
      <xdr:col>33</xdr:col>
      <xdr:colOff>38100</xdr:colOff>
      <xdr:row>192</xdr:row>
      <xdr:rowOff>19050</xdr:rowOff>
    </xdr:from>
    <xdr:ext cx="152400" cy="158750"/>
    <xdr:pic>
      <xdr:nvPicPr>
        <xdr:cNvPr id="16" name="Obrázek 28" descr="Info.gif">
          <a:extLst>
            <a:ext uri="{FF2B5EF4-FFF2-40B4-BE49-F238E27FC236}">
              <a16:creationId xmlns:a16="http://schemas.microsoft.com/office/drawing/2014/main" id="{CFECC79B-3B61-415B-907E-05E0CAD2E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363791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38</xdr:col>
      <xdr:colOff>139701</xdr:colOff>
      <xdr:row>170</xdr:row>
      <xdr:rowOff>304800</xdr:rowOff>
    </xdr:from>
    <xdr:to>
      <xdr:col>42</xdr:col>
      <xdr:colOff>3122</xdr:colOff>
      <xdr:row>183</xdr:row>
      <xdr:rowOff>0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6A65CC57-8E5E-4CF7-8E5C-DA42B36A2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4491951" y="32562800"/>
          <a:ext cx="1895421" cy="2260600"/>
        </a:xfrm>
        <a:prstGeom prst="rect">
          <a:avLst/>
        </a:prstGeom>
      </xdr:spPr>
    </xdr:pic>
    <xdr:clientData/>
  </xdr:twoCellAnchor>
  <xdr:oneCellAnchor>
    <xdr:from>
      <xdr:col>47</xdr:col>
      <xdr:colOff>69851</xdr:colOff>
      <xdr:row>184</xdr:row>
      <xdr:rowOff>6350</xdr:rowOff>
    </xdr:from>
    <xdr:ext cx="775252" cy="1981200"/>
    <xdr:pic>
      <xdr:nvPicPr>
        <xdr:cNvPr id="20" name="Obrázek 19">
          <a:extLst>
            <a:ext uri="{FF2B5EF4-FFF2-40B4-BE49-F238E27FC236}">
              <a16:creationId xmlns:a16="http://schemas.microsoft.com/office/drawing/2014/main" id="{1C5E1C1B-349B-48B8-AAE0-E02AB2B77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829001" y="34944050"/>
          <a:ext cx="775252" cy="1981200"/>
        </a:xfrm>
        <a:prstGeom prst="rect">
          <a:avLst/>
        </a:prstGeom>
      </xdr:spPr>
    </xdr:pic>
    <xdr:clientData/>
  </xdr:oneCellAnchor>
  <xdr:oneCellAnchor>
    <xdr:from>
      <xdr:col>50</xdr:col>
      <xdr:colOff>51564</xdr:colOff>
      <xdr:row>183</xdr:row>
      <xdr:rowOff>311150</xdr:rowOff>
    </xdr:from>
    <xdr:ext cx="1971890" cy="2241550"/>
    <xdr:pic>
      <xdr:nvPicPr>
        <xdr:cNvPr id="21" name="Obrázek 1">
          <a:extLst>
            <a:ext uri="{FF2B5EF4-FFF2-40B4-BE49-F238E27FC236}">
              <a16:creationId xmlns:a16="http://schemas.microsoft.com/office/drawing/2014/main" id="{37B37442-B618-457D-804C-37C6528C1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72814" y="34925000"/>
          <a:ext cx="1971890" cy="224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35</xdr:col>
      <xdr:colOff>6350</xdr:colOff>
      <xdr:row>198</xdr:row>
      <xdr:rowOff>120650</xdr:rowOff>
    </xdr:from>
    <xdr:ext cx="736600" cy="1455087"/>
    <xdr:pic>
      <xdr:nvPicPr>
        <xdr:cNvPr id="22" name="Obrázek 9">
          <a:extLst>
            <a:ext uri="{FF2B5EF4-FFF2-40B4-BE49-F238E27FC236}">
              <a16:creationId xmlns:a16="http://schemas.microsoft.com/office/drawing/2014/main" id="{E2B4DCC4-0C0B-43B7-8508-9A4606D4B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13950" y="37547550"/>
          <a:ext cx="736600" cy="1455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44</xdr:col>
      <xdr:colOff>63500</xdr:colOff>
      <xdr:row>198</xdr:row>
      <xdr:rowOff>146050</xdr:rowOff>
    </xdr:from>
    <xdr:ext cx="2978150" cy="1701800"/>
    <xdr:pic>
      <xdr:nvPicPr>
        <xdr:cNvPr id="23" name="Obrázek 2">
          <a:extLst>
            <a:ext uri="{FF2B5EF4-FFF2-40B4-BE49-F238E27FC236}">
              <a16:creationId xmlns:a16="http://schemas.microsoft.com/office/drawing/2014/main" id="{4AFED9F1-F640-4CA0-B9B4-5D1E4B1CD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8600" y="37572950"/>
          <a:ext cx="2978150" cy="17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37</xdr:col>
      <xdr:colOff>44450</xdr:colOff>
      <xdr:row>198</xdr:row>
      <xdr:rowOff>133350</xdr:rowOff>
    </xdr:from>
    <xdr:ext cx="2787650" cy="1715477"/>
    <xdr:pic>
      <xdr:nvPicPr>
        <xdr:cNvPr id="24" name="Obrázek 3">
          <a:extLst>
            <a:ext uri="{FF2B5EF4-FFF2-40B4-BE49-F238E27FC236}">
              <a16:creationId xmlns:a16="http://schemas.microsoft.com/office/drawing/2014/main" id="{B1E213EA-E826-49AA-A480-6B4ED8D7B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39500" y="37560250"/>
          <a:ext cx="2787650" cy="17154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50801</xdr:colOff>
      <xdr:row>183</xdr:row>
      <xdr:rowOff>273051</xdr:rowOff>
    </xdr:from>
    <xdr:to>
      <xdr:col>52</xdr:col>
      <xdr:colOff>593479</xdr:colOff>
      <xdr:row>196</xdr:row>
      <xdr:rowOff>114301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75F65073-3C2C-11BF-5633-D4BF57B2F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0993101" y="35115501"/>
          <a:ext cx="1977778" cy="2298700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42</xdr:row>
      <xdr:rowOff>6350</xdr:rowOff>
    </xdr:from>
    <xdr:to>
      <xdr:col>6</xdr:col>
      <xdr:colOff>412750</xdr:colOff>
      <xdr:row>62</xdr:row>
      <xdr:rowOff>157131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E34D0789-45F5-8AD8-AF4D-614E5DFE4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15950" y="9182100"/>
          <a:ext cx="3067050" cy="3503581"/>
        </a:xfrm>
        <a:prstGeom prst="rect">
          <a:avLst/>
        </a:prstGeom>
      </xdr:spPr>
    </xdr:pic>
    <xdr:clientData/>
  </xdr:twoCellAnchor>
  <xdr:twoCellAnchor editAs="oneCell">
    <xdr:from>
      <xdr:col>8</xdr:col>
      <xdr:colOff>304800</xdr:colOff>
      <xdr:row>0</xdr:row>
      <xdr:rowOff>44450</xdr:rowOff>
    </xdr:from>
    <xdr:to>
      <xdr:col>10</xdr:col>
      <xdr:colOff>6350</xdr:colOff>
      <xdr:row>1</xdr:row>
      <xdr:rowOff>120650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DF49AEEA-AB1A-4AB6-9708-B2554A94D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44450"/>
          <a:ext cx="106045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552450</xdr:colOff>
      <xdr:row>18</xdr:row>
      <xdr:rowOff>88900</xdr:rowOff>
    </xdr:from>
    <xdr:to>
      <xdr:col>29</xdr:col>
      <xdr:colOff>723505</xdr:colOff>
      <xdr:row>22</xdr:row>
      <xdr:rowOff>184150</xdr:rowOff>
    </xdr:to>
    <xdr:pic>
      <xdr:nvPicPr>
        <xdr:cNvPr id="3" name="Obrázek 12">
          <a:extLst>
            <a:ext uri="{FF2B5EF4-FFF2-40B4-BE49-F238E27FC236}">
              <a16:creationId xmlns:a16="http://schemas.microsoft.com/office/drawing/2014/main" id="{FC7C1B64-4786-4722-9628-C523EB312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3943350"/>
          <a:ext cx="742555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</xdr:colOff>
      <xdr:row>26</xdr:row>
      <xdr:rowOff>95250</xdr:rowOff>
    </xdr:from>
    <xdr:to>
      <xdr:col>1</xdr:col>
      <xdr:colOff>285750</xdr:colOff>
      <xdr:row>28</xdr:row>
      <xdr:rowOff>0</xdr:rowOff>
    </xdr:to>
    <xdr:pic>
      <xdr:nvPicPr>
        <xdr:cNvPr id="4" name="Obrázek 20" descr="Notice.gif">
          <a:extLst>
            <a:ext uri="{FF2B5EF4-FFF2-40B4-BE49-F238E27FC236}">
              <a16:creationId xmlns:a16="http://schemas.microsoft.com/office/drawing/2014/main" id="{924AA043-819C-46DD-9727-5D15D3A3A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6203950"/>
          <a:ext cx="25400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29</xdr:row>
      <xdr:rowOff>19050</xdr:rowOff>
    </xdr:from>
    <xdr:to>
      <xdr:col>1</xdr:col>
      <xdr:colOff>190500</xdr:colOff>
      <xdr:row>30</xdr:row>
      <xdr:rowOff>0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700AAF84-3592-41A3-9356-05D930B08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6611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163</xdr:row>
      <xdr:rowOff>19050</xdr:rowOff>
    </xdr:from>
    <xdr:to>
      <xdr:col>1</xdr:col>
      <xdr:colOff>285750</xdr:colOff>
      <xdr:row>164</xdr:row>
      <xdr:rowOff>0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91187A61-64F1-4FED-99D5-EB879A4E9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10324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89</xdr:row>
      <xdr:rowOff>152400</xdr:rowOff>
    </xdr:from>
    <xdr:to>
      <xdr:col>7</xdr:col>
      <xdr:colOff>203200</xdr:colOff>
      <xdr:row>100</xdr:row>
      <xdr:rowOff>69850</xdr:rowOff>
    </xdr:to>
    <xdr:pic>
      <xdr:nvPicPr>
        <xdr:cNvPr id="8" name="Obrázek 4">
          <a:extLst>
            <a:ext uri="{FF2B5EF4-FFF2-40B4-BE49-F238E27FC236}">
              <a16:creationId xmlns:a16="http://schemas.microsoft.com/office/drawing/2014/main" id="{ABF682AF-4B15-4742-93FD-966A3E1B1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7633950"/>
          <a:ext cx="3333750" cy="187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50800</xdr:colOff>
      <xdr:row>89</xdr:row>
      <xdr:rowOff>152400</xdr:rowOff>
    </xdr:from>
    <xdr:to>
      <xdr:col>28</xdr:col>
      <xdr:colOff>260350</xdr:colOff>
      <xdr:row>100</xdr:row>
      <xdr:rowOff>69850</xdr:rowOff>
    </xdr:to>
    <xdr:pic>
      <xdr:nvPicPr>
        <xdr:cNvPr id="11" name="Obrázek 6">
          <a:extLst>
            <a:ext uri="{FF2B5EF4-FFF2-40B4-BE49-F238E27FC236}">
              <a16:creationId xmlns:a16="http://schemas.microsoft.com/office/drawing/2014/main" id="{3EDC1E6F-D05D-49FD-B8A6-3A161CB95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8850" y="17633950"/>
          <a:ext cx="3365500" cy="187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63501</xdr:colOff>
      <xdr:row>16</xdr:row>
      <xdr:rowOff>165100</xdr:rowOff>
    </xdr:from>
    <xdr:to>
      <xdr:col>26</xdr:col>
      <xdr:colOff>838753</xdr:colOff>
      <xdr:row>23</xdr:row>
      <xdr:rowOff>50800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4EFF53F6-B5D4-49A0-8264-C999545EA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639051" y="3638550"/>
          <a:ext cx="775252" cy="1981200"/>
        </a:xfrm>
        <a:prstGeom prst="rect">
          <a:avLst/>
        </a:prstGeom>
      </xdr:spPr>
    </xdr:pic>
    <xdr:clientData/>
  </xdr:twoCellAnchor>
  <xdr:twoCellAnchor editAs="oneCell">
    <xdr:from>
      <xdr:col>26</xdr:col>
      <xdr:colOff>241300</xdr:colOff>
      <xdr:row>0</xdr:row>
      <xdr:rowOff>203200</xdr:rowOff>
    </xdr:from>
    <xdr:to>
      <xdr:col>29</xdr:col>
      <xdr:colOff>638117</xdr:colOff>
      <xdr:row>13</xdr:row>
      <xdr:rowOff>165100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15A6D56A-D1F9-466E-9AA6-05220D01D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816850" y="203200"/>
          <a:ext cx="2536767" cy="2838450"/>
        </a:xfrm>
        <a:prstGeom prst="rect">
          <a:avLst/>
        </a:prstGeom>
      </xdr:spPr>
    </xdr:pic>
    <xdr:clientData/>
  </xdr:twoCellAnchor>
  <xdr:oneCellAnchor>
    <xdr:from>
      <xdr:col>33</xdr:col>
      <xdr:colOff>38100</xdr:colOff>
      <xdr:row>192</xdr:row>
      <xdr:rowOff>19050</xdr:rowOff>
    </xdr:from>
    <xdr:ext cx="152400" cy="158750"/>
    <xdr:pic>
      <xdr:nvPicPr>
        <xdr:cNvPr id="16" name="Obrázek 28" descr="Info.gif">
          <a:extLst>
            <a:ext uri="{FF2B5EF4-FFF2-40B4-BE49-F238E27FC236}">
              <a16:creationId xmlns:a16="http://schemas.microsoft.com/office/drawing/2014/main" id="{BC77EDC7-10EF-478C-917A-FB6438834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365950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38</xdr:col>
      <xdr:colOff>139701</xdr:colOff>
      <xdr:row>170</xdr:row>
      <xdr:rowOff>304800</xdr:rowOff>
    </xdr:from>
    <xdr:to>
      <xdr:col>42</xdr:col>
      <xdr:colOff>3122</xdr:colOff>
      <xdr:row>182</xdr:row>
      <xdr:rowOff>285750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3F584A9E-6193-4273-9CE7-FE045C0A9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284451" y="32562800"/>
          <a:ext cx="1870021" cy="2266950"/>
        </a:xfrm>
        <a:prstGeom prst="rect">
          <a:avLst/>
        </a:prstGeom>
      </xdr:spPr>
    </xdr:pic>
    <xdr:clientData/>
  </xdr:twoCellAnchor>
  <xdr:oneCellAnchor>
    <xdr:from>
      <xdr:col>47</xdr:col>
      <xdr:colOff>69851</xdr:colOff>
      <xdr:row>184</xdr:row>
      <xdr:rowOff>6350</xdr:rowOff>
    </xdr:from>
    <xdr:ext cx="775252" cy="1981200"/>
    <xdr:pic>
      <xdr:nvPicPr>
        <xdr:cNvPr id="18" name="Obrázek 17">
          <a:extLst>
            <a:ext uri="{FF2B5EF4-FFF2-40B4-BE49-F238E27FC236}">
              <a16:creationId xmlns:a16="http://schemas.microsoft.com/office/drawing/2014/main" id="{EB74B37A-3CC7-4FE9-9B0D-083AB9119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538951" y="35159950"/>
          <a:ext cx="775252" cy="1981200"/>
        </a:xfrm>
        <a:prstGeom prst="rect">
          <a:avLst/>
        </a:prstGeom>
      </xdr:spPr>
    </xdr:pic>
    <xdr:clientData/>
  </xdr:oneCellAnchor>
  <xdr:oneCellAnchor>
    <xdr:from>
      <xdr:col>35</xdr:col>
      <xdr:colOff>6350</xdr:colOff>
      <xdr:row>198</xdr:row>
      <xdr:rowOff>120650</xdr:rowOff>
    </xdr:from>
    <xdr:ext cx="736600" cy="1455087"/>
    <xdr:pic>
      <xdr:nvPicPr>
        <xdr:cNvPr id="20" name="Obrázek 9">
          <a:extLst>
            <a:ext uri="{FF2B5EF4-FFF2-40B4-BE49-F238E27FC236}">
              <a16:creationId xmlns:a16="http://schemas.microsoft.com/office/drawing/2014/main" id="{07FD4F2B-7A83-4BDC-956A-54F0FA9A2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37763450"/>
          <a:ext cx="736600" cy="1455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44</xdr:col>
      <xdr:colOff>63500</xdr:colOff>
      <xdr:row>198</xdr:row>
      <xdr:rowOff>146050</xdr:rowOff>
    </xdr:from>
    <xdr:ext cx="2978150" cy="1701800"/>
    <xdr:pic>
      <xdr:nvPicPr>
        <xdr:cNvPr id="21" name="Obrázek 2">
          <a:extLst>
            <a:ext uri="{FF2B5EF4-FFF2-40B4-BE49-F238E27FC236}">
              <a16:creationId xmlns:a16="http://schemas.microsoft.com/office/drawing/2014/main" id="{47CD7F59-201A-488F-9288-A8FD9B1E7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14900" y="37788850"/>
          <a:ext cx="2978150" cy="17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37</xdr:col>
      <xdr:colOff>44450</xdr:colOff>
      <xdr:row>198</xdr:row>
      <xdr:rowOff>133350</xdr:rowOff>
    </xdr:from>
    <xdr:ext cx="2787650" cy="1715477"/>
    <xdr:pic>
      <xdr:nvPicPr>
        <xdr:cNvPr id="22" name="Obrázek 3">
          <a:extLst>
            <a:ext uri="{FF2B5EF4-FFF2-40B4-BE49-F238E27FC236}">
              <a16:creationId xmlns:a16="http://schemas.microsoft.com/office/drawing/2014/main" id="{00DF6C15-0D08-451B-86B6-90F9034A7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87550" y="37776150"/>
          <a:ext cx="2787650" cy="17154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6</xdr:col>
      <xdr:colOff>567332</xdr:colOff>
      <xdr:row>0</xdr:row>
      <xdr:rowOff>44450</xdr:rowOff>
    </xdr:from>
    <xdr:to>
      <xdr:col>8</xdr:col>
      <xdr:colOff>260349</xdr:colOff>
      <xdr:row>1</xdr:row>
      <xdr:rowOff>120650</xdr:rowOff>
    </xdr:to>
    <xdr:pic>
      <xdr:nvPicPr>
        <xdr:cNvPr id="23" name="Obrázek 3">
          <a:extLst>
            <a:ext uri="{FF2B5EF4-FFF2-40B4-BE49-F238E27FC236}">
              <a16:creationId xmlns:a16="http://schemas.microsoft.com/office/drawing/2014/main" id="{899B3CBD-B0D2-4758-A7FB-BFF9B1C90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7582" y="44450"/>
          <a:ext cx="1051917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482600</xdr:colOff>
      <xdr:row>80</xdr:row>
      <xdr:rowOff>215900</xdr:rowOff>
    </xdr:from>
    <xdr:to>
      <xdr:col>10</xdr:col>
      <xdr:colOff>44450</xdr:colOff>
      <xdr:row>85</xdr:row>
      <xdr:rowOff>127000</xdr:rowOff>
    </xdr:to>
    <xdr:pic>
      <xdr:nvPicPr>
        <xdr:cNvPr id="24" name="Obrázek 2">
          <a:extLst>
            <a:ext uri="{FF2B5EF4-FFF2-40B4-BE49-F238E27FC236}">
              <a16:creationId xmlns:a16="http://schemas.microsoft.com/office/drawing/2014/main" id="{A8A1342D-C90F-4023-8925-366B271E3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15887700"/>
          <a:ext cx="16002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63</xdr:row>
      <xdr:rowOff>111442</xdr:rowOff>
    </xdr:from>
    <xdr:to>
      <xdr:col>6</xdr:col>
      <xdr:colOff>660400</xdr:colOff>
      <xdr:row>76</xdr:row>
      <xdr:rowOff>101710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6E25C960-8C0D-4742-AE69-D817CCBFC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42900" y="12817792"/>
          <a:ext cx="3587750" cy="2238168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64</xdr:row>
      <xdr:rowOff>38100</xdr:rowOff>
    </xdr:from>
    <xdr:to>
      <xdr:col>28</xdr:col>
      <xdr:colOff>5508</xdr:colOff>
      <xdr:row>76</xdr:row>
      <xdr:rowOff>44450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597C2B13-1BA2-4E6D-8C15-877947264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422900" y="12922250"/>
          <a:ext cx="3726608" cy="207645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457200</xdr:colOff>
      <xdr:row>143</xdr:row>
      <xdr:rowOff>76200</xdr:rowOff>
    </xdr:from>
    <xdr:to>
      <xdr:col>26</xdr:col>
      <xdr:colOff>692548</xdr:colOff>
      <xdr:row>158</xdr:row>
      <xdr:rowOff>158891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345ADA0-CD4B-4FD2-B51D-7DB629EB4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33400" y="27539950"/>
          <a:ext cx="7734698" cy="274969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18</xdr:row>
      <xdr:rowOff>95250</xdr:rowOff>
    </xdr:from>
    <xdr:to>
      <xdr:col>29</xdr:col>
      <xdr:colOff>735965</xdr:colOff>
      <xdr:row>22</xdr:row>
      <xdr:rowOff>171450</xdr:rowOff>
    </xdr:to>
    <xdr:pic>
      <xdr:nvPicPr>
        <xdr:cNvPr id="36624" name="Obrázek 12">
          <a:extLst>
            <a:ext uri="{FF2B5EF4-FFF2-40B4-BE49-F238E27FC236}">
              <a16:creationId xmlns:a16="http://schemas.microsoft.com/office/drawing/2014/main" id="{5795F917-CC4E-4C9D-860E-1F4BD877A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8700" y="3949700"/>
          <a:ext cx="735965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88900</xdr:colOff>
      <xdr:row>0</xdr:row>
      <xdr:rowOff>38100</xdr:rowOff>
    </xdr:from>
    <xdr:to>
      <xdr:col>6</xdr:col>
      <xdr:colOff>495300</xdr:colOff>
      <xdr:row>1</xdr:row>
      <xdr:rowOff>120650</xdr:rowOff>
    </xdr:to>
    <xdr:pic>
      <xdr:nvPicPr>
        <xdr:cNvPr id="36625" name="Obrázek 3">
          <a:extLst>
            <a:ext uri="{FF2B5EF4-FFF2-40B4-BE49-F238E27FC236}">
              <a16:creationId xmlns:a16="http://schemas.microsoft.com/office/drawing/2014/main" id="{726ECA15-256A-48F5-BF3B-5A4C28F1F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8300" y="38100"/>
          <a:ext cx="1092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533400</xdr:colOff>
      <xdr:row>0</xdr:row>
      <xdr:rowOff>38100</xdr:rowOff>
    </xdr:from>
    <xdr:to>
      <xdr:col>8</xdr:col>
      <xdr:colOff>247650</xdr:colOff>
      <xdr:row>1</xdr:row>
      <xdr:rowOff>120650</xdr:rowOff>
    </xdr:to>
    <xdr:pic>
      <xdr:nvPicPr>
        <xdr:cNvPr id="36626" name="Obrázek 4">
          <a:extLst>
            <a:ext uri="{FF2B5EF4-FFF2-40B4-BE49-F238E27FC236}">
              <a16:creationId xmlns:a16="http://schemas.microsoft.com/office/drawing/2014/main" id="{82D46525-53E3-4974-AEDB-D317F3497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38100"/>
          <a:ext cx="10858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</xdr:colOff>
      <xdr:row>26</xdr:row>
      <xdr:rowOff>95250</xdr:rowOff>
    </xdr:from>
    <xdr:to>
      <xdr:col>1</xdr:col>
      <xdr:colOff>285750</xdr:colOff>
      <xdr:row>28</xdr:row>
      <xdr:rowOff>38100</xdr:rowOff>
    </xdr:to>
    <xdr:pic>
      <xdr:nvPicPr>
        <xdr:cNvPr id="36627" name="Obrázek 20" descr="Notice.gif">
          <a:extLst>
            <a:ext uri="{FF2B5EF4-FFF2-40B4-BE49-F238E27FC236}">
              <a16:creationId xmlns:a16="http://schemas.microsoft.com/office/drawing/2014/main" id="{4A2FD8F5-012E-4B37-8B6B-7937A63EF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5035550"/>
          <a:ext cx="25400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</xdr:colOff>
      <xdr:row>29</xdr:row>
      <xdr:rowOff>19050</xdr:rowOff>
    </xdr:from>
    <xdr:to>
      <xdr:col>1</xdr:col>
      <xdr:colOff>177800</xdr:colOff>
      <xdr:row>30</xdr:row>
      <xdr:rowOff>0</xdr:rowOff>
    </xdr:to>
    <xdr:pic>
      <xdr:nvPicPr>
        <xdr:cNvPr id="36628" name="Obrázek 28" descr="Info.gif">
          <a:extLst>
            <a:ext uri="{FF2B5EF4-FFF2-40B4-BE49-F238E27FC236}">
              <a16:creationId xmlns:a16="http://schemas.microsoft.com/office/drawing/2014/main" id="{F271D7E6-703B-41A8-B60B-2D2911768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54927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132</xdr:row>
      <xdr:rowOff>19050</xdr:rowOff>
    </xdr:from>
    <xdr:to>
      <xdr:col>1</xdr:col>
      <xdr:colOff>285750</xdr:colOff>
      <xdr:row>133</xdr:row>
      <xdr:rowOff>0</xdr:rowOff>
    </xdr:to>
    <xdr:pic>
      <xdr:nvPicPr>
        <xdr:cNvPr id="36629" name="Obrázek 28" descr="Info.gif">
          <a:extLst>
            <a:ext uri="{FF2B5EF4-FFF2-40B4-BE49-F238E27FC236}">
              <a16:creationId xmlns:a16="http://schemas.microsoft.com/office/drawing/2014/main" id="{BBBA4001-484F-40A9-B390-66613353A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34391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285750</xdr:colOff>
      <xdr:row>0</xdr:row>
      <xdr:rowOff>38100</xdr:rowOff>
    </xdr:from>
    <xdr:to>
      <xdr:col>10</xdr:col>
      <xdr:colOff>0</xdr:colOff>
      <xdr:row>1</xdr:row>
      <xdr:rowOff>120650</xdr:rowOff>
    </xdr:to>
    <xdr:pic>
      <xdr:nvPicPr>
        <xdr:cNvPr id="36630" name="Obrázek 11">
          <a:extLst>
            <a:ext uri="{FF2B5EF4-FFF2-40B4-BE49-F238E27FC236}">
              <a16:creationId xmlns:a16="http://schemas.microsoft.com/office/drawing/2014/main" id="{2B9A78F8-59DA-4A72-AF04-B91E971EC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550" y="38100"/>
          <a:ext cx="10858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42</xdr:row>
      <xdr:rowOff>228600</xdr:rowOff>
    </xdr:from>
    <xdr:to>
      <xdr:col>6</xdr:col>
      <xdr:colOff>311150</xdr:colOff>
      <xdr:row>62</xdr:row>
      <xdr:rowOff>120650</xdr:rowOff>
    </xdr:to>
    <xdr:pic>
      <xdr:nvPicPr>
        <xdr:cNvPr id="36632" name="Obrázek 9">
          <a:extLst>
            <a:ext uri="{FF2B5EF4-FFF2-40B4-BE49-F238E27FC236}">
              <a16:creationId xmlns:a16="http://schemas.microsoft.com/office/drawing/2014/main" id="{BB591227-2D30-4262-89E9-54063C044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4027150"/>
          <a:ext cx="2997200" cy="337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89</xdr:row>
      <xdr:rowOff>177800</xdr:rowOff>
    </xdr:from>
    <xdr:to>
      <xdr:col>7</xdr:col>
      <xdr:colOff>196850</xdr:colOff>
      <xdr:row>100</xdr:row>
      <xdr:rowOff>95250</xdr:rowOff>
    </xdr:to>
    <xdr:pic>
      <xdr:nvPicPr>
        <xdr:cNvPr id="36635" name="Obrázek 17">
          <a:extLst>
            <a:ext uri="{FF2B5EF4-FFF2-40B4-BE49-F238E27FC236}">
              <a16:creationId xmlns:a16="http://schemas.microsoft.com/office/drawing/2014/main" id="{C714665D-6183-4604-8CFE-E1F9F4F92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2383750"/>
          <a:ext cx="3365500" cy="187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50800</xdr:colOff>
      <xdr:row>89</xdr:row>
      <xdr:rowOff>152400</xdr:rowOff>
    </xdr:from>
    <xdr:to>
      <xdr:col>28</xdr:col>
      <xdr:colOff>190500</xdr:colOff>
      <xdr:row>100</xdr:row>
      <xdr:rowOff>63500</xdr:rowOff>
    </xdr:to>
    <xdr:pic>
      <xdr:nvPicPr>
        <xdr:cNvPr id="36636" name="Obrázek 18">
          <a:extLst>
            <a:ext uri="{FF2B5EF4-FFF2-40B4-BE49-F238E27FC236}">
              <a16:creationId xmlns:a16="http://schemas.microsoft.com/office/drawing/2014/main" id="{85A1AEDD-8A4F-4D7F-AD29-01648E4E4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22358350"/>
          <a:ext cx="3365500" cy="187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628650</xdr:colOff>
      <xdr:row>80</xdr:row>
      <xdr:rowOff>146050</xdr:rowOff>
    </xdr:from>
    <xdr:to>
      <xdr:col>11</xdr:col>
      <xdr:colOff>806450</xdr:colOff>
      <xdr:row>86</xdr:row>
      <xdr:rowOff>25401</xdr:rowOff>
    </xdr:to>
    <xdr:pic>
      <xdr:nvPicPr>
        <xdr:cNvPr id="36637" name="Obrázek 19">
          <a:extLst>
            <a:ext uri="{FF2B5EF4-FFF2-40B4-BE49-F238E27FC236}">
              <a16:creationId xmlns:a16="http://schemas.microsoft.com/office/drawing/2014/main" id="{2D0B23AF-D112-4C3B-8599-6C6FF35E2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0" y="20631150"/>
          <a:ext cx="16192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</xdr:colOff>
      <xdr:row>113</xdr:row>
      <xdr:rowOff>76200</xdr:rowOff>
    </xdr:from>
    <xdr:to>
      <xdr:col>25</xdr:col>
      <xdr:colOff>390525</xdr:colOff>
      <xdr:row>128</xdr:row>
      <xdr:rowOff>6350</xdr:rowOff>
    </xdr:to>
    <xdr:pic>
      <xdr:nvPicPr>
        <xdr:cNvPr id="36638" name="Obrázek 2">
          <a:extLst>
            <a:ext uri="{FF2B5EF4-FFF2-40B4-BE49-F238E27FC236}">
              <a16:creationId xmlns:a16="http://schemas.microsoft.com/office/drawing/2014/main" id="{56AC5BD5-FDB9-455C-A186-1BE1B915A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30118050"/>
          <a:ext cx="7543800" cy="260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63500</xdr:colOff>
      <xdr:row>17</xdr:row>
      <xdr:rowOff>38100</xdr:rowOff>
    </xdr:from>
    <xdr:to>
      <xdr:col>26</xdr:col>
      <xdr:colOff>808935</xdr:colOff>
      <xdr:row>23</xdr:row>
      <xdr:rowOff>38100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FB279400-DFB7-4912-B6DF-45B4F52C9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842250" y="3702050"/>
          <a:ext cx="745435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63501</xdr:colOff>
      <xdr:row>64</xdr:row>
      <xdr:rowOff>76200</xdr:rowOff>
    </xdr:from>
    <xdr:to>
      <xdr:col>6</xdr:col>
      <xdr:colOff>616760</xdr:colOff>
      <xdr:row>78</xdr:row>
      <xdr:rowOff>7311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AB066D58-EE1E-40E3-8D14-C99645B4B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1" y="17773650"/>
          <a:ext cx="3296459" cy="2426661"/>
        </a:xfrm>
        <a:prstGeom prst="rect">
          <a:avLst/>
        </a:prstGeom>
      </xdr:spPr>
    </xdr:pic>
    <xdr:clientData/>
  </xdr:twoCellAnchor>
  <xdr:twoCellAnchor editAs="oneCell">
    <xdr:from>
      <xdr:col>9</xdr:col>
      <xdr:colOff>431799</xdr:colOff>
      <xdr:row>67</xdr:row>
      <xdr:rowOff>38100</xdr:rowOff>
    </xdr:from>
    <xdr:to>
      <xdr:col>27</xdr:col>
      <xdr:colOff>363996</xdr:colOff>
      <xdr:row>77</xdr:row>
      <xdr:rowOff>134102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54C29008-651F-4401-858F-EF58E639A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4399" y="18268950"/>
          <a:ext cx="3272297" cy="1874002"/>
        </a:xfrm>
        <a:prstGeom prst="rect">
          <a:avLst/>
        </a:prstGeom>
      </xdr:spPr>
    </xdr:pic>
    <xdr:clientData/>
  </xdr:twoCellAnchor>
  <xdr:twoCellAnchor editAs="oneCell">
    <xdr:from>
      <xdr:col>26</xdr:col>
      <xdr:colOff>583279</xdr:colOff>
      <xdr:row>2</xdr:row>
      <xdr:rowOff>184150</xdr:rowOff>
    </xdr:from>
    <xdr:to>
      <xdr:col>29</xdr:col>
      <xdr:colOff>752417</xdr:colOff>
      <xdr:row>15</xdr:row>
      <xdr:rowOff>44450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43196E2E-AA35-4BB1-A9A4-47EE059B1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362029" y="755650"/>
          <a:ext cx="2315438" cy="2590800"/>
        </a:xfrm>
        <a:prstGeom prst="rect">
          <a:avLst/>
        </a:prstGeom>
      </xdr:spPr>
    </xdr:pic>
    <xdr:clientData/>
  </xdr:twoCellAnchor>
  <xdr:oneCellAnchor>
    <xdr:from>
      <xdr:col>33</xdr:col>
      <xdr:colOff>38100</xdr:colOff>
      <xdr:row>181</xdr:row>
      <xdr:rowOff>19050</xdr:rowOff>
    </xdr:from>
    <xdr:ext cx="152400" cy="158750"/>
    <xdr:pic>
      <xdr:nvPicPr>
        <xdr:cNvPr id="19" name="Obrázek 28" descr="Info.gif">
          <a:extLst>
            <a:ext uri="{FF2B5EF4-FFF2-40B4-BE49-F238E27FC236}">
              <a16:creationId xmlns:a16="http://schemas.microsoft.com/office/drawing/2014/main" id="{A7F4277C-0029-45A9-A57D-2DCEE9C4A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346900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38</xdr:col>
      <xdr:colOff>31751</xdr:colOff>
      <xdr:row>160</xdr:row>
      <xdr:rowOff>38100</xdr:rowOff>
    </xdr:from>
    <xdr:to>
      <xdr:col>41</xdr:col>
      <xdr:colOff>488359</xdr:colOff>
      <xdr:row>172</xdr:row>
      <xdr:rowOff>120650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8B27F585-A4B2-4CF1-A3DF-A861D62DF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4434801" y="30524450"/>
          <a:ext cx="1980608" cy="2216150"/>
        </a:xfrm>
        <a:prstGeom prst="rect">
          <a:avLst/>
        </a:prstGeom>
      </xdr:spPr>
    </xdr:pic>
    <xdr:clientData/>
  </xdr:twoCellAnchor>
  <xdr:oneCellAnchor>
    <xdr:from>
      <xdr:col>47</xdr:col>
      <xdr:colOff>69851</xdr:colOff>
      <xdr:row>174</xdr:row>
      <xdr:rowOff>6350</xdr:rowOff>
    </xdr:from>
    <xdr:ext cx="775252" cy="1981200"/>
    <xdr:pic>
      <xdr:nvPicPr>
        <xdr:cNvPr id="21" name="Obrázek 20">
          <a:extLst>
            <a:ext uri="{FF2B5EF4-FFF2-40B4-BE49-F238E27FC236}">
              <a16:creationId xmlns:a16="http://schemas.microsoft.com/office/drawing/2014/main" id="{7BA9F160-562A-4657-A735-85A5C1E10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829001" y="33254950"/>
          <a:ext cx="775252" cy="1981200"/>
        </a:xfrm>
        <a:prstGeom prst="rect">
          <a:avLst/>
        </a:prstGeom>
      </xdr:spPr>
    </xdr:pic>
    <xdr:clientData/>
  </xdr:oneCellAnchor>
  <xdr:oneCellAnchor>
    <xdr:from>
      <xdr:col>50</xdr:col>
      <xdr:colOff>51564</xdr:colOff>
      <xdr:row>173</xdr:row>
      <xdr:rowOff>311150</xdr:rowOff>
    </xdr:from>
    <xdr:ext cx="1971890" cy="2241550"/>
    <xdr:pic>
      <xdr:nvPicPr>
        <xdr:cNvPr id="22" name="Obrázek 1">
          <a:extLst>
            <a:ext uri="{FF2B5EF4-FFF2-40B4-BE49-F238E27FC236}">
              <a16:creationId xmlns:a16="http://schemas.microsoft.com/office/drawing/2014/main" id="{15C1BFF0-8D70-46F3-927E-F7F60C528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72814" y="33235900"/>
          <a:ext cx="1971890" cy="224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35</xdr:col>
      <xdr:colOff>6350</xdr:colOff>
      <xdr:row>188</xdr:row>
      <xdr:rowOff>120650</xdr:rowOff>
    </xdr:from>
    <xdr:ext cx="736600" cy="1455087"/>
    <xdr:pic>
      <xdr:nvPicPr>
        <xdr:cNvPr id="23" name="Obrázek 9">
          <a:extLst>
            <a:ext uri="{FF2B5EF4-FFF2-40B4-BE49-F238E27FC236}">
              <a16:creationId xmlns:a16="http://schemas.microsoft.com/office/drawing/2014/main" id="{04D5A8D7-FD2F-4034-9665-1A48E5B7D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13950" y="35858450"/>
          <a:ext cx="736600" cy="1455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37</xdr:col>
      <xdr:colOff>209551</xdr:colOff>
      <xdr:row>188</xdr:row>
      <xdr:rowOff>133350</xdr:rowOff>
    </xdr:from>
    <xdr:to>
      <xdr:col>41</xdr:col>
      <xdr:colOff>463550</xdr:colOff>
      <xdr:row>198</xdr:row>
      <xdr:rowOff>44887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1BBC2C9A-889E-4F3C-96AE-4A757CE06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1" y="35604450"/>
          <a:ext cx="2285999" cy="1695887"/>
        </a:xfrm>
        <a:prstGeom prst="rect">
          <a:avLst/>
        </a:prstGeom>
      </xdr:spPr>
    </xdr:pic>
    <xdr:clientData/>
  </xdr:twoCellAnchor>
  <xdr:twoCellAnchor editAs="oneCell">
    <xdr:from>
      <xdr:col>44</xdr:col>
      <xdr:colOff>279400</xdr:colOff>
      <xdr:row>190</xdr:row>
      <xdr:rowOff>94524</xdr:rowOff>
    </xdr:from>
    <xdr:to>
      <xdr:col>48</xdr:col>
      <xdr:colOff>25400</xdr:colOff>
      <xdr:row>198</xdr:row>
      <xdr:rowOff>29245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9CDAF5E0-8081-409E-B50E-EDD6646A0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76400" y="35921224"/>
          <a:ext cx="2349500" cy="135077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17</xdr:row>
      <xdr:rowOff>95250</xdr:rowOff>
    </xdr:from>
    <xdr:to>
      <xdr:col>1</xdr:col>
      <xdr:colOff>304800</xdr:colOff>
      <xdr:row>19</xdr:row>
      <xdr:rowOff>0</xdr:rowOff>
    </xdr:to>
    <xdr:pic>
      <xdr:nvPicPr>
        <xdr:cNvPr id="22121" name="Obrázek 20" descr="Notice.gif">
          <a:extLst>
            <a:ext uri="{FF2B5EF4-FFF2-40B4-BE49-F238E27FC236}">
              <a16:creationId xmlns:a16="http://schemas.microsoft.com/office/drawing/2014/main" id="{0F181211-BDEC-48F8-BA88-E0DF4D315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50" y="4229100"/>
          <a:ext cx="25400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450850</xdr:colOff>
      <xdr:row>2</xdr:row>
      <xdr:rowOff>44450</xdr:rowOff>
    </xdr:from>
    <xdr:to>
      <xdr:col>1</xdr:col>
      <xdr:colOff>1695450</xdr:colOff>
      <xdr:row>11</xdr:row>
      <xdr:rowOff>387350</xdr:rowOff>
    </xdr:to>
    <xdr:pic>
      <xdr:nvPicPr>
        <xdr:cNvPr id="22122" name="Obrázek 1">
          <a:extLst>
            <a:ext uri="{FF2B5EF4-FFF2-40B4-BE49-F238E27FC236}">
              <a16:creationId xmlns:a16="http://schemas.microsoft.com/office/drawing/2014/main" id="{6F468A0B-353E-4C8F-96AC-2B5A311A2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00" y="425450"/>
          <a:ext cx="12446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2</xdr:row>
      <xdr:rowOff>133350</xdr:rowOff>
    </xdr:from>
    <xdr:to>
      <xdr:col>5</xdr:col>
      <xdr:colOff>3175</xdr:colOff>
      <xdr:row>4</xdr:row>
      <xdr:rowOff>76200</xdr:rowOff>
    </xdr:to>
    <xdr:pic>
      <xdr:nvPicPr>
        <xdr:cNvPr id="22123" name="Obrázek 4">
          <a:extLst>
            <a:ext uri="{FF2B5EF4-FFF2-40B4-BE49-F238E27FC236}">
              <a16:creationId xmlns:a16="http://schemas.microsoft.com/office/drawing/2014/main" id="{318BD1ED-CDAC-448B-A008-23C77B828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514350"/>
          <a:ext cx="109855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615950</xdr:colOff>
      <xdr:row>2</xdr:row>
      <xdr:rowOff>38100</xdr:rowOff>
    </xdr:from>
    <xdr:ext cx="1225550" cy="1930400"/>
    <xdr:pic>
      <xdr:nvPicPr>
        <xdr:cNvPr id="6" name="Obrázek 2">
          <a:extLst>
            <a:ext uri="{FF2B5EF4-FFF2-40B4-BE49-F238E27FC236}">
              <a16:creationId xmlns:a16="http://schemas.microsoft.com/office/drawing/2014/main" id="{031B10EF-1428-4796-A042-976C2197A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419100"/>
          <a:ext cx="1225550" cy="193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544732</xdr:colOff>
      <xdr:row>2</xdr:row>
      <xdr:rowOff>12700</xdr:rowOff>
    </xdr:from>
    <xdr:to>
      <xdr:col>2</xdr:col>
      <xdr:colOff>1836135</xdr:colOff>
      <xdr:row>11</xdr:row>
      <xdr:rowOff>400050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8135E1D0-ABAE-4877-99D6-08B059F3D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995832" y="393700"/>
          <a:ext cx="1291403" cy="19875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285750</xdr:colOff>
      <xdr:row>0</xdr:row>
      <xdr:rowOff>25400</xdr:rowOff>
    </xdr:from>
    <xdr:to>
      <xdr:col>9</xdr:col>
      <xdr:colOff>639762</xdr:colOff>
      <xdr:row>1</xdr:row>
      <xdr:rowOff>114300</xdr:rowOff>
    </xdr:to>
    <xdr:pic>
      <xdr:nvPicPr>
        <xdr:cNvPr id="33464" name="Obrázek 3">
          <a:extLst>
            <a:ext uri="{FF2B5EF4-FFF2-40B4-BE49-F238E27FC236}">
              <a16:creationId xmlns:a16="http://schemas.microsoft.com/office/drawing/2014/main" id="{F6B90DD7-5FF0-4638-93A5-57A2E17BF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750" y="25400"/>
          <a:ext cx="1090612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31750</xdr:colOff>
      <xdr:row>26</xdr:row>
      <xdr:rowOff>95250</xdr:rowOff>
    </xdr:from>
    <xdr:to>
      <xdr:col>2</xdr:col>
      <xdr:colOff>285750</xdr:colOff>
      <xdr:row>28</xdr:row>
      <xdr:rowOff>31750</xdr:rowOff>
    </xdr:to>
    <xdr:pic>
      <xdr:nvPicPr>
        <xdr:cNvPr id="33465" name="Obrázek 20" descr="Notice.gif">
          <a:extLst>
            <a:ext uri="{FF2B5EF4-FFF2-40B4-BE49-F238E27FC236}">
              <a16:creationId xmlns:a16="http://schemas.microsoft.com/office/drawing/2014/main" id="{AD4814E2-5539-4F04-93BA-FEAA8AD5A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5899150"/>
          <a:ext cx="254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29</xdr:row>
      <xdr:rowOff>19050</xdr:rowOff>
    </xdr:from>
    <xdr:to>
      <xdr:col>2</xdr:col>
      <xdr:colOff>190500</xdr:colOff>
      <xdr:row>30</xdr:row>
      <xdr:rowOff>0</xdr:rowOff>
    </xdr:to>
    <xdr:pic>
      <xdr:nvPicPr>
        <xdr:cNvPr id="33466" name="Obrázek 28" descr="Info.gif">
          <a:extLst>
            <a:ext uri="{FF2B5EF4-FFF2-40B4-BE49-F238E27FC236}">
              <a16:creationId xmlns:a16="http://schemas.microsoft.com/office/drawing/2014/main" id="{81D49376-DCC5-4BA7-9B16-1DEDEE74F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63055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70</xdr:row>
      <xdr:rowOff>19050</xdr:rowOff>
    </xdr:from>
    <xdr:to>
      <xdr:col>2</xdr:col>
      <xdr:colOff>285750</xdr:colOff>
      <xdr:row>71</xdr:row>
      <xdr:rowOff>0</xdr:rowOff>
    </xdr:to>
    <xdr:pic>
      <xdr:nvPicPr>
        <xdr:cNvPr id="33467" name="Obrázek 28" descr="Info.gif">
          <a:extLst>
            <a:ext uri="{FF2B5EF4-FFF2-40B4-BE49-F238E27FC236}">
              <a16:creationId xmlns:a16="http://schemas.microsoft.com/office/drawing/2014/main" id="{A4C90D41-BA87-424E-B82B-9406294E1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8755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196850</xdr:colOff>
      <xdr:row>2</xdr:row>
      <xdr:rowOff>196850</xdr:rowOff>
    </xdr:from>
    <xdr:to>
      <xdr:col>2</xdr:col>
      <xdr:colOff>603250</xdr:colOff>
      <xdr:row>7</xdr:row>
      <xdr:rowOff>133350</xdr:rowOff>
    </xdr:to>
    <xdr:pic>
      <xdr:nvPicPr>
        <xdr:cNvPr id="33469" name="Obrázek 1">
          <a:extLst>
            <a:ext uri="{FF2B5EF4-FFF2-40B4-BE49-F238E27FC236}">
              <a16:creationId xmlns:a16="http://schemas.microsoft.com/office/drawing/2014/main" id="{12BBFFAC-0FCE-45D3-895F-BDE3D5CD3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50" y="768350"/>
          <a:ext cx="609600" cy="98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31750</xdr:colOff>
      <xdr:row>26</xdr:row>
      <xdr:rowOff>95250</xdr:rowOff>
    </xdr:from>
    <xdr:to>
      <xdr:col>2</xdr:col>
      <xdr:colOff>285750</xdr:colOff>
      <xdr:row>28</xdr:row>
      <xdr:rowOff>31750</xdr:rowOff>
    </xdr:to>
    <xdr:pic>
      <xdr:nvPicPr>
        <xdr:cNvPr id="33470" name="Obrázek 20" descr="Notice.gif">
          <a:extLst>
            <a:ext uri="{FF2B5EF4-FFF2-40B4-BE49-F238E27FC236}">
              <a16:creationId xmlns:a16="http://schemas.microsoft.com/office/drawing/2014/main" id="{B59BB1B9-9746-4AE9-8209-768B27A40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5899150"/>
          <a:ext cx="254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40</xdr:col>
      <xdr:colOff>95250</xdr:colOff>
      <xdr:row>143</xdr:row>
      <xdr:rowOff>19050</xdr:rowOff>
    </xdr:from>
    <xdr:ext cx="152400" cy="158750"/>
    <xdr:pic>
      <xdr:nvPicPr>
        <xdr:cNvPr id="10" name="Obrázek 28" descr="Info.gif">
          <a:extLst>
            <a:ext uri="{FF2B5EF4-FFF2-40B4-BE49-F238E27FC236}">
              <a16:creationId xmlns:a16="http://schemas.microsoft.com/office/drawing/2014/main" id="{4B1ADA54-B5DB-48AF-9A67-A4E0918CA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5900" y="277876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43</xdr:col>
      <xdr:colOff>336551</xdr:colOff>
      <xdr:row>110</xdr:row>
      <xdr:rowOff>76200</xdr:rowOff>
    </xdr:from>
    <xdr:to>
      <xdr:col>46</xdr:col>
      <xdr:colOff>54709</xdr:colOff>
      <xdr:row>142</xdr:row>
      <xdr:rowOff>95250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7E44C80-7521-4BC6-A8C7-4B5F7893D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05651" y="21799550"/>
          <a:ext cx="1654908" cy="5867400"/>
        </a:xfrm>
        <a:prstGeom prst="rect">
          <a:avLst/>
        </a:prstGeom>
      </xdr:spPr>
    </xdr:pic>
    <xdr:clientData/>
  </xdr:twoCellAnchor>
  <xdr:twoCellAnchor editAs="oneCell">
    <xdr:from>
      <xdr:col>40</xdr:col>
      <xdr:colOff>53773</xdr:colOff>
      <xdr:row>110</xdr:row>
      <xdr:rowOff>120651</xdr:rowOff>
    </xdr:from>
    <xdr:to>
      <xdr:col>41</xdr:col>
      <xdr:colOff>463929</xdr:colOff>
      <xdr:row>143</xdr:row>
      <xdr:rowOff>0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829A0C45-4B6B-48F6-95A8-81DBB8423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21973" y="21888451"/>
          <a:ext cx="1089606" cy="5905499"/>
        </a:xfrm>
        <a:prstGeom prst="rect">
          <a:avLst/>
        </a:prstGeom>
      </xdr:spPr>
    </xdr:pic>
    <xdr:clientData/>
  </xdr:twoCellAnchor>
  <xdr:twoCellAnchor editAs="oneCell">
    <xdr:from>
      <xdr:col>8</xdr:col>
      <xdr:colOff>308349</xdr:colOff>
      <xdr:row>37</xdr:row>
      <xdr:rowOff>11346</xdr:rowOff>
    </xdr:from>
    <xdr:to>
      <xdr:col>11</xdr:col>
      <xdr:colOff>513885</xdr:colOff>
      <xdr:row>69</xdr:row>
      <xdr:rowOff>82550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BEFE3B6F-2854-4DFC-A0D0-4219FE90D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7349" y="8075846"/>
          <a:ext cx="1735886" cy="615450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37</xdr:row>
      <xdr:rowOff>4849</xdr:rowOff>
    </xdr:from>
    <xdr:to>
      <xdr:col>5</xdr:col>
      <xdr:colOff>413035</xdr:colOff>
      <xdr:row>69</xdr:row>
      <xdr:rowOff>152401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E41B57C1-8BCD-43D6-ACB4-201FD51D9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8069349"/>
          <a:ext cx="1149635" cy="623085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36</xdr:row>
      <xdr:rowOff>315999</xdr:rowOff>
    </xdr:from>
    <xdr:to>
      <xdr:col>5</xdr:col>
      <xdr:colOff>402635</xdr:colOff>
      <xdr:row>69</xdr:row>
      <xdr:rowOff>158510</xdr:rowOff>
    </xdr:to>
    <xdr:pic>
      <xdr:nvPicPr>
        <xdr:cNvPr id="27" name="Obrázek 16">
          <a:extLst>
            <a:ext uri="{FF2B5EF4-FFF2-40B4-BE49-F238E27FC236}">
              <a16:creationId xmlns:a16="http://schemas.microsoft.com/office/drawing/2014/main" id="{5EF5914D-9ADD-4E11-8FCA-63FAB1402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950" y="8062999"/>
          <a:ext cx="1151935" cy="6243311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285750</xdr:colOff>
      <xdr:row>0</xdr:row>
      <xdr:rowOff>25400</xdr:rowOff>
    </xdr:from>
    <xdr:to>
      <xdr:col>9</xdr:col>
      <xdr:colOff>639762</xdr:colOff>
      <xdr:row>1</xdr:row>
      <xdr:rowOff>114300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0D967A88-6BB8-4B31-8A30-92F7D3D3F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0450" y="25400"/>
          <a:ext cx="1071562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31750</xdr:colOff>
      <xdr:row>26</xdr:row>
      <xdr:rowOff>95250</xdr:rowOff>
    </xdr:from>
    <xdr:to>
      <xdr:col>2</xdr:col>
      <xdr:colOff>285750</xdr:colOff>
      <xdr:row>28</xdr:row>
      <xdr:rowOff>31750</xdr:rowOff>
    </xdr:to>
    <xdr:pic>
      <xdr:nvPicPr>
        <xdr:cNvPr id="3" name="Obrázek 20" descr="Notice.gif">
          <a:extLst>
            <a:ext uri="{FF2B5EF4-FFF2-40B4-BE49-F238E27FC236}">
              <a16:creationId xmlns:a16="http://schemas.microsoft.com/office/drawing/2014/main" id="{F9F6F4D8-A26F-4101-8C2B-681FA5CF2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6108700"/>
          <a:ext cx="254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29</xdr:row>
      <xdr:rowOff>19050</xdr:rowOff>
    </xdr:from>
    <xdr:to>
      <xdr:col>2</xdr:col>
      <xdr:colOff>190500</xdr:colOff>
      <xdr:row>30</xdr:row>
      <xdr:rowOff>0</xdr:rowOff>
    </xdr:to>
    <xdr:pic>
      <xdr:nvPicPr>
        <xdr:cNvPr id="4" name="Obrázek 28" descr="Info.gif">
          <a:extLst>
            <a:ext uri="{FF2B5EF4-FFF2-40B4-BE49-F238E27FC236}">
              <a16:creationId xmlns:a16="http://schemas.microsoft.com/office/drawing/2014/main" id="{3F047DAC-822A-4A68-AFB2-97C25D000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65151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70</xdr:row>
      <xdr:rowOff>19050</xdr:rowOff>
    </xdr:from>
    <xdr:to>
      <xdr:col>2</xdr:col>
      <xdr:colOff>285750</xdr:colOff>
      <xdr:row>71</xdr:row>
      <xdr:rowOff>0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C223ACE2-252E-4091-9933-7679639BC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" y="143446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31750</xdr:colOff>
      <xdr:row>26</xdr:row>
      <xdr:rowOff>95250</xdr:rowOff>
    </xdr:from>
    <xdr:to>
      <xdr:col>2</xdr:col>
      <xdr:colOff>285750</xdr:colOff>
      <xdr:row>28</xdr:row>
      <xdr:rowOff>31750</xdr:rowOff>
    </xdr:to>
    <xdr:pic>
      <xdr:nvPicPr>
        <xdr:cNvPr id="7" name="Obrázek 20" descr="Notice.gif">
          <a:extLst>
            <a:ext uri="{FF2B5EF4-FFF2-40B4-BE49-F238E27FC236}">
              <a16:creationId xmlns:a16="http://schemas.microsoft.com/office/drawing/2014/main" id="{BBDD3083-EBCE-454F-A961-144E20477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6108700"/>
          <a:ext cx="254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40</xdr:col>
      <xdr:colOff>95250</xdr:colOff>
      <xdr:row>143</xdr:row>
      <xdr:rowOff>19050</xdr:rowOff>
    </xdr:from>
    <xdr:ext cx="152400" cy="158750"/>
    <xdr:pic>
      <xdr:nvPicPr>
        <xdr:cNvPr id="8" name="Obrázek 28" descr="Info.gif">
          <a:extLst>
            <a:ext uri="{FF2B5EF4-FFF2-40B4-BE49-F238E27FC236}">
              <a16:creationId xmlns:a16="http://schemas.microsoft.com/office/drawing/2014/main" id="{9628DE60-3941-4BFE-B41D-E2F30D909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19650" y="278130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43</xdr:col>
      <xdr:colOff>336551</xdr:colOff>
      <xdr:row>110</xdr:row>
      <xdr:rowOff>76200</xdr:rowOff>
    </xdr:from>
    <xdr:to>
      <xdr:col>46</xdr:col>
      <xdr:colOff>175359</xdr:colOff>
      <xdr:row>142</xdr:row>
      <xdr:rowOff>88900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1831044F-7058-4AB8-B507-B4D1DEAEB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99301" y="21844000"/>
          <a:ext cx="1654908" cy="5867400"/>
        </a:xfrm>
        <a:prstGeom prst="rect">
          <a:avLst/>
        </a:prstGeom>
      </xdr:spPr>
    </xdr:pic>
    <xdr:clientData/>
  </xdr:twoCellAnchor>
  <xdr:twoCellAnchor editAs="oneCell">
    <xdr:from>
      <xdr:col>8</xdr:col>
      <xdr:colOff>308349</xdr:colOff>
      <xdr:row>37</xdr:row>
      <xdr:rowOff>11346</xdr:rowOff>
    </xdr:from>
    <xdr:to>
      <xdr:col>11</xdr:col>
      <xdr:colOff>513885</xdr:colOff>
      <xdr:row>69</xdr:row>
      <xdr:rowOff>82550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D106A8CB-F0C6-45AE-98D2-2B8E16AA7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3049" y="8075846"/>
          <a:ext cx="1697786" cy="6154504"/>
        </a:xfrm>
        <a:prstGeom prst="rect">
          <a:avLst/>
        </a:prstGeom>
      </xdr:spPr>
    </xdr:pic>
    <xdr:clientData/>
  </xdr:twoCellAnchor>
  <xdr:twoCellAnchor editAs="oneCell">
    <xdr:from>
      <xdr:col>39</xdr:col>
      <xdr:colOff>494808</xdr:colOff>
      <xdr:row>110</xdr:row>
      <xdr:rowOff>88899</xdr:rowOff>
    </xdr:from>
    <xdr:to>
      <xdr:col>41</xdr:col>
      <xdr:colOff>357693</xdr:colOff>
      <xdr:row>142</xdr:row>
      <xdr:rowOff>133350</xdr:rowOff>
    </xdr:to>
    <xdr:pic>
      <xdr:nvPicPr>
        <xdr:cNvPr id="22" name="Obrázek 15">
          <a:extLst>
            <a:ext uri="{FF2B5EF4-FFF2-40B4-BE49-F238E27FC236}">
              <a16:creationId xmlns:a16="http://schemas.microsoft.com/office/drawing/2014/main" id="{57BBA4F4-BF37-404F-BACE-C587D199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83558" y="21856699"/>
          <a:ext cx="1088435" cy="5899151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3</xdr:row>
      <xdr:rowOff>6350</xdr:rowOff>
    </xdr:from>
    <xdr:to>
      <xdr:col>2</xdr:col>
      <xdr:colOff>649635</xdr:colOff>
      <xdr:row>8</xdr:row>
      <xdr:rowOff>95250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64AA2B04-5F9E-4141-BB09-D70C653A0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0501" y="787400"/>
          <a:ext cx="738534" cy="11366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285750</xdr:colOff>
      <xdr:row>0</xdr:row>
      <xdr:rowOff>25400</xdr:rowOff>
    </xdr:from>
    <xdr:to>
      <xdr:col>9</xdr:col>
      <xdr:colOff>631825</xdr:colOff>
      <xdr:row>1</xdr:row>
      <xdr:rowOff>114300</xdr:rowOff>
    </xdr:to>
    <xdr:pic>
      <xdr:nvPicPr>
        <xdr:cNvPr id="40195" name="Obrázek 3">
          <a:extLst>
            <a:ext uri="{FF2B5EF4-FFF2-40B4-BE49-F238E27FC236}">
              <a16:creationId xmlns:a16="http://schemas.microsoft.com/office/drawing/2014/main" id="{167B6BE1-BC59-4CA7-8427-23251A5AA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5900" y="25400"/>
          <a:ext cx="109855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31750</xdr:colOff>
      <xdr:row>26</xdr:row>
      <xdr:rowOff>95250</xdr:rowOff>
    </xdr:from>
    <xdr:to>
      <xdr:col>2</xdr:col>
      <xdr:colOff>285750</xdr:colOff>
      <xdr:row>28</xdr:row>
      <xdr:rowOff>31750</xdr:rowOff>
    </xdr:to>
    <xdr:pic>
      <xdr:nvPicPr>
        <xdr:cNvPr id="40196" name="Obrázek 20" descr="Notice.gif">
          <a:extLst>
            <a:ext uri="{FF2B5EF4-FFF2-40B4-BE49-F238E27FC236}">
              <a16:creationId xmlns:a16="http://schemas.microsoft.com/office/drawing/2014/main" id="{2247B7A0-FDDC-476F-99D8-0ABEFF7DE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5899150"/>
          <a:ext cx="254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29</xdr:row>
      <xdr:rowOff>19050</xdr:rowOff>
    </xdr:from>
    <xdr:to>
      <xdr:col>2</xdr:col>
      <xdr:colOff>190500</xdr:colOff>
      <xdr:row>30</xdr:row>
      <xdr:rowOff>0</xdr:rowOff>
    </xdr:to>
    <xdr:pic>
      <xdr:nvPicPr>
        <xdr:cNvPr id="40197" name="Obrázek 28" descr="Info.gif">
          <a:extLst>
            <a:ext uri="{FF2B5EF4-FFF2-40B4-BE49-F238E27FC236}">
              <a16:creationId xmlns:a16="http://schemas.microsoft.com/office/drawing/2014/main" id="{43D437A3-598A-4DC5-A19A-616E6783B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63055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3</xdr:row>
      <xdr:rowOff>0</xdr:rowOff>
    </xdr:from>
    <xdr:to>
      <xdr:col>2</xdr:col>
      <xdr:colOff>482600</xdr:colOff>
      <xdr:row>7</xdr:row>
      <xdr:rowOff>165100</xdr:rowOff>
    </xdr:to>
    <xdr:pic>
      <xdr:nvPicPr>
        <xdr:cNvPr id="40201" name="Obrázek 4">
          <a:extLst>
            <a:ext uri="{FF2B5EF4-FFF2-40B4-BE49-F238E27FC236}">
              <a16:creationId xmlns:a16="http://schemas.microsoft.com/office/drawing/2014/main" id="{0C533728-9E00-41D5-8B72-07FD117CF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81050"/>
          <a:ext cx="63500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70</xdr:row>
      <xdr:rowOff>19050</xdr:rowOff>
    </xdr:from>
    <xdr:to>
      <xdr:col>2</xdr:col>
      <xdr:colOff>285750</xdr:colOff>
      <xdr:row>71</xdr:row>
      <xdr:rowOff>0</xdr:rowOff>
    </xdr:to>
    <xdr:pic>
      <xdr:nvPicPr>
        <xdr:cNvPr id="9" name="Obrázek 28" descr="Info.gif">
          <a:extLst>
            <a:ext uri="{FF2B5EF4-FFF2-40B4-BE49-F238E27FC236}">
              <a16:creationId xmlns:a16="http://schemas.microsoft.com/office/drawing/2014/main" id="{AF623C6E-62A9-4710-9060-0608FBB08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9136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661501</xdr:colOff>
      <xdr:row>36</xdr:row>
      <xdr:rowOff>44450</xdr:rowOff>
    </xdr:from>
    <xdr:to>
      <xdr:col>5</xdr:col>
      <xdr:colOff>195056</xdr:colOff>
      <xdr:row>68</xdr:row>
      <xdr:rowOff>82550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E717CC6-6591-4954-99D5-276644B57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0201" y="13519150"/>
          <a:ext cx="1032155" cy="614045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190501</xdr:colOff>
      <xdr:row>36</xdr:row>
      <xdr:rowOff>38100</xdr:rowOff>
    </xdr:from>
    <xdr:to>
      <xdr:col>11</xdr:col>
      <xdr:colOff>366673</xdr:colOff>
      <xdr:row>68</xdr:row>
      <xdr:rowOff>76200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86D164B-1C59-47B3-92A5-CB808C3ED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5701" y="13512800"/>
          <a:ext cx="1731922" cy="6140450"/>
        </a:xfrm>
        <a:prstGeom prst="rect">
          <a:avLst/>
        </a:prstGeom>
      </xdr:spPr>
    </xdr:pic>
    <xdr:clientData/>
  </xdr:twoCellAnchor>
  <xdr:oneCellAnchor>
    <xdr:from>
      <xdr:col>40</xdr:col>
      <xdr:colOff>95250</xdr:colOff>
      <xdr:row>144</xdr:row>
      <xdr:rowOff>19050</xdr:rowOff>
    </xdr:from>
    <xdr:ext cx="152400" cy="158750"/>
    <xdr:pic>
      <xdr:nvPicPr>
        <xdr:cNvPr id="10" name="Obrázek 28" descr="Info.gif">
          <a:extLst>
            <a:ext uri="{FF2B5EF4-FFF2-40B4-BE49-F238E27FC236}">
              <a16:creationId xmlns:a16="http://schemas.microsoft.com/office/drawing/2014/main" id="{E0DC9775-CDF4-47EC-B2FF-0A70051DF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63450" y="278320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43</xdr:col>
      <xdr:colOff>336551</xdr:colOff>
      <xdr:row>110</xdr:row>
      <xdr:rowOff>76200</xdr:rowOff>
    </xdr:from>
    <xdr:to>
      <xdr:col>46</xdr:col>
      <xdr:colOff>6035</xdr:colOff>
      <xdr:row>142</xdr:row>
      <xdr:rowOff>101600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FE63B14B-BBB7-4995-AAC1-F9EF6A360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93851" y="21393150"/>
          <a:ext cx="1606234" cy="5867400"/>
        </a:xfrm>
        <a:prstGeom prst="rect">
          <a:avLst/>
        </a:prstGeom>
      </xdr:spPr>
    </xdr:pic>
    <xdr:clientData/>
  </xdr:twoCellAnchor>
  <xdr:twoCellAnchor editAs="oneCell">
    <xdr:from>
      <xdr:col>40</xdr:col>
      <xdr:colOff>53099</xdr:colOff>
      <xdr:row>110</xdr:row>
      <xdr:rowOff>57150</xdr:rowOff>
    </xdr:from>
    <xdr:to>
      <xdr:col>41</xdr:col>
      <xdr:colOff>368445</xdr:colOff>
      <xdr:row>142</xdr:row>
      <xdr:rowOff>133350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40AFADB8-1C87-4E55-AB89-917C2D7A9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72049" y="21374100"/>
          <a:ext cx="994796" cy="591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11</xdr:row>
      <xdr:rowOff>95250</xdr:rowOff>
    </xdr:from>
    <xdr:to>
      <xdr:col>1</xdr:col>
      <xdr:colOff>304800</xdr:colOff>
      <xdr:row>13</xdr:row>
      <xdr:rowOff>0</xdr:rowOff>
    </xdr:to>
    <xdr:pic>
      <xdr:nvPicPr>
        <xdr:cNvPr id="37261" name="Obrázek 20" descr="Notice.gif">
          <a:extLst>
            <a:ext uri="{FF2B5EF4-FFF2-40B4-BE49-F238E27FC236}">
              <a16:creationId xmlns:a16="http://schemas.microsoft.com/office/drawing/2014/main" id="{18948117-0133-46F3-8478-8532222D8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50" y="5264150"/>
          <a:ext cx="25400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69850</xdr:colOff>
      <xdr:row>3</xdr:row>
      <xdr:rowOff>12700</xdr:rowOff>
    </xdr:from>
    <xdr:to>
      <xdr:col>1</xdr:col>
      <xdr:colOff>1438275</xdr:colOff>
      <xdr:row>3</xdr:row>
      <xdr:rowOff>1381125</xdr:rowOff>
    </xdr:to>
    <xdr:pic>
      <xdr:nvPicPr>
        <xdr:cNvPr id="37262" name="Obrázek 4">
          <a:extLst>
            <a:ext uri="{FF2B5EF4-FFF2-40B4-BE49-F238E27FC236}">
              <a16:creationId xmlns:a16="http://schemas.microsoft.com/office/drawing/2014/main" id="{B9CA026A-4B1E-4504-817E-A321FEB11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698500"/>
          <a:ext cx="13716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</xdr:row>
      <xdr:rowOff>12700</xdr:rowOff>
    </xdr:from>
    <xdr:to>
      <xdr:col>1</xdr:col>
      <xdr:colOff>1447800</xdr:colOff>
      <xdr:row>6</xdr:row>
      <xdr:rowOff>1381125</xdr:rowOff>
    </xdr:to>
    <xdr:pic>
      <xdr:nvPicPr>
        <xdr:cNvPr id="37263" name="Obrázek 6">
          <a:extLst>
            <a:ext uri="{FF2B5EF4-FFF2-40B4-BE49-F238E27FC236}">
              <a16:creationId xmlns:a16="http://schemas.microsoft.com/office/drawing/2014/main" id="{EEE5D5B2-5D58-410F-AD9B-D9D1D8564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571750"/>
          <a:ext cx="13716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6</xdr:row>
      <xdr:rowOff>19050</xdr:rowOff>
    </xdr:from>
    <xdr:to>
      <xdr:col>2</xdr:col>
      <xdr:colOff>1447800</xdr:colOff>
      <xdr:row>7</xdr:row>
      <xdr:rowOff>0</xdr:rowOff>
    </xdr:to>
    <xdr:pic>
      <xdr:nvPicPr>
        <xdr:cNvPr id="37264" name="Obrázek 7">
          <a:extLst>
            <a:ext uri="{FF2B5EF4-FFF2-40B4-BE49-F238E27FC236}">
              <a16:creationId xmlns:a16="http://schemas.microsoft.com/office/drawing/2014/main" id="{A4072653-1870-4DAA-B56F-572947EE6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2578100"/>
          <a:ext cx="13716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3</xdr:row>
      <xdr:rowOff>12700</xdr:rowOff>
    </xdr:from>
    <xdr:to>
      <xdr:col>3</xdr:col>
      <xdr:colOff>1428750</xdr:colOff>
      <xdr:row>3</xdr:row>
      <xdr:rowOff>1381125</xdr:rowOff>
    </xdr:to>
    <xdr:pic>
      <xdr:nvPicPr>
        <xdr:cNvPr id="37265" name="Obrázek 8">
          <a:extLst>
            <a:ext uri="{FF2B5EF4-FFF2-40B4-BE49-F238E27FC236}">
              <a16:creationId xmlns:a16="http://schemas.microsoft.com/office/drawing/2014/main" id="{D9BE1BB4-2E5F-4B05-87BA-EA41BEA97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698500"/>
          <a:ext cx="13716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69850</xdr:colOff>
      <xdr:row>3</xdr:row>
      <xdr:rowOff>12700</xdr:rowOff>
    </xdr:from>
    <xdr:to>
      <xdr:col>2</xdr:col>
      <xdr:colOff>1438275</xdr:colOff>
      <xdr:row>3</xdr:row>
      <xdr:rowOff>1381125</xdr:rowOff>
    </xdr:to>
    <xdr:pic>
      <xdr:nvPicPr>
        <xdr:cNvPr id="37266" name="Obrázek 9">
          <a:extLst>
            <a:ext uri="{FF2B5EF4-FFF2-40B4-BE49-F238E27FC236}">
              <a16:creationId xmlns:a16="http://schemas.microsoft.com/office/drawing/2014/main" id="{F58DCBD5-7614-438F-9452-44ED7F265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600" y="698500"/>
          <a:ext cx="13716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6</xdr:row>
      <xdr:rowOff>19050</xdr:rowOff>
    </xdr:from>
    <xdr:to>
      <xdr:col>3</xdr:col>
      <xdr:colOff>1381125</xdr:colOff>
      <xdr:row>6</xdr:row>
      <xdr:rowOff>1371600</xdr:rowOff>
    </xdr:to>
    <xdr:pic>
      <xdr:nvPicPr>
        <xdr:cNvPr id="37267" name="Obrázek 1">
          <a:extLst>
            <a:ext uri="{FF2B5EF4-FFF2-40B4-BE49-F238E27FC236}">
              <a16:creationId xmlns:a16="http://schemas.microsoft.com/office/drawing/2014/main" id="{F1EFD176-92F5-4D79-9E33-ED716DA26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7400" y="2578100"/>
          <a:ext cx="13525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355600</xdr:colOff>
      <xdr:row>2</xdr:row>
      <xdr:rowOff>146050</xdr:rowOff>
    </xdr:from>
    <xdr:to>
      <xdr:col>4</xdr:col>
      <xdr:colOff>1447800</xdr:colOff>
      <xdr:row>3</xdr:row>
      <xdr:rowOff>142875</xdr:rowOff>
    </xdr:to>
    <xdr:pic>
      <xdr:nvPicPr>
        <xdr:cNvPr id="37268" name="Obrázek 9">
          <a:extLst>
            <a:ext uri="{FF2B5EF4-FFF2-40B4-BE49-F238E27FC236}">
              <a16:creationId xmlns:a16="http://schemas.microsoft.com/office/drawing/2014/main" id="{731061CB-96C0-4400-A047-457FAF5B1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527050"/>
          <a:ext cx="10922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6</xdr:row>
      <xdr:rowOff>31750</xdr:rowOff>
    </xdr:from>
    <xdr:to>
      <xdr:col>4</xdr:col>
      <xdr:colOff>1419225</xdr:colOff>
      <xdr:row>6</xdr:row>
      <xdr:rowOff>1371600</xdr:rowOff>
    </xdr:to>
    <xdr:pic>
      <xdr:nvPicPr>
        <xdr:cNvPr id="2" name="Obrázek 7">
          <a:extLst>
            <a:ext uri="{FF2B5EF4-FFF2-40B4-BE49-F238E27FC236}">
              <a16:creationId xmlns:a16="http://schemas.microsoft.com/office/drawing/2014/main" id="{791A6C62-167E-4EA7-83E1-C0782764E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2590800"/>
          <a:ext cx="1339850" cy="133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25</xdr:row>
      <xdr:rowOff>9525</xdr:rowOff>
    </xdr:from>
    <xdr:to>
      <xdr:col>1</xdr:col>
      <xdr:colOff>228600</xdr:colOff>
      <xdr:row>25</xdr:row>
      <xdr:rowOff>171450</xdr:rowOff>
    </xdr:to>
    <xdr:pic>
      <xdr:nvPicPr>
        <xdr:cNvPr id="44099" name="Obrázek 28" descr="Info.gif">
          <a:extLst>
            <a:ext uri="{FF2B5EF4-FFF2-40B4-BE49-F238E27FC236}">
              <a16:creationId xmlns:a16="http://schemas.microsoft.com/office/drawing/2014/main" id="{BD5D52D6-5F99-41F8-8EE3-5FDFD1818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4006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82550</xdr:colOff>
      <xdr:row>64</xdr:row>
      <xdr:rowOff>6350</xdr:rowOff>
    </xdr:from>
    <xdr:to>
      <xdr:col>2</xdr:col>
      <xdr:colOff>0</xdr:colOff>
      <xdr:row>65</xdr:row>
      <xdr:rowOff>0</xdr:rowOff>
    </xdr:to>
    <xdr:pic>
      <xdr:nvPicPr>
        <xdr:cNvPr id="44100" name="Obrázek 28" descr="Info.gif">
          <a:extLst>
            <a:ext uri="{FF2B5EF4-FFF2-40B4-BE49-F238E27FC236}">
              <a16:creationId xmlns:a16="http://schemas.microsoft.com/office/drawing/2014/main" id="{CCAD589F-5C2C-4A09-BD00-16797376A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6998950"/>
          <a:ext cx="1524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571500</xdr:colOff>
      <xdr:row>15</xdr:row>
      <xdr:rowOff>133350</xdr:rowOff>
    </xdr:from>
    <xdr:to>
      <xdr:col>23</xdr:col>
      <xdr:colOff>654050</xdr:colOff>
      <xdr:row>23</xdr:row>
      <xdr:rowOff>66675</xdr:rowOff>
    </xdr:to>
    <xdr:pic>
      <xdr:nvPicPr>
        <xdr:cNvPr id="44101" name="Obrázek 9">
          <a:extLst>
            <a:ext uri="{FF2B5EF4-FFF2-40B4-BE49-F238E27FC236}">
              <a16:creationId xmlns:a16="http://schemas.microsoft.com/office/drawing/2014/main" id="{C06A3F88-ECFA-4436-95C6-B22F2DC29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15220950" y="3536950"/>
          <a:ext cx="768350" cy="150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609600</xdr:colOff>
      <xdr:row>0</xdr:row>
      <xdr:rowOff>25400</xdr:rowOff>
    </xdr:from>
    <xdr:to>
      <xdr:col>7</xdr:col>
      <xdr:colOff>657225</xdr:colOff>
      <xdr:row>2</xdr:row>
      <xdr:rowOff>209550</xdr:rowOff>
    </xdr:to>
    <xdr:pic>
      <xdr:nvPicPr>
        <xdr:cNvPr id="44102" name="Obrázek 2">
          <a:extLst>
            <a:ext uri="{FF2B5EF4-FFF2-40B4-BE49-F238E27FC236}">
              <a16:creationId xmlns:a16="http://schemas.microsoft.com/office/drawing/2014/main" id="{3BA6DDFA-32AA-4964-9C5C-422235E19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950" y="25400"/>
          <a:ext cx="730250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152400</xdr:colOff>
      <xdr:row>0</xdr:row>
      <xdr:rowOff>177800</xdr:rowOff>
    </xdr:from>
    <xdr:to>
      <xdr:col>25</xdr:col>
      <xdr:colOff>247650</xdr:colOff>
      <xdr:row>12</xdr:row>
      <xdr:rowOff>247650</xdr:rowOff>
    </xdr:to>
    <xdr:pic>
      <xdr:nvPicPr>
        <xdr:cNvPr id="44104" name="Obrázek 1">
          <a:extLst>
            <a:ext uri="{FF2B5EF4-FFF2-40B4-BE49-F238E27FC236}">
              <a16:creationId xmlns:a16="http://schemas.microsoft.com/office/drawing/2014/main" id="{68807D39-3150-451A-802B-232AE9E59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150" y="177800"/>
          <a:ext cx="3035300" cy="273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69850</xdr:colOff>
      <xdr:row>39</xdr:row>
      <xdr:rowOff>107950</xdr:rowOff>
    </xdr:from>
    <xdr:to>
      <xdr:col>1</xdr:col>
      <xdr:colOff>219075</xdr:colOff>
      <xdr:row>40</xdr:row>
      <xdr:rowOff>9525</xdr:rowOff>
    </xdr:to>
    <xdr:pic>
      <xdr:nvPicPr>
        <xdr:cNvPr id="12" name="Obrázek 28" descr="Info.gif">
          <a:extLst>
            <a:ext uri="{FF2B5EF4-FFF2-40B4-BE49-F238E27FC236}">
              <a16:creationId xmlns:a16="http://schemas.microsoft.com/office/drawing/2014/main" id="{32FE2DE5-B10B-4560-8F87-091B522D6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79883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39</xdr:col>
      <xdr:colOff>678966</xdr:colOff>
      <xdr:row>128</xdr:row>
      <xdr:rowOff>139700</xdr:rowOff>
    </xdr:from>
    <xdr:ext cx="775184" cy="1511930"/>
    <xdr:pic>
      <xdr:nvPicPr>
        <xdr:cNvPr id="11" name="Obrázek 9">
          <a:extLst>
            <a:ext uri="{FF2B5EF4-FFF2-40B4-BE49-F238E27FC236}">
              <a16:creationId xmlns:a16="http://schemas.microsoft.com/office/drawing/2014/main" id="{F0FE2122-4CD6-4DEC-8123-E94803FD4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24767691" y="25266650"/>
          <a:ext cx="775184" cy="1511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42</xdr:col>
      <xdr:colOff>190544</xdr:colOff>
      <xdr:row>101</xdr:row>
      <xdr:rowOff>88900</xdr:rowOff>
    </xdr:from>
    <xdr:ext cx="2223016" cy="2000250"/>
    <xdr:pic>
      <xdr:nvPicPr>
        <xdr:cNvPr id="14" name="Obrázek 1">
          <a:extLst>
            <a:ext uri="{FF2B5EF4-FFF2-40B4-BE49-F238E27FC236}">
              <a16:creationId xmlns:a16="http://schemas.microsoft.com/office/drawing/2014/main" id="{C91197D9-B569-4B94-8FDD-4AEE87E60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1694" y="19462750"/>
          <a:ext cx="2223016" cy="200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32</xdr:col>
      <xdr:colOff>38101</xdr:colOff>
      <xdr:row>126</xdr:row>
      <xdr:rowOff>6350</xdr:rowOff>
    </xdr:from>
    <xdr:to>
      <xdr:col>36</xdr:col>
      <xdr:colOff>429727</xdr:colOff>
      <xdr:row>137</xdr:row>
      <xdr:rowOff>95366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E9746F0-C87D-EF37-4376-B485ED59D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012151" y="24885650"/>
          <a:ext cx="2407751" cy="2051166"/>
        </a:xfrm>
        <a:prstGeom prst="rect">
          <a:avLst/>
        </a:prstGeom>
      </xdr:spPr>
    </xdr:pic>
    <xdr:clientData/>
  </xdr:twoCellAnchor>
  <xdr:twoCellAnchor editAs="oneCell">
    <xdr:from>
      <xdr:col>32</xdr:col>
      <xdr:colOff>38101</xdr:colOff>
      <xdr:row>126</xdr:row>
      <xdr:rowOff>6350</xdr:rowOff>
    </xdr:from>
    <xdr:to>
      <xdr:col>36</xdr:col>
      <xdr:colOff>426552</xdr:colOff>
      <xdr:row>137</xdr:row>
      <xdr:rowOff>95366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C34AB96-2A88-49F9-9808-8A31F61C3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012151" y="24885650"/>
          <a:ext cx="2410926" cy="2047991"/>
        </a:xfrm>
        <a:prstGeom prst="rect">
          <a:avLst/>
        </a:prstGeom>
      </xdr:spPr>
    </xdr:pic>
    <xdr:clientData/>
  </xdr:twoCellAnchor>
  <xdr:twoCellAnchor editAs="oneCell">
    <xdr:from>
      <xdr:col>3</xdr:col>
      <xdr:colOff>34927</xdr:colOff>
      <xdr:row>44</xdr:row>
      <xdr:rowOff>152402</xdr:rowOff>
    </xdr:from>
    <xdr:to>
      <xdr:col>6</xdr:col>
      <xdr:colOff>666888</xdr:colOff>
      <xdr:row>57</xdr:row>
      <xdr:rowOff>54093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CD1B14F-53F7-4DA1-8932-A433A4BA6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25527" y="9544052"/>
          <a:ext cx="2660786" cy="2254366"/>
        </a:xfrm>
        <a:prstGeom prst="rect">
          <a:avLst/>
        </a:prstGeom>
      </xdr:spPr>
    </xdr:pic>
    <xdr:clientData/>
  </xdr:twoCellAnchor>
  <xdr:twoCellAnchor editAs="oneCell">
    <xdr:from>
      <xdr:col>20</xdr:col>
      <xdr:colOff>284482</xdr:colOff>
      <xdr:row>44</xdr:row>
      <xdr:rowOff>85725</xdr:rowOff>
    </xdr:from>
    <xdr:to>
      <xdr:col>22</xdr:col>
      <xdr:colOff>343124</xdr:colOff>
      <xdr:row>58</xdr:row>
      <xdr:rowOff>19247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A999A6-F4BF-55D0-B235-2E28EA1A4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133582" y="9477375"/>
          <a:ext cx="2811367" cy="2467172"/>
        </a:xfrm>
        <a:prstGeom prst="rect">
          <a:avLst/>
        </a:prstGeom>
      </xdr:spPr>
    </xdr:pic>
    <xdr:clientData/>
  </xdr:twoCellAnchor>
  <xdr:twoCellAnchor editAs="oneCell">
    <xdr:from>
      <xdr:col>42</xdr:col>
      <xdr:colOff>28575</xdr:colOff>
      <xdr:row>125</xdr:row>
      <xdr:rowOff>177800</xdr:rowOff>
    </xdr:from>
    <xdr:to>
      <xdr:col>45</xdr:col>
      <xdr:colOff>570667</xdr:colOff>
      <xdr:row>137</xdr:row>
      <xdr:rowOff>152597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47867E-AA28-4A71-BD61-6177FD0E9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6250900" y="24742775"/>
          <a:ext cx="2418517" cy="2136972"/>
        </a:xfrm>
        <a:prstGeom prst="rect">
          <a:avLst/>
        </a:prstGeom>
      </xdr:spPr>
    </xdr:pic>
    <xdr:clientData/>
  </xdr:twoCellAnchor>
  <xdr:twoCellAnchor editAs="oneCell">
    <xdr:from>
      <xdr:col>21</xdr:col>
      <xdr:colOff>63500</xdr:colOff>
      <xdr:row>15</xdr:row>
      <xdr:rowOff>165100</xdr:rowOff>
    </xdr:from>
    <xdr:to>
      <xdr:col>21</xdr:col>
      <xdr:colOff>978790</xdr:colOff>
      <xdr:row>27</xdr:row>
      <xdr:rowOff>28030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B50CB05-7B25-4E46-CF67-32A33C11B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309600" y="3568700"/>
          <a:ext cx="915290" cy="2199730"/>
        </a:xfrm>
        <a:prstGeom prst="rect">
          <a:avLst/>
        </a:prstGeom>
      </xdr:spPr>
    </xdr:pic>
    <xdr:clientData/>
  </xdr:twoCellAnchor>
  <xdr:twoCellAnchor editAs="oneCell">
    <xdr:from>
      <xdr:col>29</xdr:col>
      <xdr:colOff>57150</xdr:colOff>
      <xdr:row>126</xdr:row>
      <xdr:rowOff>95250</xdr:rowOff>
    </xdr:from>
    <xdr:to>
      <xdr:col>30</xdr:col>
      <xdr:colOff>406400</xdr:colOff>
      <xdr:row>138</xdr:row>
      <xdr:rowOff>47292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C14ACCF-57D7-4746-A898-43CA2B99F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9564350" y="24625300"/>
          <a:ext cx="857250" cy="20602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16</xdr:row>
      <xdr:rowOff>88900</xdr:rowOff>
    </xdr:from>
    <xdr:to>
      <xdr:col>1</xdr:col>
      <xdr:colOff>177800</xdr:colOff>
      <xdr:row>16</xdr:row>
      <xdr:rowOff>247650</xdr:rowOff>
    </xdr:to>
    <xdr:pic>
      <xdr:nvPicPr>
        <xdr:cNvPr id="34616" name="Obrázek 28" descr="Info.gif">
          <a:extLst>
            <a:ext uri="{FF2B5EF4-FFF2-40B4-BE49-F238E27FC236}">
              <a16:creationId xmlns:a16="http://schemas.microsoft.com/office/drawing/2014/main" id="{5723FE24-7B9D-4571-A64E-FDAC834A1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36004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82550</xdr:colOff>
      <xdr:row>63</xdr:row>
      <xdr:rowOff>6350</xdr:rowOff>
    </xdr:from>
    <xdr:to>
      <xdr:col>2</xdr:col>
      <xdr:colOff>0</xdr:colOff>
      <xdr:row>64</xdr:row>
      <xdr:rowOff>0</xdr:rowOff>
    </xdr:to>
    <xdr:pic>
      <xdr:nvPicPr>
        <xdr:cNvPr id="34617" name="Obrázek 28" descr="Info.gif">
          <a:extLst>
            <a:ext uri="{FF2B5EF4-FFF2-40B4-BE49-F238E27FC236}">
              <a16:creationId xmlns:a16="http://schemas.microsoft.com/office/drawing/2014/main" id="{8C345057-5DCC-4265-9E5D-26CC86793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7138650"/>
          <a:ext cx="1524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533400</xdr:colOff>
      <xdr:row>77</xdr:row>
      <xdr:rowOff>69850</xdr:rowOff>
    </xdr:from>
    <xdr:to>
      <xdr:col>25</xdr:col>
      <xdr:colOff>266700</xdr:colOff>
      <xdr:row>88</xdr:row>
      <xdr:rowOff>19050</xdr:rowOff>
    </xdr:to>
    <xdr:pic>
      <xdr:nvPicPr>
        <xdr:cNvPr id="34621" name="Obrázek 11" descr="Aventos HF_asym_W.jpg">
          <a:extLst>
            <a:ext uri="{FF2B5EF4-FFF2-40B4-BE49-F238E27FC236}">
              <a16:creationId xmlns:a16="http://schemas.microsoft.com/office/drawing/2014/main" id="{E53A4490-C99B-4A27-AE4D-941C78698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3700" y="15005050"/>
          <a:ext cx="403225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95</xdr:row>
      <xdr:rowOff>6350</xdr:rowOff>
    </xdr:from>
    <xdr:to>
      <xdr:col>2</xdr:col>
      <xdr:colOff>190500</xdr:colOff>
      <xdr:row>95</xdr:row>
      <xdr:rowOff>168275</xdr:rowOff>
    </xdr:to>
    <xdr:pic>
      <xdr:nvPicPr>
        <xdr:cNvPr id="34622" name="Obrázek 27" descr="Info.gif">
          <a:extLst>
            <a:ext uri="{FF2B5EF4-FFF2-40B4-BE49-F238E27FC236}">
              <a16:creationId xmlns:a16="http://schemas.microsoft.com/office/drawing/2014/main" id="{788CF952-06E4-493E-9E20-EB6C33D80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187960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114300</xdr:colOff>
      <xdr:row>0</xdr:row>
      <xdr:rowOff>304800</xdr:rowOff>
    </xdr:from>
    <xdr:to>
      <xdr:col>25</xdr:col>
      <xdr:colOff>571500</xdr:colOff>
      <xdr:row>14</xdr:row>
      <xdr:rowOff>9525</xdr:rowOff>
    </xdr:to>
    <xdr:pic>
      <xdr:nvPicPr>
        <xdr:cNvPr id="34625" name="Obrázek 12">
          <a:extLst>
            <a:ext uri="{FF2B5EF4-FFF2-40B4-BE49-F238E27FC236}">
              <a16:creationId xmlns:a16="http://schemas.microsoft.com/office/drawing/2014/main" id="{C264726C-1E57-4899-9AF6-4E253B070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250" y="304800"/>
          <a:ext cx="3397250" cy="290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39</xdr:col>
      <xdr:colOff>736116</xdr:colOff>
      <xdr:row>128</xdr:row>
      <xdr:rowOff>76200</xdr:rowOff>
    </xdr:from>
    <xdr:ext cx="775184" cy="1511930"/>
    <xdr:pic>
      <xdr:nvPicPr>
        <xdr:cNvPr id="12" name="Obrázek 9">
          <a:extLst>
            <a:ext uri="{FF2B5EF4-FFF2-40B4-BE49-F238E27FC236}">
              <a16:creationId xmlns:a16="http://schemas.microsoft.com/office/drawing/2014/main" id="{E08CB607-FF26-429A-BD88-826F5582A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67716" y="25850850"/>
          <a:ext cx="775184" cy="1511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57150</xdr:colOff>
      <xdr:row>37</xdr:row>
      <xdr:rowOff>50800</xdr:rowOff>
    </xdr:from>
    <xdr:to>
      <xdr:col>1</xdr:col>
      <xdr:colOff>209550</xdr:colOff>
      <xdr:row>37</xdr:row>
      <xdr:rowOff>209550</xdr:rowOff>
    </xdr:to>
    <xdr:pic>
      <xdr:nvPicPr>
        <xdr:cNvPr id="17" name="Obrázek 28" descr="Info.gif">
          <a:extLst>
            <a:ext uri="{FF2B5EF4-FFF2-40B4-BE49-F238E27FC236}">
              <a16:creationId xmlns:a16="http://schemas.microsoft.com/office/drawing/2014/main" id="{8294C6C6-5BBA-44F5-BA70-9FA8BCEB9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9819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448126</xdr:colOff>
      <xdr:row>101</xdr:row>
      <xdr:rowOff>63501</xdr:rowOff>
    </xdr:from>
    <xdr:to>
      <xdr:col>45</xdr:col>
      <xdr:colOff>552449</xdr:colOff>
      <xdr:row>112</xdr:row>
      <xdr:rowOff>139701</xdr:rowOff>
    </xdr:to>
    <xdr:pic>
      <xdr:nvPicPr>
        <xdr:cNvPr id="19" name="Obrázek 12">
          <a:extLst>
            <a:ext uri="{FF2B5EF4-FFF2-40B4-BE49-F238E27FC236}">
              <a16:creationId xmlns:a16="http://schemas.microsoft.com/office/drawing/2014/main" id="{CDFD44B0-C107-4E6D-B799-71881F579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9376" y="19488151"/>
          <a:ext cx="2517323" cy="214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43</xdr:row>
      <xdr:rowOff>123825</xdr:rowOff>
    </xdr:from>
    <xdr:to>
      <xdr:col>7</xdr:col>
      <xdr:colOff>6486</xdr:colOff>
      <xdr:row>56</xdr:row>
      <xdr:rowOff>92191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30AA5C-D2C7-429D-9FEA-C7E9B4123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38225" y="9210675"/>
          <a:ext cx="2667136" cy="2254366"/>
        </a:xfrm>
        <a:prstGeom prst="rect">
          <a:avLst/>
        </a:prstGeom>
      </xdr:spPr>
    </xdr:pic>
    <xdr:clientData/>
  </xdr:twoCellAnchor>
  <xdr:twoCellAnchor editAs="oneCell">
    <xdr:from>
      <xdr:col>20</xdr:col>
      <xdr:colOff>292100</xdr:colOff>
      <xdr:row>43</xdr:row>
      <xdr:rowOff>57150</xdr:rowOff>
    </xdr:from>
    <xdr:to>
      <xdr:col>22</xdr:col>
      <xdr:colOff>353917</xdr:colOff>
      <xdr:row>57</xdr:row>
      <xdr:rowOff>63697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5504232-902F-495C-95E6-A862F661E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185650" y="9328150"/>
          <a:ext cx="2814542" cy="2435422"/>
        </a:xfrm>
        <a:prstGeom prst="rect">
          <a:avLst/>
        </a:prstGeom>
      </xdr:spPr>
    </xdr:pic>
    <xdr:clientData/>
  </xdr:twoCellAnchor>
  <xdr:twoCellAnchor editAs="oneCell">
    <xdr:from>
      <xdr:col>42</xdr:col>
      <xdr:colOff>342900</xdr:colOff>
      <xdr:row>126</xdr:row>
      <xdr:rowOff>12700</xdr:rowOff>
    </xdr:from>
    <xdr:to>
      <xdr:col>46</xdr:col>
      <xdr:colOff>30066</xdr:colOff>
      <xdr:row>136</xdr:row>
      <xdr:rowOff>140315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81F48E1-F6EB-4C3D-B985-1A27053EC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6638250" y="24282400"/>
          <a:ext cx="2198591" cy="1902440"/>
        </a:xfrm>
        <a:prstGeom prst="rect">
          <a:avLst/>
        </a:prstGeom>
      </xdr:spPr>
    </xdr:pic>
    <xdr:clientData/>
  </xdr:twoCellAnchor>
  <xdr:twoCellAnchor editAs="oneCell">
    <xdr:from>
      <xdr:col>32</xdr:col>
      <xdr:colOff>31751</xdr:colOff>
      <xdr:row>126</xdr:row>
      <xdr:rowOff>95250</xdr:rowOff>
    </xdr:from>
    <xdr:to>
      <xdr:col>36</xdr:col>
      <xdr:colOff>420202</xdr:colOff>
      <xdr:row>137</xdr:row>
      <xdr:rowOff>162041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CD1955DC-56C5-4680-A47B-38DE1D606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101051" y="24364950"/>
          <a:ext cx="2395051" cy="2019416"/>
        </a:xfrm>
        <a:prstGeom prst="rect">
          <a:avLst/>
        </a:prstGeom>
      </xdr:spPr>
    </xdr:pic>
    <xdr:clientData/>
  </xdr:twoCellAnchor>
  <xdr:twoCellAnchor editAs="oneCell">
    <xdr:from>
      <xdr:col>29</xdr:col>
      <xdr:colOff>63500</xdr:colOff>
      <xdr:row>126</xdr:row>
      <xdr:rowOff>114300</xdr:rowOff>
    </xdr:from>
    <xdr:to>
      <xdr:col>30</xdr:col>
      <xdr:colOff>419100</xdr:colOff>
      <xdr:row>138</xdr:row>
      <xdr:rowOff>50467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5A883AF0-FC9F-4E4A-85CC-4044F9FF2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9627850" y="24384000"/>
          <a:ext cx="857250" cy="2060242"/>
        </a:xfrm>
        <a:prstGeom prst="rect">
          <a:avLst/>
        </a:prstGeom>
      </xdr:spPr>
    </xdr:pic>
    <xdr:clientData/>
  </xdr:twoCellAnchor>
  <xdr:twoCellAnchor editAs="oneCell">
    <xdr:from>
      <xdr:col>22</xdr:col>
      <xdr:colOff>571500</xdr:colOff>
      <xdr:row>16</xdr:row>
      <xdr:rowOff>133350</xdr:rowOff>
    </xdr:from>
    <xdr:to>
      <xdr:col>23</xdr:col>
      <xdr:colOff>657225</xdr:colOff>
      <xdr:row>24</xdr:row>
      <xdr:rowOff>82550</xdr:rowOff>
    </xdr:to>
    <xdr:pic>
      <xdr:nvPicPr>
        <xdr:cNvPr id="7" name="Obrázek 9">
          <a:extLst>
            <a:ext uri="{FF2B5EF4-FFF2-40B4-BE49-F238E27FC236}">
              <a16:creationId xmlns:a16="http://schemas.microsoft.com/office/drawing/2014/main" id="{FF520354-3DF1-4B7B-8A3B-41D941CE2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15220950" y="3536950"/>
          <a:ext cx="768350" cy="150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63500</xdr:colOff>
      <xdr:row>16</xdr:row>
      <xdr:rowOff>165100</xdr:rowOff>
    </xdr:from>
    <xdr:to>
      <xdr:col>21</xdr:col>
      <xdr:colOff>981965</xdr:colOff>
      <xdr:row>28</xdr:row>
      <xdr:rowOff>2630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09C0D1A-BF45-478D-988B-51C760928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309600" y="3568700"/>
          <a:ext cx="915290" cy="21997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69850</xdr:colOff>
      <xdr:row>36</xdr:row>
      <xdr:rowOff>107950</xdr:rowOff>
    </xdr:from>
    <xdr:to>
      <xdr:col>1</xdr:col>
      <xdr:colOff>219075</xdr:colOff>
      <xdr:row>36</xdr:row>
      <xdr:rowOff>266700</xdr:rowOff>
    </xdr:to>
    <xdr:pic>
      <xdr:nvPicPr>
        <xdr:cNvPr id="35335" name="Obrázek 28" descr="Info.gif">
          <a:extLst>
            <a:ext uri="{FF2B5EF4-FFF2-40B4-BE49-F238E27FC236}">
              <a16:creationId xmlns:a16="http://schemas.microsoft.com/office/drawing/2014/main" id="{4E7079C8-8679-4D07-9B3E-033DFB096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74676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82550</xdr:colOff>
      <xdr:row>62</xdr:row>
      <xdr:rowOff>6350</xdr:rowOff>
    </xdr:from>
    <xdr:to>
      <xdr:col>2</xdr:col>
      <xdr:colOff>0</xdr:colOff>
      <xdr:row>63</xdr:row>
      <xdr:rowOff>0</xdr:rowOff>
    </xdr:to>
    <xdr:pic>
      <xdr:nvPicPr>
        <xdr:cNvPr id="35336" name="Obrázek 28" descr="Info.gif">
          <a:extLst>
            <a:ext uri="{FF2B5EF4-FFF2-40B4-BE49-F238E27FC236}">
              <a16:creationId xmlns:a16="http://schemas.microsoft.com/office/drawing/2014/main" id="{2713C6E3-289C-4620-868B-93D3FBA07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6332200"/>
          <a:ext cx="1524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654050</xdr:colOff>
      <xdr:row>14</xdr:row>
      <xdr:rowOff>38100</xdr:rowOff>
    </xdr:from>
    <xdr:to>
      <xdr:col>23</xdr:col>
      <xdr:colOff>742950</xdr:colOff>
      <xdr:row>22</xdr:row>
      <xdr:rowOff>95250</xdr:rowOff>
    </xdr:to>
    <xdr:pic>
      <xdr:nvPicPr>
        <xdr:cNvPr id="35337" name="Obrázek 9">
          <a:extLst>
            <a:ext uri="{FF2B5EF4-FFF2-40B4-BE49-F238E27FC236}">
              <a16:creationId xmlns:a16="http://schemas.microsoft.com/office/drawing/2014/main" id="{E327124D-129A-46CD-93CD-C6D276554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3200400"/>
          <a:ext cx="774700" cy="149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361950</xdr:colOff>
      <xdr:row>1</xdr:row>
      <xdr:rowOff>190500</xdr:rowOff>
    </xdr:from>
    <xdr:to>
      <xdr:col>23</xdr:col>
      <xdr:colOff>666750</xdr:colOff>
      <xdr:row>11</xdr:row>
      <xdr:rowOff>0</xdr:rowOff>
    </xdr:to>
    <xdr:pic>
      <xdr:nvPicPr>
        <xdr:cNvPr id="35339" name="Obrázek 1">
          <a:extLst>
            <a:ext uri="{FF2B5EF4-FFF2-40B4-BE49-F238E27FC236}">
              <a16:creationId xmlns:a16="http://schemas.microsoft.com/office/drawing/2014/main" id="{588DF722-480A-45B3-ADDD-9FEA0D5F1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0050" y="508000"/>
          <a:ext cx="2387600" cy="194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279400</xdr:colOff>
      <xdr:row>41</xdr:row>
      <xdr:rowOff>101600</xdr:rowOff>
    </xdr:from>
    <xdr:to>
      <xdr:col>22</xdr:col>
      <xdr:colOff>104775</xdr:colOff>
      <xdr:row>53</xdr:row>
      <xdr:rowOff>152400</xdr:rowOff>
    </xdr:to>
    <xdr:pic>
      <xdr:nvPicPr>
        <xdr:cNvPr id="35340" name="Obrázek 2">
          <a:extLst>
            <a:ext uri="{FF2B5EF4-FFF2-40B4-BE49-F238E27FC236}">
              <a16:creationId xmlns:a16="http://schemas.microsoft.com/office/drawing/2014/main" id="{9C40247B-0D50-4E74-BE2B-60DA11DC1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50" y="8572500"/>
          <a:ext cx="26416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666750</xdr:colOff>
      <xdr:row>0</xdr:row>
      <xdr:rowOff>57150</xdr:rowOff>
    </xdr:from>
    <xdr:to>
      <xdr:col>8</xdr:col>
      <xdr:colOff>0</xdr:colOff>
      <xdr:row>2</xdr:row>
      <xdr:rowOff>171450</xdr:rowOff>
    </xdr:to>
    <xdr:pic>
      <xdr:nvPicPr>
        <xdr:cNvPr id="35342" name="Obrázek 9">
          <a:extLst>
            <a:ext uri="{FF2B5EF4-FFF2-40B4-BE49-F238E27FC236}">
              <a16:creationId xmlns:a16="http://schemas.microsoft.com/office/drawing/2014/main" id="{D43F4039-65CC-4322-9265-77E29F28A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1100" y="57150"/>
          <a:ext cx="70485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406400</xdr:colOff>
      <xdr:row>126</xdr:row>
      <xdr:rowOff>19050</xdr:rowOff>
    </xdr:from>
    <xdr:to>
      <xdr:col>40</xdr:col>
      <xdr:colOff>219075</xdr:colOff>
      <xdr:row>134</xdr:row>
      <xdr:rowOff>67620</xdr:rowOff>
    </xdr:to>
    <xdr:pic>
      <xdr:nvPicPr>
        <xdr:cNvPr id="17" name="Obrázek 9">
          <a:extLst>
            <a:ext uri="{FF2B5EF4-FFF2-40B4-BE49-F238E27FC236}">
              <a16:creationId xmlns:a16="http://schemas.microsoft.com/office/drawing/2014/main" id="{DDC09AB4-A5D0-4D5F-8A47-2A5664F90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45950" y="24079200"/>
          <a:ext cx="749300" cy="146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222250</xdr:colOff>
      <xdr:row>124</xdr:row>
      <xdr:rowOff>6350</xdr:rowOff>
    </xdr:from>
    <xdr:to>
      <xdr:col>45</xdr:col>
      <xdr:colOff>304948</xdr:colOff>
      <xdr:row>135</xdr:row>
      <xdr:rowOff>123825</xdr:rowOff>
    </xdr:to>
    <xdr:pic>
      <xdr:nvPicPr>
        <xdr:cNvPr id="18" name="Obrázek 2">
          <a:extLst>
            <a:ext uri="{FF2B5EF4-FFF2-40B4-BE49-F238E27FC236}">
              <a16:creationId xmlns:a16="http://schemas.microsoft.com/office/drawing/2014/main" id="{CD957498-1556-45A7-AEE9-8F5015F87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04850" y="23425150"/>
          <a:ext cx="2489348" cy="207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114300</xdr:colOff>
      <xdr:row>99</xdr:row>
      <xdr:rowOff>57150</xdr:rowOff>
    </xdr:from>
    <xdr:to>
      <xdr:col>45</xdr:col>
      <xdr:colOff>609600</xdr:colOff>
      <xdr:row>109</xdr:row>
      <xdr:rowOff>114300</xdr:rowOff>
    </xdr:to>
    <xdr:pic>
      <xdr:nvPicPr>
        <xdr:cNvPr id="20" name="Obrázek 1">
          <a:extLst>
            <a:ext uri="{FF2B5EF4-FFF2-40B4-BE49-F238E27FC236}">
              <a16:creationId xmlns:a16="http://schemas.microsoft.com/office/drawing/2014/main" id="{C99DC15B-267B-4690-B49F-C13882664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4200" y="18840450"/>
          <a:ext cx="2387600" cy="194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50800</xdr:colOff>
      <xdr:row>40</xdr:row>
      <xdr:rowOff>171450</xdr:rowOff>
    </xdr:from>
    <xdr:to>
      <xdr:col>7</xdr:col>
      <xdr:colOff>6486</xdr:colOff>
      <xdr:row>53</xdr:row>
      <xdr:rowOff>82666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EFE67446-E184-412A-A610-B2DA80E00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41400" y="8464550"/>
          <a:ext cx="2670311" cy="2225791"/>
        </a:xfrm>
        <a:prstGeom prst="rect">
          <a:avLst/>
        </a:prstGeom>
      </xdr:spPr>
    </xdr:pic>
    <xdr:clientData/>
  </xdr:twoCellAnchor>
  <xdr:twoCellAnchor editAs="oneCell">
    <xdr:from>
      <xdr:col>21</xdr:col>
      <xdr:colOff>19050</xdr:colOff>
      <xdr:row>13</xdr:row>
      <xdr:rowOff>222250</xdr:rowOff>
    </xdr:from>
    <xdr:to>
      <xdr:col>21</xdr:col>
      <xdr:colOff>934340</xdr:colOff>
      <xdr:row>25</xdr:row>
      <xdr:rowOff>107405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5D1595D-021F-403B-9B2A-D35BE5516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322300" y="3136900"/>
          <a:ext cx="915290" cy="2199730"/>
        </a:xfrm>
        <a:prstGeom prst="rect">
          <a:avLst/>
        </a:prstGeom>
      </xdr:spPr>
    </xdr:pic>
    <xdr:clientData/>
  </xdr:twoCellAnchor>
  <xdr:twoCellAnchor editAs="oneCell">
    <xdr:from>
      <xdr:col>32</xdr:col>
      <xdr:colOff>38101</xdr:colOff>
      <xdr:row>124</xdr:row>
      <xdr:rowOff>6350</xdr:rowOff>
    </xdr:from>
    <xdr:to>
      <xdr:col>36</xdr:col>
      <xdr:colOff>426552</xdr:colOff>
      <xdr:row>135</xdr:row>
      <xdr:rowOff>76316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BD5A07AB-6ACC-4F18-9A4D-6504E5EA5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050251" y="24536400"/>
          <a:ext cx="2398226" cy="2019416"/>
        </a:xfrm>
        <a:prstGeom prst="rect">
          <a:avLst/>
        </a:prstGeom>
      </xdr:spPr>
    </xdr:pic>
    <xdr:clientData/>
  </xdr:twoCellAnchor>
  <xdr:twoCellAnchor editAs="oneCell">
    <xdr:from>
      <xdr:col>32</xdr:col>
      <xdr:colOff>38101</xdr:colOff>
      <xdr:row>124</xdr:row>
      <xdr:rowOff>6350</xdr:rowOff>
    </xdr:from>
    <xdr:to>
      <xdr:col>36</xdr:col>
      <xdr:colOff>429727</xdr:colOff>
      <xdr:row>135</xdr:row>
      <xdr:rowOff>76316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50C171D-1B07-4510-AAAF-A165BABB3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050251" y="24536400"/>
          <a:ext cx="2395051" cy="2019416"/>
        </a:xfrm>
        <a:prstGeom prst="rect">
          <a:avLst/>
        </a:prstGeom>
      </xdr:spPr>
    </xdr:pic>
    <xdr:clientData/>
  </xdr:twoCellAnchor>
  <xdr:twoCellAnchor editAs="oneCell">
    <xdr:from>
      <xdr:col>29</xdr:col>
      <xdr:colOff>57150</xdr:colOff>
      <xdr:row>123</xdr:row>
      <xdr:rowOff>127000</xdr:rowOff>
    </xdr:from>
    <xdr:to>
      <xdr:col>30</xdr:col>
      <xdr:colOff>409575</xdr:colOff>
      <xdr:row>135</xdr:row>
      <xdr:rowOff>40942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18FEA242-B8A7-4E18-A78D-128BF609D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9729450" y="23348950"/>
          <a:ext cx="857250" cy="20602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38</xdr:row>
      <xdr:rowOff>28575</xdr:rowOff>
    </xdr:from>
    <xdr:to>
      <xdr:col>1</xdr:col>
      <xdr:colOff>200025</xdr:colOff>
      <xdr:row>38</xdr:row>
      <xdr:rowOff>180975</xdr:rowOff>
    </xdr:to>
    <xdr:pic>
      <xdr:nvPicPr>
        <xdr:cNvPr id="41238" name="Obrázek 28" descr="Info.gif">
          <a:extLst>
            <a:ext uri="{FF2B5EF4-FFF2-40B4-BE49-F238E27FC236}">
              <a16:creationId xmlns:a16="http://schemas.microsoft.com/office/drawing/2014/main" id="{4C75933B-8F0A-4CE6-A1E4-83451600A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89622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82550</xdr:colOff>
      <xdr:row>63</xdr:row>
      <xdr:rowOff>19050</xdr:rowOff>
    </xdr:from>
    <xdr:to>
      <xdr:col>2</xdr:col>
      <xdr:colOff>0</xdr:colOff>
      <xdr:row>64</xdr:row>
      <xdr:rowOff>0</xdr:rowOff>
    </xdr:to>
    <xdr:pic>
      <xdr:nvPicPr>
        <xdr:cNvPr id="41239" name="Obrázek 28" descr="Info.gif">
          <a:extLst>
            <a:ext uri="{FF2B5EF4-FFF2-40B4-BE49-F238E27FC236}">
              <a16:creationId xmlns:a16="http://schemas.microsoft.com/office/drawing/2014/main" id="{D271052F-2C98-453D-AD46-D603A8701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62052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654050</xdr:colOff>
      <xdr:row>14</xdr:row>
      <xdr:rowOff>38100</xdr:rowOff>
    </xdr:from>
    <xdr:to>
      <xdr:col>23</xdr:col>
      <xdr:colOff>742950</xdr:colOff>
      <xdr:row>22</xdr:row>
      <xdr:rowOff>82550</xdr:rowOff>
    </xdr:to>
    <xdr:pic>
      <xdr:nvPicPr>
        <xdr:cNvPr id="41240" name="Obrázek 6">
          <a:extLst>
            <a:ext uri="{FF2B5EF4-FFF2-40B4-BE49-F238E27FC236}">
              <a16:creationId xmlns:a16="http://schemas.microsoft.com/office/drawing/2014/main" id="{2E8D71D2-88A8-489D-BF24-63751031D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3200400"/>
          <a:ext cx="7747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406400</xdr:colOff>
      <xdr:row>2</xdr:row>
      <xdr:rowOff>190500</xdr:rowOff>
    </xdr:from>
    <xdr:to>
      <xdr:col>23</xdr:col>
      <xdr:colOff>711200</xdr:colOff>
      <xdr:row>12</xdr:row>
      <xdr:rowOff>19050</xdr:rowOff>
    </xdr:to>
    <xdr:pic>
      <xdr:nvPicPr>
        <xdr:cNvPr id="41242" name="Obrázek 9">
          <a:extLst>
            <a:ext uri="{FF2B5EF4-FFF2-40B4-BE49-F238E27FC236}">
              <a16:creationId xmlns:a16="http://schemas.microsoft.com/office/drawing/2014/main" id="{7DB5AA1F-297F-4F17-B574-1FC1E6188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3050" y="736600"/>
          <a:ext cx="2393950" cy="194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133350</xdr:colOff>
      <xdr:row>43</xdr:row>
      <xdr:rowOff>38100</xdr:rowOff>
    </xdr:from>
    <xdr:to>
      <xdr:col>22</xdr:col>
      <xdr:colOff>95250</xdr:colOff>
      <xdr:row>55</xdr:row>
      <xdr:rowOff>57150</xdr:rowOff>
    </xdr:to>
    <xdr:pic>
      <xdr:nvPicPr>
        <xdr:cNvPr id="41243" name="Obrázek 1">
          <a:extLst>
            <a:ext uri="{FF2B5EF4-FFF2-40B4-BE49-F238E27FC236}">
              <a16:creationId xmlns:a16="http://schemas.microsoft.com/office/drawing/2014/main" id="{E8110FF6-C938-4A05-B2DB-A7FA42BA9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1750" y="12719050"/>
          <a:ext cx="263525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0</xdr:row>
      <xdr:rowOff>82550</xdr:rowOff>
    </xdr:from>
    <xdr:to>
      <xdr:col>8</xdr:col>
      <xdr:colOff>0</xdr:colOff>
      <xdr:row>2</xdr:row>
      <xdr:rowOff>196850</xdr:rowOff>
    </xdr:to>
    <xdr:pic>
      <xdr:nvPicPr>
        <xdr:cNvPr id="41245" name="Obrázek 8">
          <a:extLst>
            <a:ext uri="{FF2B5EF4-FFF2-40B4-BE49-F238E27FC236}">
              <a16:creationId xmlns:a16="http://schemas.microsoft.com/office/drawing/2014/main" id="{895E67B2-AB16-43EC-BCD7-898B4D6EE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9200" y="8255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165100</xdr:colOff>
      <xdr:row>122</xdr:row>
      <xdr:rowOff>146050</xdr:rowOff>
    </xdr:from>
    <xdr:to>
      <xdr:col>45</xdr:col>
      <xdr:colOff>247798</xdr:colOff>
      <xdr:row>134</xdr:row>
      <xdr:rowOff>57150</xdr:rowOff>
    </xdr:to>
    <xdr:pic>
      <xdr:nvPicPr>
        <xdr:cNvPr id="13" name="Obrázek 2">
          <a:extLst>
            <a:ext uri="{FF2B5EF4-FFF2-40B4-BE49-F238E27FC236}">
              <a16:creationId xmlns:a16="http://schemas.microsoft.com/office/drawing/2014/main" id="{90E928B3-55BA-4789-849A-DE4EF5383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3082250"/>
          <a:ext cx="2495698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95250</xdr:colOff>
      <xdr:row>100</xdr:row>
      <xdr:rowOff>44450</xdr:rowOff>
    </xdr:from>
    <xdr:to>
      <xdr:col>45</xdr:col>
      <xdr:colOff>590550</xdr:colOff>
      <xdr:row>110</xdr:row>
      <xdr:rowOff>215900</xdr:rowOff>
    </xdr:to>
    <xdr:pic>
      <xdr:nvPicPr>
        <xdr:cNvPr id="15" name="Obrázek 1">
          <a:extLst>
            <a:ext uri="{FF2B5EF4-FFF2-40B4-BE49-F238E27FC236}">
              <a16:creationId xmlns:a16="http://schemas.microsoft.com/office/drawing/2014/main" id="{D84F6621-9AAB-4742-89D4-2F34E6372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3150" y="18802350"/>
          <a:ext cx="2387600" cy="2063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431800</xdr:colOff>
      <xdr:row>126</xdr:row>
      <xdr:rowOff>114300</xdr:rowOff>
    </xdr:from>
    <xdr:to>
      <xdr:col>40</xdr:col>
      <xdr:colOff>234950</xdr:colOff>
      <xdr:row>134</xdr:row>
      <xdr:rowOff>153450</xdr:rowOff>
    </xdr:to>
    <xdr:pic>
      <xdr:nvPicPr>
        <xdr:cNvPr id="16" name="Obrázek 6">
          <a:extLst>
            <a:ext uri="{FF2B5EF4-FFF2-40B4-BE49-F238E27FC236}">
              <a16:creationId xmlns:a16="http://schemas.microsoft.com/office/drawing/2014/main" id="{ECCE9418-066E-4345-9A58-FDE2719F1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76100" y="23799800"/>
          <a:ext cx="742950" cy="145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43</xdr:row>
      <xdr:rowOff>19050</xdr:rowOff>
    </xdr:from>
    <xdr:to>
      <xdr:col>6</xdr:col>
      <xdr:colOff>187461</xdr:colOff>
      <xdr:row>55</xdr:row>
      <xdr:rowOff>82666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5C49DC4E-1695-418F-A11B-C47DE6F21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42925" y="8724900"/>
          <a:ext cx="2663961" cy="2263891"/>
        </a:xfrm>
        <a:prstGeom prst="rect">
          <a:avLst/>
        </a:prstGeom>
      </xdr:spPr>
    </xdr:pic>
    <xdr:clientData/>
  </xdr:twoCellAnchor>
  <xdr:twoCellAnchor editAs="oneCell">
    <xdr:from>
      <xdr:col>32</xdr:col>
      <xdr:colOff>219075</xdr:colOff>
      <xdr:row>123</xdr:row>
      <xdr:rowOff>146049</xdr:rowOff>
    </xdr:from>
    <xdr:to>
      <xdr:col>37</xdr:col>
      <xdr:colOff>37502</xdr:colOff>
      <xdr:row>134</xdr:row>
      <xdr:rowOff>130290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B177B86C-1DA9-432E-978D-4C4626799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011400" y="23682324"/>
          <a:ext cx="2342552" cy="1984491"/>
        </a:xfrm>
        <a:prstGeom prst="rect">
          <a:avLst/>
        </a:prstGeom>
      </xdr:spPr>
    </xdr:pic>
    <xdr:clientData/>
  </xdr:twoCellAnchor>
  <xdr:twoCellAnchor editAs="oneCell">
    <xdr:from>
      <xdr:col>20</xdr:col>
      <xdr:colOff>295275</xdr:colOff>
      <xdr:row>13</xdr:row>
      <xdr:rowOff>219075</xdr:rowOff>
    </xdr:from>
    <xdr:to>
      <xdr:col>20</xdr:col>
      <xdr:colOff>1207390</xdr:colOff>
      <xdr:row>25</xdr:row>
      <xdr:rowOff>97880</xdr:rowOff>
    </xdr:to>
    <xdr:pic>
      <xdr:nvPicPr>
        <xdr:cNvPr id="4" name="Obrázek 2">
          <a:extLst>
            <a:ext uri="{FF2B5EF4-FFF2-40B4-BE49-F238E27FC236}">
              <a16:creationId xmlns:a16="http://schemas.microsoft.com/office/drawing/2014/main" id="{4B1E571C-2CC6-438C-9ABB-D5A739CDA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144375" y="3095625"/>
          <a:ext cx="915290" cy="2231480"/>
        </a:xfrm>
        <a:prstGeom prst="rect">
          <a:avLst/>
        </a:prstGeom>
      </xdr:spPr>
    </xdr:pic>
    <xdr:clientData/>
  </xdr:twoCellAnchor>
  <xdr:twoCellAnchor editAs="oneCell">
    <xdr:from>
      <xdr:col>29</xdr:col>
      <xdr:colOff>85725</xdr:colOff>
      <xdr:row>124</xdr:row>
      <xdr:rowOff>95251</xdr:rowOff>
    </xdr:from>
    <xdr:to>
      <xdr:col>30</xdr:col>
      <xdr:colOff>392836</xdr:colOff>
      <xdr:row>135</xdr:row>
      <xdr:rowOff>76201</xdr:rowOff>
    </xdr:to>
    <xdr:pic>
      <xdr:nvPicPr>
        <xdr:cNvPr id="5" name="Obrázek 2">
          <a:extLst>
            <a:ext uri="{FF2B5EF4-FFF2-40B4-BE49-F238E27FC236}">
              <a16:creationId xmlns:a16="http://schemas.microsoft.com/office/drawing/2014/main" id="{C7D9CB07-4C85-4F22-89FF-B13F7536A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363575" y="23831551"/>
          <a:ext cx="808761" cy="19621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30</xdr:row>
      <xdr:rowOff>76200</xdr:rowOff>
    </xdr:from>
    <xdr:to>
      <xdr:col>1</xdr:col>
      <xdr:colOff>190500</xdr:colOff>
      <xdr:row>30</xdr:row>
      <xdr:rowOff>234950</xdr:rowOff>
    </xdr:to>
    <xdr:pic>
      <xdr:nvPicPr>
        <xdr:cNvPr id="38214" name="Obrázek 28" descr="Info.gif">
          <a:extLst>
            <a:ext uri="{FF2B5EF4-FFF2-40B4-BE49-F238E27FC236}">
              <a16:creationId xmlns:a16="http://schemas.microsoft.com/office/drawing/2014/main" id="{2CC9A053-0336-47CB-BFCE-9FB99FEC4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6708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82550</xdr:colOff>
      <xdr:row>55</xdr:row>
      <xdr:rowOff>19050</xdr:rowOff>
    </xdr:from>
    <xdr:to>
      <xdr:col>2</xdr:col>
      <xdr:colOff>0</xdr:colOff>
      <xdr:row>56</xdr:row>
      <xdr:rowOff>0</xdr:rowOff>
    </xdr:to>
    <xdr:pic>
      <xdr:nvPicPr>
        <xdr:cNvPr id="38215" name="Obrázek 28" descr="Info.gif">
          <a:extLst>
            <a:ext uri="{FF2B5EF4-FFF2-40B4-BE49-F238E27FC236}">
              <a16:creationId xmlns:a16="http://schemas.microsoft.com/office/drawing/2014/main" id="{D06F2591-55FD-4B45-B2D3-249CF39C6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59893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654050</xdr:colOff>
      <xdr:row>13</xdr:row>
      <xdr:rowOff>38100</xdr:rowOff>
    </xdr:from>
    <xdr:to>
      <xdr:col>23</xdr:col>
      <xdr:colOff>742950</xdr:colOff>
      <xdr:row>21</xdr:row>
      <xdr:rowOff>25400</xdr:rowOff>
    </xdr:to>
    <xdr:pic>
      <xdr:nvPicPr>
        <xdr:cNvPr id="38216" name="Obrázek 6">
          <a:extLst>
            <a:ext uri="{FF2B5EF4-FFF2-40B4-BE49-F238E27FC236}">
              <a16:creationId xmlns:a16="http://schemas.microsoft.com/office/drawing/2014/main" id="{E0DF67D3-EC64-4869-8E7A-D3393A4B6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200400"/>
          <a:ext cx="774700" cy="149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158750</xdr:colOff>
      <xdr:row>1</xdr:row>
      <xdr:rowOff>76200</xdr:rowOff>
    </xdr:from>
    <xdr:to>
      <xdr:col>23</xdr:col>
      <xdr:colOff>438150</xdr:colOff>
      <xdr:row>10</xdr:row>
      <xdr:rowOff>101600</xdr:rowOff>
    </xdr:to>
    <xdr:pic>
      <xdr:nvPicPr>
        <xdr:cNvPr id="38218" name="Obrázek 1">
          <a:extLst>
            <a:ext uri="{FF2B5EF4-FFF2-40B4-BE49-F238E27FC236}">
              <a16:creationId xmlns:a16="http://schemas.microsoft.com/office/drawing/2014/main" id="{519FB39A-E5DD-41CE-8F74-BB70A07A1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393700"/>
          <a:ext cx="2362200" cy="194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177800</xdr:colOff>
      <xdr:row>35</xdr:row>
      <xdr:rowOff>152400</xdr:rowOff>
    </xdr:from>
    <xdr:to>
      <xdr:col>22</xdr:col>
      <xdr:colOff>57150</xdr:colOff>
      <xdr:row>48</xdr:row>
      <xdr:rowOff>19050</xdr:rowOff>
    </xdr:to>
    <xdr:pic>
      <xdr:nvPicPr>
        <xdr:cNvPr id="38219" name="Obrázek 2">
          <a:extLst>
            <a:ext uri="{FF2B5EF4-FFF2-40B4-BE49-F238E27FC236}">
              <a16:creationId xmlns:a16="http://schemas.microsoft.com/office/drawing/2014/main" id="{CB43A495-453E-4C5F-8F54-52B146485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6200" y="12566650"/>
          <a:ext cx="2628900" cy="217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0</xdr:row>
      <xdr:rowOff>63500</xdr:rowOff>
    </xdr:from>
    <xdr:to>
      <xdr:col>8</xdr:col>
      <xdr:colOff>0</xdr:colOff>
      <xdr:row>2</xdr:row>
      <xdr:rowOff>196850</xdr:rowOff>
    </xdr:to>
    <xdr:pic>
      <xdr:nvPicPr>
        <xdr:cNvPr id="38221" name="Obrázek 6">
          <a:extLst>
            <a:ext uri="{FF2B5EF4-FFF2-40B4-BE49-F238E27FC236}">
              <a16:creationId xmlns:a16="http://schemas.microsoft.com/office/drawing/2014/main" id="{D87AB46B-5143-49E6-9DE9-59DC17FAB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0150" y="63500"/>
          <a:ext cx="6858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6350</xdr:colOff>
      <xdr:row>100</xdr:row>
      <xdr:rowOff>76201</xdr:rowOff>
    </xdr:from>
    <xdr:to>
      <xdr:col>45</xdr:col>
      <xdr:colOff>82550</xdr:colOff>
      <xdr:row>109</xdr:row>
      <xdr:rowOff>106893</xdr:rowOff>
    </xdr:to>
    <xdr:pic>
      <xdr:nvPicPr>
        <xdr:cNvPr id="9" name="Obrázek 1">
          <a:extLst>
            <a:ext uri="{FF2B5EF4-FFF2-40B4-BE49-F238E27FC236}">
              <a16:creationId xmlns:a16="http://schemas.microsoft.com/office/drawing/2014/main" id="{B0C2C231-2971-4D5C-B30F-794887BB0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30250" y="19742151"/>
          <a:ext cx="1968500" cy="1624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39</xdr:col>
      <xdr:colOff>838200</xdr:colOff>
      <xdr:row>126</xdr:row>
      <xdr:rowOff>38100</xdr:rowOff>
    </xdr:from>
    <xdr:ext cx="730250" cy="1424289"/>
    <xdr:pic>
      <xdr:nvPicPr>
        <xdr:cNvPr id="10" name="Obrázek 6">
          <a:extLst>
            <a:ext uri="{FF2B5EF4-FFF2-40B4-BE49-F238E27FC236}">
              <a16:creationId xmlns:a16="http://schemas.microsoft.com/office/drawing/2014/main" id="{C9D37EAC-7BE2-4734-9635-B079F4303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65750" y="24498300"/>
          <a:ext cx="730250" cy="1424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42</xdr:col>
      <xdr:colOff>374650</xdr:colOff>
      <xdr:row>125</xdr:row>
      <xdr:rowOff>12700</xdr:rowOff>
    </xdr:from>
    <xdr:to>
      <xdr:col>46</xdr:col>
      <xdr:colOff>6350</xdr:colOff>
      <xdr:row>135</xdr:row>
      <xdr:rowOff>7528</xdr:rowOff>
    </xdr:to>
    <xdr:pic>
      <xdr:nvPicPr>
        <xdr:cNvPr id="11" name="Obrázek 2">
          <a:extLst>
            <a:ext uri="{FF2B5EF4-FFF2-40B4-BE49-F238E27FC236}">
              <a16:creationId xmlns:a16="http://schemas.microsoft.com/office/drawing/2014/main" id="{5B6DE8D3-ACE9-47E2-B9B6-02905926A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35800" y="24295100"/>
          <a:ext cx="2152650" cy="17791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35</xdr:row>
      <xdr:rowOff>104775</xdr:rowOff>
    </xdr:from>
    <xdr:to>
      <xdr:col>6</xdr:col>
      <xdr:colOff>625475</xdr:colOff>
      <xdr:row>48</xdr:row>
      <xdr:rowOff>93525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80A558-7579-F27A-068C-1B45E425F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2900" y="7610475"/>
          <a:ext cx="3302000" cy="2341425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122</xdr:row>
      <xdr:rowOff>123826</xdr:rowOff>
    </xdr:from>
    <xdr:to>
      <xdr:col>34</xdr:col>
      <xdr:colOff>76200</xdr:colOff>
      <xdr:row>134</xdr:row>
      <xdr:rowOff>114410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137A554-482E-4869-B019-CC975A052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992850" y="24069676"/>
          <a:ext cx="3067050" cy="21813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30</xdr:row>
      <xdr:rowOff>101600</xdr:rowOff>
    </xdr:from>
    <xdr:to>
      <xdr:col>1</xdr:col>
      <xdr:colOff>228600</xdr:colOff>
      <xdr:row>30</xdr:row>
      <xdr:rowOff>254000</xdr:rowOff>
    </xdr:to>
    <xdr:pic>
      <xdr:nvPicPr>
        <xdr:cNvPr id="39244" name="Obrázek 28" descr="Info.gif">
          <a:extLst>
            <a:ext uri="{FF2B5EF4-FFF2-40B4-BE49-F238E27FC236}">
              <a16:creationId xmlns:a16="http://schemas.microsoft.com/office/drawing/2014/main" id="{5165DE99-4E66-43ED-A46A-8092E4020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0167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54</xdr:row>
      <xdr:rowOff>19050</xdr:rowOff>
    </xdr:from>
    <xdr:to>
      <xdr:col>1</xdr:col>
      <xdr:colOff>228600</xdr:colOff>
      <xdr:row>55</xdr:row>
      <xdr:rowOff>0</xdr:rowOff>
    </xdr:to>
    <xdr:pic>
      <xdr:nvPicPr>
        <xdr:cNvPr id="39245" name="Obrázek 28" descr="Info.gif">
          <a:extLst>
            <a:ext uri="{FF2B5EF4-FFF2-40B4-BE49-F238E27FC236}">
              <a16:creationId xmlns:a16="http://schemas.microsoft.com/office/drawing/2014/main" id="{925084EF-C668-4F54-A35F-14F1AE59E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9893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654050</xdr:colOff>
      <xdr:row>13</xdr:row>
      <xdr:rowOff>38100</xdr:rowOff>
    </xdr:from>
    <xdr:to>
      <xdr:col>23</xdr:col>
      <xdr:colOff>742950</xdr:colOff>
      <xdr:row>21</xdr:row>
      <xdr:rowOff>25400</xdr:rowOff>
    </xdr:to>
    <xdr:pic>
      <xdr:nvPicPr>
        <xdr:cNvPr id="39246" name="Obrázek 6">
          <a:extLst>
            <a:ext uri="{FF2B5EF4-FFF2-40B4-BE49-F238E27FC236}">
              <a16:creationId xmlns:a16="http://schemas.microsoft.com/office/drawing/2014/main" id="{11A0354B-CFF7-4FE5-9AD8-336CB7DE8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200400"/>
          <a:ext cx="774700" cy="149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95250</xdr:colOff>
      <xdr:row>12</xdr:row>
      <xdr:rowOff>12700</xdr:rowOff>
    </xdr:from>
    <xdr:to>
      <xdr:col>21</xdr:col>
      <xdr:colOff>952500</xdr:colOff>
      <xdr:row>23</xdr:row>
      <xdr:rowOff>63500</xdr:rowOff>
    </xdr:to>
    <xdr:pic>
      <xdr:nvPicPr>
        <xdr:cNvPr id="39247" name="Obrázek 1">
          <a:extLst>
            <a:ext uri="{FF2B5EF4-FFF2-40B4-BE49-F238E27FC236}">
              <a16:creationId xmlns:a16="http://schemas.microsoft.com/office/drawing/2014/main" id="{71A5D4D6-ED02-42B3-821F-8BF15B442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6200" y="2889250"/>
          <a:ext cx="857250" cy="212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107950</xdr:colOff>
      <xdr:row>2</xdr:row>
      <xdr:rowOff>101600</xdr:rowOff>
    </xdr:from>
    <xdr:to>
      <xdr:col>23</xdr:col>
      <xdr:colOff>419100</xdr:colOff>
      <xdr:row>11</xdr:row>
      <xdr:rowOff>152400</xdr:rowOff>
    </xdr:to>
    <xdr:pic>
      <xdr:nvPicPr>
        <xdr:cNvPr id="39248" name="Obrázek 1">
          <a:extLst>
            <a:ext uri="{FF2B5EF4-FFF2-40B4-BE49-F238E27FC236}">
              <a16:creationId xmlns:a16="http://schemas.microsoft.com/office/drawing/2014/main" id="{57C827EB-7C6B-4942-91CA-12F4F182D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647700"/>
          <a:ext cx="2393950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44450</xdr:colOff>
      <xdr:row>0</xdr:row>
      <xdr:rowOff>114300</xdr:rowOff>
    </xdr:from>
    <xdr:to>
      <xdr:col>8</xdr:col>
      <xdr:colOff>0</xdr:colOff>
      <xdr:row>2</xdr:row>
      <xdr:rowOff>196850</xdr:rowOff>
    </xdr:to>
    <xdr:pic>
      <xdr:nvPicPr>
        <xdr:cNvPr id="39249" name="Obrázek 7">
          <a:extLst>
            <a:ext uri="{FF2B5EF4-FFF2-40B4-BE49-F238E27FC236}">
              <a16:creationId xmlns:a16="http://schemas.microsoft.com/office/drawing/2014/main" id="{ECDFDAC4-2FD1-4982-B833-2F5CF2099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4600" y="114300"/>
          <a:ext cx="64135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196850</xdr:colOff>
      <xdr:row>34</xdr:row>
      <xdr:rowOff>171450</xdr:rowOff>
    </xdr:from>
    <xdr:to>
      <xdr:col>22</xdr:col>
      <xdr:colOff>76200</xdr:colOff>
      <xdr:row>47</xdr:row>
      <xdr:rowOff>38100</xdr:rowOff>
    </xdr:to>
    <xdr:pic>
      <xdr:nvPicPr>
        <xdr:cNvPr id="39250" name="Obrázek 2">
          <a:extLst>
            <a:ext uri="{FF2B5EF4-FFF2-40B4-BE49-F238E27FC236}">
              <a16:creationId xmlns:a16="http://schemas.microsoft.com/office/drawing/2014/main" id="{D5433312-849D-451C-AF06-202C008AC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250" y="12585700"/>
          <a:ext cx="2628900" cy="217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476250</xdr:colOff>
      <xdr:row>35</xdr:row>
      <xdr:rowOff>120650</xdr:rowOff>
    </xdr:from>
    <xdr:to>
      <xdr:col>5</xdr:col>
      <xdr:colOff>342900</xdr:colOff>
      <xdr:row>46</xdr:row>
      <xdr:rowOff>101600</xdr:rowOff>
    </xdr:to>
    <xdr:pic>
      <xdr:nvPicPr>
        <xdr:cNvPr id="39251" name="Obrázek 3">
          <a:extLst>
            <a:ext uri="{FF2B5EF4-FFF2-40B4-BE49-F238E27FC236}">
              <a16:creationId xmlns:a16="http://schemas.microsoft.com/office/drawing/2014/main" id="{D357B01B-7E3D-426B-A9F6-E1A4C6A92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400" y="12712700"/>
          <a:ext cx="1924050" cy="193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39</xdr:col>
      <xdr:colOff>838200</xdr:colOff>
      <xdr:row>126</xdr:row>
      <xdr:rowOff>38100</xdr:rowOff>
    </xdr:from>
    <xdr:ext cx="730250" cy="1424289"/>
    <xdr:pic>
      <xdr:nvPicPr>
        <xdr:cNvPr id="11" name="Obrázek 6">
          <a:extLst>
            <a:ext uri="{FF2B5EF4-FFF2-40B4-BE49-F238E27FC236}">
              <a16:creationId xmlns:a16="http://schemas.microsoft.com/office/drawing/2014/main" id="{25065B98-606D-426D-B2CB-02C5C39C3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65750" y="24472900"/>
          <a:ext cx="730250" cy="1424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42</xdr:col>
      <xdr:colOff>311150</xdr:colOff>
      <xdr:row>125</xdr:row>
      <xdr:rowOff>31750</xdr:rowOff>
    </xdr:from>
    <xdr:to>
      <xdr:col>45</xdr:col>
      <xdr:colOff>628650</xdr:colOff>
      <xdr:row>135</xdr:row>
      <xdr:rowOff>74915</xdr:rowOff>
    </xdr:to>
    <xdr:pic>
      <xdr:nvPicPr>
        <xdr:cNvPr id="14" name="Obrázek 2">
          <a:extLst>
            <a:ext uri="{FF2B5EF4-FFF2-40B4-BE49-F238E27FC236}">
              <a16:creationId xmlns:a16="http://schemas.microsoft.com/office/drawing/2014/main" id="{FBDE906F-9BD4-4A74-AE76-AC7F78F2E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1750" y="24206200"/>
          <a:ext cx="2203450" cy="1821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29</xdr:col>
      <xdr:colOff>114300</xdr:colOff>
      <xdr:row>123</xdr:row>
      <xdr:rowOff>25400</xdr:rowOff>
    </xdr:from>
    <xdr:ext cx="857250" cy="2127250"/>
    <xdr:pic>
      <xdr:nvPicPr>
        <xdr:cNvPr id="15" name="Obrázek 1">
          <a:extLst>
            <a:ext uri="{FF2B5EF4-FFF2-40B4-BE49-F238E27FC236}">
              <a16:creationId xmlns:a16="http://schemas.microsoft.com/office/drawing/2014/main" id="{CC0354B5-1365-401C-B63A-7DC0CB14A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0400" y="23825200"/>
          <a:ext cx="857250" cy="212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32</xdr:col>
      <xdr:colOff>393700</xdr:colOff>
      <xdr:row>123</xdr:row>
      <xdr:rowOff>57150</xdr:rowOff>
    </xdr:from>
    <xdr:ext cx="1905000" cy="1936750"/>
    <xdr:pic>
      <xdr:nvPicPr>
        <xdr:cNvPr id="16" name="Obrázek 3">
          <a:extLst>
            <a:ext uri="{FF2B5EF4-FFF2-40B4-BE49-F238E27FC236}">
              <a16:creationId xmlns:a16="http://schemas.microsoft.com/office/drawing/2014/main" id="{47C5E648-FA74-4164-BA98-360A620FC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23856950"/>
          <a:ext cx="1905000" cy="193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42</xdr:col>
      <xdr:colOff>63500</xdr:colOff>
      <xdr:row>99</xdr:row>
      <xdr:rowOff>12700</xdr:rowOff>
    </xdr:from>
    <xdr:to>
      <xdr:col>45</xdr:col>
      <xdr:colOff>571500</xdr:colOff>
      <xdr:row>109</xdr:row>
      <xdr:rowOff>152400</xdr:rowOff>
    </xdr:to>
    <xdr:pic>
      <xdr:nvPicPr>
        <xdr:cNvPr id="17" name="Obrázek 1">
          <a:extLst>
            <a:ext uri="{FF2B5EF4-FFF2-40B4-BE49-F238E27FC236}">
              <a16:creationId xmlns:a16="http://schemas.microsoft.com/office/drawing/2014/main" id="{D61EF92A-9F84-4AB7-B7A3-260BA7992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7900" y="19392900"/>
          <a:ext cx="2393950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39</xdr:row>
      <xdr:rowOff>139700</xdr:rowOff>
    </xdr:from>
    <xdr:to>
      <xdr:col>2</xdr:col>
      <xdr:colOff>66675</xdr:colOff>
      <xdr:row>40</xdr:row>
      <xdr:rowOff>219075</xdr:rowOff>
    </xdr:to>
    <xdr:pic>
      <xdr:nvPicPr>
        <xdr:cNvPr id="45087" name="Obrázek 20" descr="Notice.gif">
          <a:extLst>
            <a:ext uri="{FF2B5EF4-FFF2-40B4-BE49-F238E27FC236}">
              <a16:creationId xmlns:a16="http://schemas.microsoft.com/office/drawing/2014/main" id="{0424EE32-C2F9-4891-A736-467618BB1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8070850"/>
          <a:ext cx="25400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82550</xdr:colOff>
      <xdr:row>27</xdr:row>
      <xdr:rowOff>63500</xdr:rowOff>
    </xdr:from>
    <xdr:to>
      <xdr:col>2</xdr:col>
      <xdr:colOff>0</xdr:colOff>
      <xdr:row>28</xdr:row>
      <xdr:rowOff>47625</xdr:rowOff>
    </xdr:to>
    <xdr:pic>
      <xdr:nvPicPr>
        <xdr:cNvPr id="45088" name="Obrázek 28" descr="Info.gif">
          <a:extLst>
            <a:ext uri="{FF2B5EF4-FFF2-40B4-BE49-F238E27FC236}">
              <a16:creationId xmlns:a16="http://schemas.microsoft.com/office/drawing/2014/main" id="{72DFDF82-E3DA-4C66-AA11-12F54E8C2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4489450"/>
          <a:ext cx="1524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65</xdr:row>
      <xdr:rowOff>19050</xdr:rowOff>
    </xdr:from>
    <xdr:to>
      <xdr:col>1</xdr:col>
      <xdr:colOff>228600</xdr:colOff>
      <xdr:row>66</xdr:row>
      <xdr:rowOff>0</xdr:rowOff>
    </xdr:to>
    <xdr:pic>
      <xdr:nvPicPr>
        <xdr:cNvPr id="45089" name="Obrázek 28" descr="Info.gif">
          <a:extLst>
            <a:ext uri="{FF2B5EF4-FFF2-40B4-BE49-F238E27FC236}">
              <a16:creationId xmlns:a16="http://schemas.microsoft.com/office/drawing/2014/main" id="{F99A9BD0-D824-4969-9A2E-0D3932476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8084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580299</xdr:colOff>
      <xdr:row>13</xdr:row>
      <xdr:rowOff>114300</xdr:rowOff>
    </xdr:from>
    <xdr:to>
      <xdr:col>23</xdr:col>
      <xdr:colOff>695325</xdr:colOff>
      <xdr:row>21</xdr:row>
      <xdr:rowOff>76200</xdr:rowOff>
    </xdr:to>
    <xdr:pic>
      <xdr:nvPicPr>
        <xdr:cNvPr id="45090" name="Obrázek 6">
          <a:extLst>
            <a:ext uri="{FF2B5EF4-FFF2-40B4-BE49-F238E27FC236}">
              <a16:creationId xmlns:a16="http://schemas.microsoft.com/office/drawing/2014/main" id="{53DF7CE1-2524-48D3-B3E7-681CBCD2A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6499" y="3200400"/>
          <a:ext cx="797651" cy="155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641350</xdr:colOff>
      <xdr:row>0</xdr:row>
      <xdr:rowOff>19050</xdr:rowOff>
    </xdr:from>
    <xdr:to>
      <xdr:col>8</xdr:col>
      <xdr:colOff>0</xdr:colOff>
      <xdr:row>2</xdr:row>
      <xdr:rowOff>190500</xdr:rowOff>
    </xdr:to>
    <xdr:pic>
      <xdr:nvPicPr>
        <xdr:cNvPr id="45091" name="Obrázek 1">
          <a:extLst>
            <a:ext uri="{FF2B5EF4-FFF2-40B4-BE49-F238E27FC236}">
              <a16:creationId xmlns:a16="http://schemas.microsoft.com/office/drawing/2014/main" id="{1853DD07-4848-4DDC-BDAC-61DCEE8A8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9050"/>
          <a:ext cx="723900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342900</xdr:colOff>
      <xdr:row>1</xdr:row>
      <xdr:rowOff>133350</xdr:rowOff>
    </xdr:from>
    <xdr:to>
      <xdr:col>23</xdr:col>
      <xdr:colOff>676275</xdr:colOff>
      <xdr:row>10</xdr:row>
      <xdr:rowOff>161925</xdr:rowOff>
    </xdr:to>
    <xdr:pic>
      <xdr:nvPicPr>
        <xdr:cNvPr id="45092" name="Obrázek 2">
          <a:extLst>
            <a:ext uri="{FF2B5EF4-FFF2-40B4-BE49-F238E27FC236}">
              <a16:creationId xmlns:a16="http://schemas.microsoft.com/office/drawing/2014/main" id="{06F16A07-3697-45D1-B372-9CFB3A884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9650" y="450850"/>
          <a:ext cx="2413000" cy="194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177800</xdr:colOff>
      <xdr:row>45</xdr:row>
      <xdr:rowOff>101600</xdr:rowOff>
    </xdr:from>
    <xdr:to>
      <xdr:col>22</xdr:col>
      <xdr:colOff>47625</xdr:colOff>
      <xdr:row>57</xdr:row>
      <xdr:rowOff>152400</xdr:rowOff>
    </xdr:to>
    <xdr:pic>
      <xdr:nvPicPr>
        <xdr:cNvPr id="45093" name="Obrázek 3">
          <a:extLst>
            <a:ext uri="{FF2B5EF4-FFF2-40B4-BE49-F238E27FC236}">
              <a16:creationId xmlns:a16="http://schemas.microsoft.com/office/drawing/2014/main" id="{E7534EDB-7A2B-412E-A84B-267C7E4B7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0" y="13335000"/>
          <a:ext cx="26289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647700</xdr:colOff>
      <xdr:row>46</xdr:row>
      <xdr:rowOff>82550</xdr:rowOff>
    </xdr:from>
    <xdr:to>
      <xdr:col>5</xdr:col>
      <xdr:colOff>447675</xdr:colOff>
      <xdr:row>57</xdr:row>
      <xdr:rowOff>19050</xdr:rowOff>
    </xdr:to>
    <xdr:pic>
      <xdr:nvPicPr>
        <xdr:cNvPr id="45094" name="Obrázek 4">
          <a:extLst>
            <a:ext uri="{FF2B5EF4-FFF2-40B4-BE49-F238E27FC236}">
              <a16:creationId xmlns:a16="http://schemas.microsoft.com/office/drawing/2014/main" id="{4EE5DF5F-C3BB-4C91-9374-BE53E4F2E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850" y="13493750"/>
          <a:ext cx="1854200" cy="189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36</xdr:row>
      <xdr:rowOff>31750</xdr:rowOff>
    </xdr:from>
    <xdr:to>
      <xdr:col>1</xdr:col>
      <xdr:colOff>200025</xdr:colOff>
      <xdr:row>37</xdr:row>
      <xdr:rowOff>19050</xdr:rowOff>
    </xdr:to>
    <xdr:pic>
      <xdr:nvPicPr>
        <xdr:cNvPr id="10" name="Obrázek 28" descr="Info.gif">
          <a:extLst>
            <a:ext uri="{FF2B5EF4-FFF2-40B4-BE49-F238E27FC236}">
              <a16:creationId xmlns:a16="http://schemas.microsoft.com/office/drawing/2014/main" id="{0CC0CD99-1FE4-4A6F-90D0-A341EA1D3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7429500"/>
          <a:ext cx="1524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39</xdr:col>
      <xdr:colOff>838200</xdr:colOff>
      <xdr:row>128</xdr:row>
      <xdr:rowOff>38100</xdr:rowOff>
    </xdr:from>
    <xdr:ext cx="730250" cy="1424289"/>
    <xdr:pic>
      <xdr:nvPicPr>
        <xdr:cNvPr id="11" name="Obrázek 6">
          <a:extLst>
            <a:ext uri="{FF2B5EF4-FFF2-40B4-BE49-F238E27FC236}">
              <a16:creationId xmlns:a16="http://schemas.microsoft.com/office/drawing/2014/main" id="{B37C7762-BBBC-4C90-B865-C099C456B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19000" y="24390350"/>
          <a:ext cx="730250" cy="1424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42</xdr:col>
      <xdr:colOff>6350</xdr:colOff>
      <xdr:row>99</xdr:row>
      <xdr:rowOff>44450</xdr:rowOff>
    </xdr:from>
    <xdr:to>
      <xdr:col>45</xdr:col>
      <xdr:colOff>381000</xdr:colOff>
      <xdr:row>109</xdr:row>
      <xdr:rowOff>45152</xdr:rowOff>
    </xdr:to>
    <xdr:pic>
      <xdr:nvPicPr>
        <xdr:cNvPr id="15" name="Obrázek 2">
          <a:extLst>
            <a:ext uri="{FF2B5EF4-FFF2-40B4-BE49-F238E27FC236}">
              <a16:creationId xmlns:a16="http://schemas.microsoft.com/office/drawing/2014/main" id="{2C93044C-289C-4547-9EE0-368F1AF8D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58800" y="21101050"/>
          <a:ext cx="2260600" cy="1826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114300</xdr:colOff>
      <xdr:row>126</xdr:row>
      <xdr:rowOff>171450</xdr:rowOff>
    </xdr:from>
    <xdr:to>
      <xdr:col>45</xdr:col>
      <xdr:colOff>361950</xdr:colOff>
      <xdr:row>136</xdr:row>
      <xdr:rowOff>163121</xdr:rowOff>
    </xdr:to>
    <xdr:pic>
      <xdr:nvPicPr>
        <xdr:cNvPr id="16" name="Obrázek 3">
          <a:extLst>
            <a:ext uri="{FF2B5EF4-FFF2-40B4-BE49-F238E27FC236}">
              <a16:creationId xmlns:a16="http://schemas.microsoft.com/office/drawing/2014/main" id="{06F1DAA2-F21A-4DC7-90F1-EFCACF347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66750" y="23660100"/>
          <a:ext cx="2133600" cy="1772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463550</xdr:colOff>
      <xdr:row>125</xdr:row>
      <xdr:rowOff>31750</xdr:rowOff>
    </xdr:from>
    <xdr:to>
      <xdr:col>36</xdr:col>
      <xdr:colOff>266700</xdr:colOff>
      <xdr:row>135</xdr:row>
      <xdr:rowOff>123825</xdr:rowOff>
    </xdr:to>
    <xdr:pic>
      <xdr:nvPicPr>
        <xdr:cNvPr id="17" name="Obrázek 4">
          <a:extLst>
            <a:ext uri="{FF2B5EF4-FFF2-40B4-BE49-F238E27FC236}">
              <a16:creationId xmlns:a16="http://schemas.microsoft.com/office/drawing/2014/main" id="{C20E95A2-FF27-4244-A563-18054F3D6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0" y="25755600"/>
          <a:ext cx="1835150" cy="189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253106</xdr:colOff>
      <xdr:row>125</xdr:row>
      <xdr:rowOff>44451</xdr:rowOff>
    </xdr:from>
    <xdr:to>
      <xdr:col>30</xdr:col>
      <xdr:colOff>408328</xdr:colOff>
      <xdr:row>136</xdr:row>
      <xdr:rowOff>133351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2FE7FCF-06D8-4F49-A241-B9D7530D7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03056" y="25768301"/>
          <a:ext cx="1168047" cy="2063750"/>
        </a:xfrm>
        <a:prstGeom prst="rect">
          <a:avLst/>
        </a:prstGeom>
      </xdr:spPr>
    </xdr:pic>
    <xdr:clientData/>
  </xdr:twoCellAnchor>
  <xdr:twoCellAnchor editAs="oneCell">
    <xdr:from>
      <xdr:col>20</xdr:col>
      <xdr:colOff>1342736</xdr:colOff>
      <xdr:row>12</xdr:row>
      <xdr:rowOff>6351</xdr:rowOff>
    </xdr:from>
    <xdr:to>
      <xdr:col>21</xdr:col>
      <xdr:colOff>1266472</xdr:colOff>
      <xdr:row>23</xdr:row>
      <xdr:rowOff>76201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9C1BE8E1-3C8A-4D02-884D-FE5A080F9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036" y="2882901"/>
          <a:ext cx="1279461" cy="226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DDC188B-78C8-419F-8109-D848E5874581}">
  <we:reference id="22ff87a5-132f-4d52-9e97-94d888e4dd91" version="3.6.0.0" store="EXCatalog" storeType="EXCatalog"/>
  <we:alternateReferences>
    <we:reference id="WA104380050" version="3.6.0.0" store="de-AT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"/>
  <sheetViews>
    <sheetView showGridLines="0" showRowColHeaders="0" tabSelected="1" workbookViewId="0">
      <selection activeCell="H16" sqref="H16"/>
    </sheetView>
  </sheetViews>
  <sheetFormatPr defaultRowHeight="14" x14ac:dyDescent="0.3"/>
  <cols>
    <col min="1" max="1" width="4.25" customWidth="1"/>
    <col min="2" max="4" width="25" customWidth="1"/>
    <col min="5" max="5" width="4.5" customWidth="1"/>
  </cols>
  <sheetData>
    <row r="1" spans="2:4" ht="6" customHeight="1" x14ac:dyDescent="0.3"/>
    <row r="2" spans="2:4" ht="28.5" customHeight="1" x14ac:dyDescent="0.5">
      <c r="B2" s="69" t="s">
        <v>0</v>
      </c>
    </row>
    <row r="3" spans="2:4" ht="28.5" customHeight="1" x14ac:dyDescent="0.3">
      <c r="B3" s="74" t="s">
        <v>1</v>
      </c>
    </row>
    <row r="4" spans="2:4" x14ac:dyDescent="0.3">
      <c r="B4" s="220" t="s">
        <v>665</v>
      </c>
    </row>
    <row r="14" spans="2:4" ht="25" x14ac:dyDescent="0.5">
      <c r="B14" s="223"/>
    </row>
    <row r="15" spans="2:4" ht="27" customHeight="1" x14ac:dyDescent="0.3">
      <c r="B15" s="300" t="s">
        <v>3</v>
      </c>
      <c r="C15" s="300"/>
      <c r="D15" s="300"/>
    </row>
    <row r="16" spans="2:4" ht="24.75" customHeight="1" x14ac:dyDescent="0.3">
      <c r="B16" s="198" t="s">
        <v>4</v>
      </c>
      <c r="C16" s="198" t="s">
        <v>5</v>
      </c>
      <c r="D16" s="198" t="s">
        <v>6</v>
      </c>
    </row>
    <row r="17" spans="2:4" x14ac:dyDescent="0.3">
      <c r="B17" s="20"/>
      <c r="C17" s="20"/>
      <c r="D17" s="20"/>
    </row>
    <row r="19" spans="2:4" ht="44.25" customHeight="1" x14ac:dyDescent="0.3">
      <c r="B19" s="301" t="s">
        <v>7</v>
      </c>
      <c r="C19" s="301"/>
      <c r="D19" s="301"/>
    </row>
    <row r="21" spans="2:4" x14ac:dyDescent="0.3">
      <c r="B21" t="s">
        <v>8</v>
      </c>
    </row>
    <row r="100" spans="1:8" x14ac:dyDescent="0.3">
      <c r="A100" s="219"/>
      <c r="B100" s="219" t="s">
        <v>9</v>
      </c>
      <c r="C100" s="219"/>
      <c r="D100" s="219"/>
      <c r="E100" s="219"/>
      <c r="F100" s="219"/>
      <c r="G100" s="219"/>
      <c r="H100" s="219"/>
    </row>
    <row r="101" spans="1:8" ht="25" customHeight="1" x14ac:dyDescent="0.3">
      <c r="B101" t="s">
        <v>2</v>
      </c>
    </row>
    <row r="102" spans="1:8" ht="7.5" customHeight="1" x14ac:dyDescent="0.3"/>
    <row r="103" spans="1:8" x14ac:dyDescent="0.3">
      <c r="A103" s="114" t="s">
        <v>10</v>
      </c>
      <c r="B103" t="s">
        <v>11</v>
      </c>
    </row>
    <row r="104" spans="1:8" x14ac:dyDescent="0.3">
      <c r="A104" s="114" t="s">
        <v>10</v>
      </c>
      <c r="B104" t="s">
        <v>12</v>
      </c>
    </row>
    <row r="105" spans="1:8" x14ac:dyDescent="0.3">
      <c r="A105" s="114" t="s">
        <v>10</v>
      </c>
      <c r="B105" t="s">
        <v>13</v>
      </c>
    </row>
    <row r="106" spans="1:8" x14ac:dyDescent="0.3">
      <c r="A106" s="114" t="s">
        <v>10</v>
      </c>
      <c r="B106" t="s">
        <v>14</v>
      </c>
    </row>
    <row r="107" spans="1:8" x14ac:dyDescent="0.3">
      <c r="A107" s="114" t="s">
        <v>10</v>
      </c>
      <c r="B107" t="s">
        <v>15</v>
      </c>
    </row>
    <row r="108" spans="1:8" x14ac:dyDescent="0.3">
      <c r="A108" s="219"/>
      <c r="B108" s="219"/>
      <c r="C108" s="219"/>
      <c r="D108" s="219"/>
      <c r="E108" s="219"/>
      <c r="F108" s="219"/>
      <c r="G108" s="219"/>
      <c r="H108" s="219"/>
    </row>
    <row r="109" spans="1:8" ht="25" customHeight="1" x14ac:dyDescent="0.3">
      <c r="B109" t="s">
        <v>549</v>
      </c>
    </row>
    <row r="110" spans="1:8" ht="8.5" customHeight="1" x14ac:dyDescent="0.3"/>
    <row r="111" spans="1:8" x14ac:dyDescent="0.3">
      <c r="A111" s="114" t="s">
        <v>10</v>
      </c>
      <c r="B111" t="s">
        <v>550</v>
      </c>
    </row>
    <row r="112" spans="1:8" x14ac:dyDescent="0.3">
      <c r="A112" s="114" t="s">
        <v>10</v>
      </c>
      <c r="B112" t="s">
        <v>551</v>
      </c>
    </row>
    <row r="113" spans="1:8" x14ac:dyDescent="0.3">
      <c r="A113" s="114" t="s">
        <v>10</v>
      </c>
    </row>
    <row r="114" spans="1:8" x14ac:dyDescent="0.3">
      <c r="A114" s="219"/>
      <c r="B114" s="219"/>
      <c r="C114" s="219"/>
      <c r="D114" s="219"/>
      <c r="E114" s="219"/>
      <c r="F114" s="219"/>
      <c r="G114" s="219"/>
      <c r="H114" s="219"/>
    </row>
    <row r="116" spans="1:8" x14ac:dyDescent="0.3">
      <c r="B116" t="s">
        <v>552</v>
      </c>
    </row>
    <row r="118" spans="1:8" x14ac:dyDescent="0.3">
      <c r="A118" s="114" t="s">
        <v>10</v>
      </c>
      <c r="B118" t="s">
        <v>553</v>
      </c>
    </row>
    <row r="119" spans="1:8" x14ac:dyDescent="0.3">
      <c r="A119" s="114" t="s">
        <v>10</v>
      </c>
      <c r="B119" t="s">
        <v>554</v>
      </c>
    </row>
    <row r="120" spans="1:8" x14ac:dyDescent="0.3">
      <c r="A120" s="219"/>
      <c r="B120" s="219"/>
      <c r="C120" s="219"/>
      <c r="D120" s="219"/>
      <c r="E120" s="219"/>
      <c r="F120" s="219"/>
      <c r="G120" s="219"/>
      <c r="H120" s="219"/>
    </row>
    <row r="122" spans="1:8" x14ac:dyDescent="0.3">
      <c r="B122" t="s">
        <v>593</v>
      </c>
    </row>
    <row r="124" spans="1:8" x14ac:dyDescent="0.3">
      <c r="A124" s="114" t="s">
        <v>10</v>
      </c>
      <c r="B124" t="s">
        <v>594</v>
      </c>
    </row>
    <row r="125" spans="1:8" x14ac:dyDescent="0.3">
      <c r="A125" s="114" t="s">
        <v>10</v>
      </c>
      <c r="B125" t="s">
        <v>15</v>
      </c>
    </row>
    <row r="126" spans="1:8" x14ac:dyDescent="0.3">
      <c r="A126" s="219"/>
      <c r="B126" s="219"/>
      <c r="C126" s="219"/>
      <c r="D126" s="219"/>
      <c r="E126" s="219"/>
      <c r="F126" s="219"/>
      <c r="G126" s="219"/>
      <c r="H126" s="219"/>
    </row>
    <row r="128" spans="1:8" x14ac:dyDescent="0.3">
      <c r="B128" t="s">
        <v>665</v>
      </c>
    </row>
    <row r="130" spans="1:2" x14ac:dyDescent="0.3">
      <c r="A130" s="114" t="s">
        <v>10</v>
      </c>
      <c r="B130" t="s">
        <v>666</v>
      </c>
    </row>
    <row r="131" spans="1:2" x14ac:dyDescent="0.3">
      <c r="A131" s="114" t="s">
        <v>10</v>
      </c>
      <c r="B131" t="s">
        <v>15</v>
      </c>
    </row>
  </sheetData>
  <sheetProtection algorithmName="SHA-512" hashValue="O42Xp1o2OJX5YJlASPggkyyRbBq/7obVULrjpZKXzS0L9ms7RT27wxvZDQAo1mbVmX1XLN3IQAADznZ+XS4TeQ==" saltValue="7aMLuYvn/g7MzuGWm5CQTQ==" spinCount="100000" sheet="1" objects="1" scenarios="1"/>
  <mergeCells count="2">
    <mergeCell ref="B15:D15"/>
    <mergeCell ref="B19:D19"/>
  </mergeCells>
  <hyperlinks>
    <hyperlink ref="B16" location="AVS!A1" tooltip="Zpracování výklopů AVENTOS" display="AVENTOS" xr:uid="{00000000-0004-0000-0000-000000000000}"/>
    <hyperlink ref="C16" location="BOX!A1" tooltip=" " display="Výsuvy" xr:uid="{00000000-0004-0000-0000-000001000000}"/>
    <hyperlink ref="D16" location="STR!A1" tooltip=" " display="Potravinové skříně" xr:uid="{00000000-0004-0000-0000-000002000000}"/>
    <hyperlink ref="B4" location="Uvod!A110" tooltip="Popis změn" display="Verze 3.1.0" xr:uid="{00EDAEC8-B2FA-4CCA-9053-2254E12B0C30}"/>
  </hyperlinks>
  <pageMargins left="0.51181102362204722" right="0.51181102362204722" top="0.78740157480314965" bottom="0.78740157480314965" header="0.31496062992125984" footer="0.31496062992125984"/>
  <pageSetup paperSize="9" orientation="portrait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A4AEA-2986-4E89-8A6D-157D5D8AF66B}">
  <sheetPr>
    <tabColor theme="5" tint="0.39997558519241921"/>
  </sheetPr>
  <dimension ref="A1:AT139"/>
  <sheetViews>
    <sheetView showGridLines="0" showRowColHeaders="0" workbookViewId="0">
      <selection activeCell="C13" sqref="C13:C14"/>
    </sheetView>
  </sheetViews>
  <sheetFormatPr defaultColWidth="8.9140625" defaultRowHeight="14" x14ac:dyDescent="0.3"/>
  <cols>
    <col min="1" max="1" width="1" style="2" customWidth="1"/>
    <col min="2" max="2" width="3.08203125" style="2" customWidth="1"/>
    <col min="3" max="3" width="8.9140625" style="2" customWidth="1"/>
    <col min="4" max="6" width="8.9140625" style="2"/>
    <col min="7" max="7" width="8.9140625" style="2" customWidth="1"/>
    <col min="8" max="8" width="8.9140625" style="2"/>
    <col min="9" max="9" width="0.75" style="2" customWidth="1"/>
    <col min="10" max="10" width="6.5" style="2" customWidth="1"/>
    <col min="11" max="11" width="11" style="2" hidden="1" customWidth="1"/>
    <col min="12" max="20" width="8.9140625" style="2" hidden="1" customWidth="1"/>
    <col min="21" max="21" width="17.75" style="2" customWidth="1"/>
    <col min="22" max="22" width="18.4140625" style="2" customWidth="1"/>
    <col min="23" max="23" width="8.9140625" style="2" customWidth="1"/>
    <col min="24" max="24" width="10.08203125" style="2" customWidth="1"/>
    <col min="25" max="25" width="1.25" style="2" customWidth="1"/>
    <col min="26" max="26" width="19.08203125" style="2" customWidth="1"/>
    <col min="27" max="28" width="8.9140625" style="2"/>
    <col min="29" max="37" width="6.58203125" style="2" customWidth="1"/>
    <col min="38" max="38" width="1.08203125" style="2" customWidth="1"/>
    <col min="39" max="39" width="6.58203125" style="2" customWidth="1"/>
    <col min="40" max="40" width="12.25" style="2" customWidth="1"/>
    <col min="41" max="41" width="8.9140625" style="2"/>
    <col min="42" max="42" width="6.83203125" style="2" customWidth="1"/>
    <col min="43" max="43" width="9.4140625" style="2" customWidth="1"/>
    <col min="44" max="44" width="5.9140625" style="2" customWidth="1"/>
    <col min="45" max="45" width="9.33203125" style="2" customWidth="1"/>
    <col min="46" max="46" width="8.33203125" style="2" customWidth="1"/>
    <col min="47" max="48" width="8.9140625" style="2"/>
    <col min="49" max="49" width="3.08203125" style="2" customWidth="1"/>
    <col min="50" max="16384" width="8.9140625" style="2"/>
  </cols>
  <sheetData>
    <row r="1" spans="2:26" ht="25" x14ac:dyDescent="0.5">
      <c r="C1" s="1" t="s">
        <v>558</v>
      </c>
      <c r="Z1" s="226" t="s">
        <v>22</v>
      </c>
    </row>
    <row r="2" spans="2:26" ht="18" customHeight="1" x14ac:dyDescent="0.4">
      <c r="B2" s="22"/>
      <c r="U2" s="227"/>
      <c r="W2" s="224"/>
      <c r="X2" s="224"/>
    </row>
    <row r="3" spans="2:26" ht="18" customHeight="1" x14ac:dyDescent="0.3">
      <c r="B3" s="6"/>
      <c r="C3" s="17" t="s">
        <v>23</v>
      </c>
      <c r="D3" s="17"/>
      <c r="E3" s="17"/>
      <c r="F3" s="17"/>
      <c r="G3" s="17"/>
      <c r="H3" s="17"/>
      <c r="K3" s="9" t="s">
        <v>24</v>
      </c>
      <c r="L3" s="30">
        <f>IF(AND(L4=1, L5=1, L6=1, L7=1, L8=1, L9=1, L10=1),1,2)</f>
        <v>2</v>
      </c>
      <c r="M3" s="31" t="s">
        <v>25</v>
      </c>
      <c r="W3" s="50"/>
      <c r="X3" s="50"/>
    </row>
    <row r="4" spans="2:26" ht="16.5" customHeight="1" x14ac:dyDescent="0.3">
      <c r="B4" s="6"/>
      <c r="C4" s="78"/>
      <c r="D4" s="304" t="s">
        <v>26</v>
      </c>
      <c r="E4" s="304"/>
      <c r="F4" s="304"/>
      <c r="G4" s="304"/>
      <c r="H4" s="304"/>
      <c r="J4" s="12" t="str">
        <f>IF($C$4&lt;186, "Minimálně 166 mm!", IF($C$4&gt;600, "Maximálně 600 mm!", " "))</f>
        <v>Minimálně 166 mm!</v>
      </c>
      <c r="L4" s="63">
        <f>IF(OR(C4&lt;166, C4&gt;600), 2, 1)</f>
        <v>2</v>
      </c>
      <c r="M4" s="31" t="s">
        <v>27</v>
      </c>
    </row>
    <row r="5" spans="2:26" ht="16.5" customHeight="1" x14ac:dyDescent="0.3">
      <c r="B5" s="6"/>
      <c r="C5" s="78"/>
      <c r="D5" s="304" t="s">
        <v>28</v>
      </c>
      <c r="E5" s="304"/>
      <c r="F5" s="304"/>
      <c r="G5" s="304"/>
      <c r="H5" s="304"/>
      <c r="J5" s="12" t="str">
        <f>IF(C5&lt;200, "Minimálně 200 mm!", " ")</f>
        <v>Minimálně 200 mm!</v>
      </c>
      <c r="L5" s="63">
        <f>IF(C5&lt;200, 2, 1)</f>
        <v>2</v>
      </c>
      <c r="M5" s="167" t="s">
        <v>29</v>
      </c>
      <c r="N5" s="152">
        <f>IF(OR(S15&lt;P22, S15&gt;Q25), 2, 1)</f>
        <v>2</v>
      </c>
    </row>
    <row r="6" spans="2:26" ht="16.5" customHeight="1" x14ac:dyDescent="0.3">
      <c r="B6" s="6"/>
      <c r="C6" s="78"/>
      <c r="D6" s="304" t="s">
        <v>30</v>
      </c>
      <c r="E6" s="304"/>
      <c r="F6" s="304"/>
      <c r="G6" s="304"/>
      <c r="H6" s="304"/>
      <c r="J6" s="12" t="str">
        <f>IF(C6&lt;16,"Minimálně 16 mm!", IF(C6&gt;22, "Maximálně 22 mm!", " "))</f>
        <v>Minimálně 16 mm!</v>
      </c>
      <c r="L6" s="63">
        <f>IF(OR($C$6&lt;14, $C$6&gt;22), 2, 1)</f>
        <v>2</v>
      </c>
      <c r="W6" s="224"/>
      <c r="X6" s="224"/>
    </row>
    <row r="7" spans="2:26" ht="16.5" customHeight="1" x14ac:dyDescent="0.3">
      <c r="B7" s="6"/>
      <c r="C7" s="78"/>
      <c r="D7" s="304" t="s">
        <v>31</v>
      </c>
      <c r="E7" s="304"/>
      <c r="F7" s="304"/>
      <c r="G7" s="304"/>
      <c r="H7" s="304"/>
      <c r="J7" s="12" t="str">
        <f>IF(C7&lt;16,"Minimálně 16 mm!"," ")</f>
        <v>Minimálně 16 mm!</v>
      </c>
      <c r="L7" s="63">
        <f>IF(C7&lt;14, 2, 1)</f>
        <v>2</v>
      </c>
      <c r="W7" s="224"/>
      <c r="X7" s="224"/>
    </row>
    <row r="8" spans="2:26" ht="16.5" customHeight="1" x14ac:dyDescent="0.3">
      <c r="B8" s="6"/>
      <c r="C8" s="78"/>
      <c r="D8" s="304" t="s">
        <v>109</v>
      </c>
      <c r="E8" s="304"/>
      <c r="F8" s="304"/>
      <c r="G8" s="304"/>
      <c r="H8" s="304"/>
      <c r="J8" s="12" t="str">
        <f>IF(AND($C$6&gt;0,$C8&lt;2),"Minimálně 2 mm!"," ")</f>
        <v xml:space="preserve"> </v>
      </c>
      <c r="L8" s="63">
        <f>IF(C8&gt;$C$6, 2, 1)</f>
        <v>1</v>
      </c>
      <c r="W8" s="224"/>
      <c r="X8" s="224"/>
    </row>
    <row r="9" spans="2:26" ht="16.5" customHeight="1" x14ac:dyDescent="0.3">
      <c r="B9" s="6"/>
      <c r="C9" s="78"/>
      <c r="D9" s="304" t="s">
        <v>34</v>
      </c>
      <c r="E9" s="304"/>
      <c r="F9" s="304"/>
      <c r="G9" s="304"/>
      <c r="H9" s="304"/>
      <c r="J9" s="12" t="str">
        <f>IF(AND($C$6&gt;0,$C9&lt;2),"Minimálně 2 mm!"," ")</f>
        <v xml:space="preserve"> </v>
      </c>
      <c r="L9" s="63">
        <f>IF(C9&gt;$C$6, 2, 1)</f>
        <v>1</v>
      </c>
      <c r="W9" s="224"/>
      <c r="X9" s="224"/>
    </row>
    <row r="10" spans="2:26" ht="16.5" customHeight="1" x14ac:dyDescent="0.3">
      <c r="B10" s="6"/>
      <c r="C10" s="78"/>
      <c r="D10" s="304" t="s">
        <v>35</v>
      </c>
      <c r="E10" s="304"/>
      <c r="F10" s="304"/>
      <c r="G10" s="304"/>
      <c r="H10" s="304"/>
      <c r="J10" s="12" t="str">
        <f>IF(AND($C$7&gt;0,$C10&gt;2),"Maximálně 2 mm!"," ")</f>
        <v xml:space="preserve"> </v>
      </c>
      <c r="L10" s="63">
        <f>IF(C10&gt;2, 2, 1)</f>
        <v>1</v>
      </c>
      <c r="W10" s="46"/>
      <c r="X10" s="46"/>
    </row>
    <row r="11" spans="2:26" ht="17.25" customHeight="1" x14ac:dyDescent="0.3">
      <c r="C11" s="44" t="str">
        <f>IF(L3=2, "Vyplňte správně všechny parametry!"," ")</f>
        <v>Vyplňte správně všechny parametry!</v>
      </c>
      <c r="L11" s="63"/>
      <c r="M11" s="63"/>
      <c r="N11" s="63"/>
      <c r="O11" s="63"/>
      <c r="P11" s="63"/>
      <c r="Q11" s="63"/>
      <c r="W11" s="224"/>
      <c r="X11" s="224"/>
    </row>
    <row r="12" spans="2:26" ht="33" customHeight="1" x14ac:dyDescent="0.3">
      <c r="C12" s="2" t="s">
        <v>132</v>
      </c>
      <c r="L12" s="63"/>
      <c r="M12" s="63"/>
      <c r="N12" s="63"/>
      <c r="O12" s="63"/>
      <c r="P12" s="63"/>
      <c r="Q12" s="63"/>
    </row>
    <row r="13" spans="2:26" ht="16.5" customHeight="1" x14ac:dyDescent="0.3">
      <c r="B13" s="26"/>
      <c r="C13" s="78"/>
      <c r="D13" s="304" t="s">
        <v>671</v>
      </c>
      <c r="E13" s="304"/>
      <c r="F13" s="304"/>
      <c r="G13" s="304"/>
      <c r="H13" s="304"/>
      <c r="J13" s="18" t="str">
        <f>IF(C13&gt;26, "Maximálně 26 mm!", " ")</f>
        <v xml:space="preserve"> </v>
      </c>
      <c r="L13" s="63"/>
      <c r="M13" s="63"/>
      <c r="N13" s="33" t="s">
        <v>562</v>
      </c>
      <c r="O13" s="29"/>
      <c r="P13" s="63"/>
      <c r="W13" s="9" t="s">
        <v>121</v>
      </c>
      <c r="X13" s="5">
        <f>$C$31</f>
        <v>0</v>
      </c>
    </row>
    <row r="14" spans="2:26" ht="16.5" customHeight="1" x14ac:dyDescent="0.3">
      <c r="B14" s="26"/>
      <c r="C14" s="79"/>
      <c r="D14" s="311" t="s">
        <v>40</v>
      </c>
      <c r="E14" s="312"/>
      <c r="F14" s="312"/>
      <c r="G14" s="312"/>
      <c r="H14" s="313"/>
      <c r="L14" s="63"/>
      <c r="M14" s="9" t="s">
        <v>72</v>
      </c>
      <c r="N14" s="34"/>
      <c r="O14" s="63"/>
      <c r="P14" s="63"/>
      <c r="Q14" s="9" t="s">
        <v>38</v>
      </c>
      <c r="S14" s="9" t="s">
        <v>39</v>
      </c>
    </row>
    <row r="15" spans="2:26" ht="16.5" customHeight="1" x14ac:dyDescent="0.3">
      <c r="B15" s="25"/>
      <c r="C15" s="78"/>
      <c r="D15" s="311" t="s">
        <v>41</v>
      </c>
      <c r="E15" s="312"/>
      <c r="F15" s="312"/>
      <c r="G15" s="312"/>
      <c r="H15" s="313"/>
      <c r="K15" s="9"/>
      <c r="M15" s="37" t="s">
        <v>73</v>
      </c>
      <c r="N15" s="38"/>
      <c r="O15" s="15"/>
      <c r="Q15" s="2">
        <f>(C4*C5*C13/1000000000*C14)+C15*2</f>
        <v>0</v>
      </c>
      <c r="S15" s="112">
        <f>IF($L$3=1, C4*Q15, 0)</f>
        <v>0</v>
      </c>
      <c r="T15" s="63"/>
    </row>
    <row r="16" spans="2:26" ht="15.75" customHeight="1" x14ac:dyDescent="0.3">
      <c r="C16" s="90">
        <f>IF($L$3=1, $Q$15, 0)</f>
        <v>0</v>
      </c>
      <c r="D16" s="311" t="s">
        <v>42</v>
      </c>
      <c r="E16" s="312"/>
      <c r="F16" s="312"/>
      <c r="G16" s="312"/>
      <c r="H16" s="313"/>
      <c r="K16" s="9"/>
      <c r="L16" s="4"/>
      <c r="M16" s="232" t="s">
        <v>76</v>
      </c>
      <c r="N16" s="130">
        <f>53.5-$C$8</f>
        <v>53.5</v>
      </c>
      <c r="O16" s="4"/>
      <c r="U16" s="11"/>
      <c r="W16" s="63" t="str">
        <f>$N$18&amp;" / "&amp;$N$19</f>
        <v>0 / 0</v>
      </c>
    </row>
    <row r="17" spans="2:24" ht="15.75" customHeight="1" x14ac:dyDescent="0.3">
      <c r="C17" s="298" t="str">
        <f>IF(AND($L$3=1,$N$5=2, $C$16&gt;0),"Ukazatel výkonnosti LF je mimo rozsah. Upravte rozměry korpusu nebo hmotnost čela.", " ")</f>
        <v xml:space="preserve"> </v>
      </c>
      <c r="D17" s="297"/>
      <c r="E17" s="297"/>
      <c r="F17" s="297"/>
      <c r="G17" s="297"/>
      <c r="H17" s="297"/>
      <c r="K17" s="9"/>
      <c r="L17" s="4"/>
      <c r="M17" s="232"/>
      <c r="N17" s="130"/>
      <c r="O17" s="4"/>
      <c r="U17" s="11"/>
      <c r="W17" s="63"/>
    </row>
    <row r="18" spans="2:24" ht="14.25" customHeight="1" x14ac:dyDescent="0.3">
      <c r="M18" s="9" t="s">
        <v>568</v>
      </c>
      <c r="N18" s="34">
        <f>IF($L$3=1, SUM($C$7-$C$10)-$C$7/2, 0)</f>
        <v>0</v>
      </c>
      <c r="W18" s="63" t="str">
        <f>$N$18&amp;" / "&amp;$N$19</f>
        <v>0 / 0</v>
      </c>
    </row>
    <row r="19" spans="2:24" ht="14.25" customHeight="1" x14ac:dyDescent="0.3">
      <c r="C19" s="2" t="s">
        <v>44</v>
      </c>
      <c r="M19" s="9" t="s">
        <v>567</v>
      </c>
      <c r="N19" s="34">
        <f>IF($L$3=1, SUM($C$7-$C$10)-6, 0)</f>
        <v>0</v>
      </c>
    </row>
    <row r="20" spans="2:24" ht="14.25" customHeight="1" x14ac:dyDescent="0.3">
      <c r="C20" s="2" t="s">
        <v>45</v>
      </c>
      <c r="P20" s="2" t="s">
        <v>134</v>
      </c>
      <c r="S20" s="18"/>
    </row>
    <row r="21" spans="2:24" ht="14.25" customHeight="1" x14ac:dyDescent="0.3">
      <c r="C21" s="2" t="s">
        <v>48</v>
      </c>
      <c r="L21" s="225" t="s">
        <v>46</v>
      </c>
      <c r="M21" s="228" t="s">
        <v>135</v>
      </c>
      <c r="N21" s="225"/>
      <c r="O21" s="225"/>
      <c r="P21" s="225" t="s">
        <v>79</v>
      </c>
      <c r="Q21" s="225" t="s">
        <v>80</v>
      </c>
      <c r="S21" s="18"/>
      <c r="W21" s="63" t="str">
        <f>$N$18&amp;" / "&amp;$N$19</f>
        <v>0 / 0</v>
      </c>
    </row>
    <row r="22" spans="2:24" ht="14.25" customHeight="1" x14ac:dyDescent="0.3">
      <c r="C22" s="2" t="s">
        <v>50</v>
      </c>
      <c r="L22" s="154" t="s">
        <v>571</v>
      </c>
      <c r="M22" s="87">
        <f>IF(AND($S$15&gt;P22,$S$15&lt;Q22),1,0)</f>
        <v>0</v>
      </c>
      <c r="N22" s="228"/>
      <c r="O22" s="225"/>
      <c r="P22" s="155">
        <v>420</v>
      </c>
      <c r="Q22" s="155">
        <v>1160</v>
      </c>
      <c r="S22" s="18"/>
    </row>
    <row r="23" spans="2:24" ht="14.25" customHeight="1" x14ac:dyDescent="0.3">
      <c r="C23" s="2" t="s">
        <v>53</v>
      </c>
      <c r="L23" s="154" t="s">
        <v>572</v>
      </c>
      <c r="M23" s="87">
        <f>IF(AND($S$15&gt;P23,$S$15&lt;Q23),1,0)</f>
        <v>0</v>
      </c>
      <c r="N23" s="228"/>
      <c r="O23" s="225"/>
      <c r="P23" s="155">
        <v>1159.99</v>
      </c>
      <c r="Q23" s="155">
        <v>2265</v>
      </c>
      <c r="S23" s="18"/>
      <c r="W23" s="63" t="s">
        <v>570</v>
      </c>
    </row>
    <row r="24" spans="2:24" ht="14.25" customHeight="1" x14ac:dyDescent="0.3">
      <c r="C24" s="2" t="s">
        <v>670</v>
      </c>
      <c r="L24" s="154" t="s">
        <v>574</v>
      </c>
      <c r="M24" s="87">
        <f>IF(AND($S$15&gt;P24,$S$15&lt;Q24),1,0)</f>
        <v>0</v>
      </c>
      <c r="N24" s="228"/>
      <c r="O24" s="225"/>
      <c r="P24" s="155">
        <v>2264.9899999999998</v>
      </c>
      <c r="Q24" s="155">
        <v>3470</v>
      </c>
      <c r="S24" s="18"/>
      <c r="W24" s="63" t="s">
        <v>569</v>
      </c>
    </row>
    <row r="25" spans="2:24" ht="14" customHeight="1" x14ac:dyDescent="0.3">
      <c r="C25" s="2" t="s">
        <v>55</v>
      </c>
      <c r="L25" s="154" t="s">
        <v>573</v>
      </c>
      <c r="M25" s="87">
        <f>IF(AND($S$15&gt;P25,$S$15&lt;Q25),1,0)</f>
        <v>0</v>
      </c>
      <c r="P25" s="155">
        <v>3469.99</v>
      </c>
      <c r="Q25" s="155">
        <v>7800</v>
      </c>
      <c r="S25" s="18"/>
      <c r="W25" s="9"/>
    </row>
    <row r="26" spans="2:24" ht="15.75" customHeight="1" thickBot="1" x14ac:dyDescent="0.35"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</row>
    <row r="27" spans="2:24" ht="25" customHeight="1" thickTop="1" x14ac:dyDescent="0.35">
      <c r="B27" s="76" t="str">
        <f>"Vrtání čela pro obě varianty:"</f>
        <v>Vrtání čela pro obě varianty:</v>
      </c>
      <c r="X27" s="103" t="str">
        <f>$C$1</f>
        <v>AVENTOS HKi</v>
      </c>
    </row>
    <row r="28" spans="2:24" ht="6.65" customHeight="1" thickBot="1" x14ac:dyDescent="0.4">
      <c r="B28" s="76"/>
      <c r="L28" s="63"/>
      <c r="M28" s="63"/>
      <c r="N28" s="63"/>
      <c r="O28" s="63"/>
      <c r="P28" s="63"/>
      <c r="X28" s="103"/>
    </row>
    <row r="29" spans="2:24" ht="14.25" customHeight="1" x14ac:dyDescent="0.3">
      <c r="C29" s="326" t="s">
        <v>565</v>
      </c>
      <c r="D29" s="327"/>
      <c r="E29" s="328"/>
      <c r="F29" s="326" t="s">
        <v>566</v>
      </c>
      <c r="G29" s="327"/>
      <c r="H29" s="328"/>
      <c r="S29" s="18"/>
    </row>
    <row r="30" spans="2:24" ht="14.25" customHeight="1" x14ac:dyDescent="0.3">
      <c r="C30" s="240" t="s">
        <v>66</v>
      </c>
      <c r="D30" s="230" t="s">
        <v>67</v>
      </c>
      <c r="E30" s="241" t="s">
        <v>68</v>
      </c>
      <c r="F30" s="240" t="s">
        <v>66</v>
      </c>
      <c r="G30" s="230" t="s">
        <v>67</v>
      </c>
      <c r="H30" s="241" t="s">
        <v>68</v>
      </c>
      <c r="S30" s="18"/>
    </row>
    <row r="31" spans="2:24" ht="20.149999999999999" customHeight="1" thickBot="1" x14ac:dyDescent="0.35">
      <c r="C31" s="242">
        <f>IF($L$3=1, $N$16, 0)</f>
        <v>0</v>
      </c>
      <c r="D31" s="243">
        <f>$N$18</f>
        <v>0</v>
      </c>
      <c r="E31" s="244">
        <f>$N$18</f>
        <v>0</v>
      </c>
      <c r="F31" s="242">
        <f>IF($L$3=1, $N$16, 0)</f>
        <v>0</v>
      </c>
      <c r="G31" s="243">
        <f>$N$19</f>
        <v>0</v>
      </c>
      <c r="H31" s="244">
        <f>$N$19</f>
        <v>0</v>
      </c>
      <c r="S31" s="18"/>
    </row>
    <row r="32" spans="2:24" ht="22" customHeight="1" x14ac:dyDescent="0.3">
      <c r="C32" s="2" t="s">
        <v>123</v>
      </c>
      <c r="S32" s="18"/>
    </row>
    <row r="33" spans="1:24" ht="16" customHeight="1" x14ac:dyDescent="0.3"/>
    <row r="34" spans="1:24" ht="17.5" x14ac:dyDescent="0.35">
      <c r="A34" s="303"/>
      <c r="X34" s="103"/>
    </row>
    <row r="35" spans="1:24" ht="17.5" x14ac:dyDescent="0.35">
      <c r="A35" s="303"/>
      <c r="B35" s="19" t="s">
        <v>81</v>
      </c>
      <c r="U35" s="19" t="s">
        <v>82</v>
      </c>
    </row>
    <row r="36" spans="1:24" x14ac:dyDescent="0.3">
      <c r="A36" s="303"/>
      <c r="L36" s="2" t="s">
        <v>181</v>
      </c>
      <c r="M36" s="2" t="s">
        <v>144</v>
      </c>
    </row>
    <row r="37" spans="1:24" x14ac:dyDescent="0.3">
      <c r="A37" s="303"/>
      <c r="G37" s="5" t="s">
        <v>560</v>
      </c>
      <c r="L37" s="2" t="s">
        <v>575</v>
      </c>
      <c r="M37" s="2" t="s">
        <v>579</v>
      </c>
    </row>
    <row r="38" spans="1:24" x14ac:dyDescent="0.3">
      <c r="A38" s="303"/>
      <c r="L38" s="2" t="s">
        <v>576</v>
      </c>
      <c r="M38" s="2" t="s">
        <v>580</v>
      </c>
      <c r="U38" s="299">
        <f>$N$16</f>
        <v>53.5</v>
      </c>
    </row>
    <row r="39" spans="1:24" x14ac:dyDescent="0.3">
      <c r="A39" s="303"/>
      <c r="L39" s="2" t="s">
        <v>577</v>
      </c>
      <c r="M39" s="2" t="s">
        <v>581</v>
      </c>
    </row>
    <row r="40" spans="1:24" x14ac:dyDescent="0.3">
      <c r="A40" s="303"/>
      <c r="C40" s="63"/>
      <c r="L40" s="2" t="s">
        <v>578</v>
      </c>
      <c r="M40" s="2" t="s">
        <v>582</v>
      </c>
    </row>
    <row r="41" spans="1:24" x14ac:dyDescent="0.3">
      <c r="A41" s="303"/>
    </row>
    <row r="42" spans="1:24" x14ac:dyDescent="0.3">
      <c r="A42" s="303"/>
      <c r="U42" s="47"/>
    </row>
    <row r="43" spans="1:24" x14ac:dyDescent="0.3">
      <c r="A43" s="303"/>
      <c r="L43" s="2" t="s">
        <v>583</v>
      </c>
      <c r="M43" s="2">
        <v>2</v>
      </c>
    </row>
    <row r="44" spans="1:24" x14ac:dyDescent="0.3">
      <c r="A44" s="303"/>
      <c r="C44" s="48"/>
      <c r="L44" s="2" t="s">
        <v>584</v>
      </c>
      <c r="M44" s="2">
        <v>2</v>
      </c>
    </row>
    <row r="45" spans="1:24" x14ac:dyDescent="0.3">
      <c r="A45" s="303"/>
      <c r="L45" s="2" t="s">
        <v>587</v>
      </c>
      <c r="M45" s="2">
        <v>1</v>
      </c>
    </row>
    <row r="46" spans="1:24" x14ac:dyDescent="0.3">
      <c r="A46" s="303"/>
      <c r="U46" s="47"/>
    </row>
    <row r="47" spans="1:24" x14ac:dyDescent="0.3">
      <c r="A47" s="303"/>
      <c r="L47" s="2" t="s">
        <v>165</v>
      </c>
      <c r="M47" s="2">
        <v>1</v>
      </c>
    </row>
    <row r="48" spans="1:24" x14ac:dyDescent="0.3">
      <c r="A48" s="303"/>
      <c r="G48" s="5" t="s">
        <v>561</v>
      </c>
    </row>
    <row r="49" spans="1:26" x14ac:dyDescent="0.3">
      <c r="A49" s="303"/>
      <c r="L49" s="2" t="s">
        <v>669</v>
      </c>
      <c r="M49" s="2">
        <v>1</v>
      </c>
    </row>
    <row r="50" spans="1:26" x14ac:dyDescent="0.3">
      <c r="A50" s="303"/>
      <c r="U50" s="71" t="str">
        <f>$N$18&amp;" mm - plně integrovaný"</f>
        <v>0 mm - plně integrovaný</v>
      </c>
    </row>
    <row r="51" spans="1:26" x14ac:dyDescent="0.3">
      <c r="A51" s="303"/>
      <c r="U51" s="71" t="str">
        <f>$N$19&amp;" mm - s krytkou"</f>
        <v>0 mm - s krytkou</v>
      </c>
    </row>
    <row r="52" spans="1:26" x14ac:dyDescent="0.3">
      <c r="A52" s="303"/>
    </row>
    <row r="53" spans="1:26" x14ac:dyDescent="0.3">
      <c r="A53" s="303"/>
      <c r="Z53" s="168" t="s">
        <v>88</v>
      </c>
    </row>
    <row r="54" spans="1:26" x14ac:dyDescent="0.3">
      <c r="A54" s="303"/>
    </row>
    <row r="55" spans="1:26" x14ac:dyDescent="0.3">
      <c r="A55" s="303"/>
    </row>
    <row r="56" spans="1:26" x14ac:dyDescent="0.3">
      <c r="A56" s="303"/>
    </row>
    <row r="57" spans="1:26" x14ac:dyDescent="0.3">
      <c r="A57" s="303"/>
    </row>
    <row r="58" spans="1:26" x14ac:dyDescent="0.3">
      <c r="A58" s="303"/>
    </row>
    <row r="59" spans="1:26" x14ac:dyDescent="0.3">
      <c r="A59" s="303"/>
      <c r="C59" s="2" t="s">
        <v>89</v>
      </c>
      <c r="F59" s="2" t="s">
        <v>559</v>
      </c>
    </row>
    <row r="60" spans="1:26" x14ac:dyDescent="0.3">
      <c r="A60" s="303"/>
      <c r="C60" s="2" t="s">
        <v>91</v>
      </c>
      <c r="F60" s="2" t="s">
        <v>168</v>
      </c>
    </row>
    <row r="61" spans="1:26" x14ac:dyDescent="0.3">
      <c r="A61" s="303"/>
    </row>
    <row r="62" spans="1:26" x14ac:dyDescent="0.3">
      <c r="A62" s="303"/>
    </row>
    <row r="63" spans="1:26" ht="15.75" customHeight="1" thickBot="1" x14ac:dyDescent="0.35">
      <c r="A63" s="303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1:26" ht="25" customHeight="1" thickTop="1" x14ac:dyDescent="0.35">
      <c r="A64" s="303"/>
      <c r="B64" s="76" t="str">
        <f>"Kování pro výšku korpusu KH "&amp;$C$4&amp;" a šířku korpusu KB "&amp;$C$5&amp;" mm"</f>
        <v>Kování pro výšku korpusu KH  a šířku korpusu KB  mm</v>
      </c>
      <c r="X64" s="103" t="str">
        <f>$C$1</f>
        <v>AVENTOS HKi</v>
      </c>
    </row>
    <row r="65" spans="1:24" ht="25" customHeight="1" x14ac:dyDescent="0.35">
      <c r="A65" s="303"/>
      <c r="B65" s="156" t="s">
        <v>169</v>
      </c>
      <c r="X65" s="103"/>
    </row>
    <row r="66" spans="1:24" ht="17.149999999999999" customHeight="1" x14ac:dyDescent="0.3">
      <c r="A66" s="303"/>
      <c r="B66" s="158" t="s">
        <v>92</v>
      </c>
      <c r="C66" s="140"/>
      <c r="D66" s="140"/>
      <c r="E66" s="140"/>
      <c r="F66" s="140" t="s">
        <v>93</v>
      </c>
      <c r="G66" s="140"/>
      <c r="H66" s="13" t="s">
        <v>94</v>
      </c>
      <c r="I66" s="140"/>
      <c r="J66" s="166" t="s">
        <v>95</v>
      </c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</row>
    <row r="67" spans="1:24" x14ac:dyDescent="0.3">
      <c r="A67" s="303"/>
      <c r="B67" s="2" t="s">
        <v>96</v>
      </c>
      <c r="F67" s="2" t="str">
        <f>IF($M$22&gt;0,$L$37,IF($M$23&gt;0,$L$38,IF($M$24&gt;0,$L$39,IF($M$25&gt;0,$L$40," "))))</f>
        <v xml:space="preserve"> </v>
      </c>
      <c r="H67" s="63" t="str">
        <f>IF($N$5=1, SUM($M$22:$M$25), " ")</f>
        <v xml:space="preserve"> </v>
      </c>
    </row>
    <row r="68" spans="1:24" x14ac:dyDescent="0.3">
      <c r="A68" s="303"/>
      <c r="B68" s="2" t="s">
        <v>585</v>
      </c>
      <c r="F68" s="2" t="str">
        <f>IF($N$5=1, $L43, " ")</f>
        <v xml:space="preserve"> </v>
      </c>
      <c r="H68" s="63" t="str">
        <f>IF($N$5=1, $M43, " ")</f>
        <v xml:space="preserve"> </v>
      </c>
    </row>
    <row r="69" spans="1:24" x14ac:dyDescent="0.3">
      <c r="A69" s="303"/>
      <c r="B69" s="2" t="s">
        <v>586</v>
      </c>
      <c r="F69" s="2" t="str">
        <f>IF($N$5=1, $L44, " ")</f>
        <v xml:space="preserve"> </v>
      </c>
      <c r="H69" s="63" t="str">
        <f>IF($N$5=1, $M44, " ")</f>
        <v xml:space="preserve"> </v>
      </c>
    </row>
    <row r="70" spans="1:24" x14ac:dyDescent="0.3">
      <c r="A70" s="303"/>
    </row>
    <row r="71" spans="1:24" ht="25" customHeight="1" x14ac:dyDescent="0.35">
      <c r="B71" s="156" t="s">
        <v>592</v>
      </c>
      <c r="X71" s="103"/>
    </row>
    <row r="72" spans="1:24" ht="17.149999999999999" customHeight="1" x14ac:dyDescent="0.3">
      <c r="B72" s="158" t="s">
        <v>92</v>
      </c>
      <c r="C72" s="140"/>
      <c r="D72" s="140"/>
      <c r="E72" s="140"/>
      <c r="F72" s="140" t="s">
        <v>93</v>
      </c>
      <c r="G72" s="140"/>
      <c r="H72" s="13" t="s">
        <v>94</v>
      </c>
      <c r="I72" s="140"/>
      <c r="J72" s="166" t="s">
        <v>95</v>
      </c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</row>
    <row r="73" spans="1:24" x14ac:dyDescent="0.3">
      <c r="B73" s="2" t="s">
        <v>173</v>
      </c>
      <c r="F73" s="2" t="str">
        <f>IF($M$22&gt;0,$M$37,IF($M$23&gt;0,$M$38,IF($M$24&gt;0,$M$39,IF($M$25&gt;0,$M$40," "))))</f>
        <v xml:space="preserve"> </v>
      </c>
      <c r="H73" s="63" t="str">
        <f>IF($N$5=1, SUM($M$22:$M$25), " ")</f>
        <v xml:space="preserve"> </v>
      </c>
    </row>
    <row r="74" spans="1:24" x14ac:dyDescent="0.3">
      <c r="B74" s="2" t="s">
        <v>585</v>
      </c>
      <c r="F74" s="2" t="str">
        <f>IF($N$5=1, $L43, " ")</f>
        <v xml:space="preserve"> </v>
      </c>
      <c r="H74" s="63" t="str">
        <f>IF($N$5=1, $M43, " ")</f>
        <v xml:space="preserve"> </v>
      </c>
    </row>
    <row r="75" spans="1:24" x14ac:dyDescent="0.3">
      <c r="B75" s="2" t="s">
        <v>586</v>
      </c>
      <c r="F75" s="2" t="str">
        <f>IF($N$5=1, $L44, " ")</f>
        <v xml:space="preserve"> </v>
      </c>
      <c r="H75" s="63" t="str">
        <f>IF($N$5=1, $M44, " ")</f>
        <v xml:space="preserve"> </v>
      </c>
    </row>
    <row r="76" spans="1:24" x14ac:dyDescent="0.3">
      <c r="B76" s="2" t="s">
        <v>174</v>
      </c>
      <c r="F76" s="2" t="str">
        <f>IF($N$5=1, $L$47, " ")</f>
        <v xml:space="preserve"> </v>
      </c>
      <c r="H76" s="63" t="str">
        <f>IF($N$5=1, $M$47, " ")</f>
        <v xml:space="preserve"> </v>
      </c>
      <c r="J76" s="2" t="s">
        <v>99</v>
      </c>
    </row>
    <row r="77" spans="1:24" x14ac:dyDescent="0.3">
      <c r="H77" s="63"/>
    </row>
    <row r="78" spans="1:24" ht="14.5" x14ac:dyDescent="0.35">
      <c r="B78" s="246" t="s">
        <v>589</v>
      </c>
      <c r="H78" s="63"/>
    </row>
    <row r="79" spans="1:24" x14ac:dyDescent="0.3">
      <c r="B79" s="2" t="s">
        <v>588</v>
      </c>
      <c r="F79" s="2" t="str">
        <f>IF($N$5=1, $L$45, " ")</f>
        <v xml:space="preserve"> </v>
      </c>
      <c r="H79" s="63" t="str">
        <f>IF($N$5=1, $M$45, " ")</f>
        <v xml:space="preserve"> </v>
      </c>
      <c r="J79" s="2" t="s">
        <v>99</v>
      </c>
    </row>
    <row r="81" spans="2:26" x14ac:dyDescent="0.3">
      <c r="B81" s="2" t="s">
        <v>104</v>
      </c>
    </row>
    <row r="82" spans="2:26" x14ac:dyDescent="0.3">
      <c r="B82" s="2" t="s">
        <v>591</v>
      </c>
      <c r="Z82" s="168" t="s">
        <v>88</v>
      </c>
    </row>
    <row r="84" spans="2:26" ht="14.5" x14ac:dyDescent="0.35">
      <c r="B84" s="246" t="s">
        <v>667</v>
      </c>
    </row>
    <row r="85" spans="2:26" x14ac:dyDescent="0.3">
      <c r="B85" s="2" t="s">
        <v>668</v>
      </c>
      <c r="G85" s="2" t="str">
        <f>IF($N$5=1, $L$49, " ")</f>
        <v xml:space="preserve"> </v>
      </c>
      <c r="H85" s="63" t="str">
        <f>IF($N$5=1, $M49, " ")</f>
        <v xml:space="preserve"> </v>
      </c>
    </row>
    <row r="103" spans="29:41" ht="17.5" x14ac:dyDescent="0.35">
      <c r="AC103" s="99" t="s">
        <v>105</v>
      </c>
      <c r="AO103" s="195" t="str">
        <f>X27</f>
        <v>AVENTOS HKi</v>
      </c>
    </row>
    <row r="104" spans="29:41" x14ac:dyDescent="0.3">
      <c r="AC104" s="17" t="s">
        <v>23</v>
      </c>
      <c r="AD104" s="17"/>
      <c r="AE104" s="17"/>
      <c r="AF104" s="17"/>
      <c r="AG104" s="17"/>
      <c r="AH104" s="17"/>
      <c r="AJ104" s="2" t="str">
        <f>C12</f>
        <v>Pro výpočet kování (volitelně)</v>
      </c>
    </row>
    <row r="105" spans="29:41" x14ac:dyDescent="0.3">
      <c r="AC105" s="170">
        <f t="shared" ref="AC105:AC111" si="0">C4</f>
        <v>0</v>
      </c>
      <c r="AD105" s="311" t="s">
        <v>26</v>
      </c>
      <c r="AE105" s="312"/>
      <c r="AF105" s="312"/>
      <c r="AG105" s="312"/>
      <c r="AH105" s="313"/>
      <c r="AJ105" s="90">
        <f>C13</f>
        <v>0</v>
      </c>
      <c r="AK105" s="304" t="s">
        <v>37</v>
      </c>
      <c r="AL105" s="304"/>
      <c r="AM105" s="304"/>
      <c r="AN105" s="304"/>
      <c r="AO105" s="304"/>
    </row>
    <row r="106" spans="29:41" x14ac:dyDescent="0.3">
      <c r="AC106" s="170">
        <f t="shared" si="0"/>
        <v>0</v>
      </c>
      <c r="AD106" s="311" t="s">
        <v>28</v>
      </c>
      <c r="AE106" s="312"/>
      <c r="AF106" s="312"/>
      <c r="AG106" s="312"/>
      <c r="AH106" s="313"/>
      <c r="AJ106" s="90">
        <f>C14</f>
        <v>0</v>
      </c>
      <c r="AK106" s="311" t="s">
        <v>40</v>
      </c>
      <c r="AL106" s="312"/>
      <c r="AM106" s="312"/>
      <c r="AN106" s="312"/>
      <c r="AO106" s="313"/>
    </row>
    <row r="107" spans="29:41" x14ac:dyDescent="0.3">
      <c r="AC107" s="170">
        <f t="shared" si="0"/>
        <v>0</v>
      </c>
      <c r="AD107" s="311" t="s">
        <v>30</v>
      </c>
      <c r="AE107" s="312"/>
      <c r="AF107" s="312"/>
      <c r="AG107" s="312"/>
      <c r="AH107" s="313"/>
      <c r="AJ107" s="90">
        <f>C15</f>
        <v>0</v>
      </c>
      <c r="AK107" s="311" t="s">
        <v>41</v>
      </c>
      <c r="AL107" s="312"/>
      <c r="AM107" s="312"/>
      <c r="AN107" s="312"/>
      <c r="AO107" s="313"/>
    </row>
    <row r="108" spans="29:41" x14ac:dyDescent="0.3">
      <c r="AC108" s="170">
        <f t="shared" si="0"/>
        <v>0</v>
      </c>
      <c r="AD108" s="311" t="s">
        <v>31</v>
      </c>
      <c r="AE108" s="312"/>
      <c r="AF108" s="312"/>
      <c r="AG108" s="312"/>
      <c r="AH108" s="313"/>
      <c r="AJ108" s="90">
        <f>C16</f>
        <v>0</v>
      </c>
      <c r="AK108" s="311" t="s">
        <v>42</v>
      </c>
      <c r="AL108" s="312"/>
      <c r="AM108" s="312"/>
      <c r="AN108" s="312"/>
      <c r="AO108" s="313"/>
    </row>
    <row r="109" spans="29:41" x14ac:dyDescent="0.3">
      <c r="AC109" s="170">
        <f t="shared" si="0"/>
        <v>0</v>
      </c>
      <c r="AD109" s="311" t="s">
        <v>109</v>
      </c>
      <c r="AE109" s="312"/>
      <c r="AF109" s="312"/>
      <c r="AG109" s="312"/>
      <c r="AH109" s="313"/>
    </row>
    <row r="110" spans="29:41" x14ac:dyDescent="0.3">
      <c r="AC110" s="170">
        <f t="shared" si="0"/>
        <v>0</v>
      </c>
      <c r="AD110" s="311" t="s">
        <v>34</v>
      </c>
      <c r="AE110" s="312"/>
      <c r="AF110" s="312"/>
      <c r="AG110" s="312"/>
      <c r="AH110" s="313"/>
    </row>
    <row r="111" spans="29:41" x14ac:dyDescent="0.3">
      <c r="AC111" s="170">
        <f t="shared" si="0"/>
        <v>0</v>
      </c>
      <c r="AD111" s="311" t="s">
        <v>35</v>
      </c>
      <c r="AE111" s="312"/>
      <c r="AF111" s="312"/>
      <c r="AG111" s="312"/>
      <c r="AH111" s="313"/>
    </row>
    <row r="113" spans="29:46" x14ac:dyDescent="0.3"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</row>
    <row r="114" spans="29:46" ht="20.149999999999999" customHeight="1" x14ac:dyDescent="0.35">
      <c r="AC114" s="99" t="s">
        <v>564</v>
      </c>
      <c r="AL114" s="180"/>
      <c r="AM114" s="245" t="str">
        <f>B65</f>
        <v>Standard (s tlumením)</v>
      </c>
      <c r="AN114" s="132"/>
      <c r="AO114" s="132"/>
      <c r="AP114" s="132"/>
      <c r="AQ114" s="132"/>
      <c r="AR114" s="247" t="s">
        <v>78</v>
      </c>
      <c r="AS114" s="132"/>
      <c r="AT114" s="216" t="s">
        <v>107</v>
      </c>
    </row>
    <row r="115" spans="29:46" x14ac:dyDescent="0.3">
      <c r="AC115" s="305" t="s">
        <v>563</v>
      </c>
      <c r="AD115" s="305"/>
      <c r="AE115" s="305"/>
      <c r="AF115" s="305" t="s">
        <v>561</v>
      </c>
      <c r="AG115" s="305"/>
      <c r="AH115" s="305"/>
      <c r="AL115" s="81"/>
      <c r="AM115" s="2" t="str">
        <f>B67</f>
        <v>Sada zdvihačů</v>
      </c>
      <c r="AP115" s="2" t="str">
        <f>F67</f>
        <v xml:space="preserve"> </v>
      </c>
      <c r="AR115" s="63" t="str">
        <f>H67</f>
        <v xml:space="preserve"> </v>
      </c>
      <c r="AS115" s="47"/>
      <c r="AT115" s="80"/>
    </row>
    <row r="116" spans="29:46" x14ac:dyDescent="0.3">
      <c r="AC116" s="229" t="s">
        <v>66</v>
      </c>
      <c r="AD116" s="229" t="s">
        <v>67</v>
      </c>
      <c r="AE116" s="229" t="s">
        <v>68</v>
      </c>
      <c r="AF116" s="229" t="s">
        <v>141</v>
      </c>
      <c r="AG116" s="229" t="s">
        <v>70</v>
      </c>
      <c r="AH116" s="229" t="s">
        <v>71</v>
      </c>
      <c r="AL116" s="81"/>
      <c r="AM116" s="2" t="str">
        <f>B68</f>
        <v>Čelní kování pro dřevěná čela</v>
      </c>
      <c r="AP116" s="2" t="str">
        <f>F68</f>
        <v xml:space="preserve"> </v>
      </c>
      <c r="AR116" s="63" t="str">
        <f>H68</f>
        <v xml:space="preserve"> </v>
      </c>
      <c r="AT116" s="80"/>
    </row>
    <row r="117" spans="29:46" x14ac:dyDescent="0.3">
      <c r="AC117" s="32">
        <f>C31</f>
        <v>0</v>
      </c>
      <c r="AD117" s="32">
        <f t="shared" ref="AD117:AH117" si="1">D31</f>
        <v>0</v>
      </c>
      <c r="AE117" s="32">
        <f t="shared" si="1"/>
        <v>0</v>
      </c>
      <c r="AF117" s="32">
        <f t="shared" si="1"/>
        <v>0</v>
      </c>
      <c r="AG117" s="32">
        <f t="shared" si="1"/>
        <v>0</v>
      </c>
      <c r="AH117" s="32">
        <f t="shared" si="1"/>
        <v>0</v>
      </c>
      <c r="AL117" s="81"/>
      <c r="AM117" s="2" t="str">
        <f>B69</f>
        <v>Čelní kování pro alurámečky</v>
      </c>
      <c r="AP117" s="2" t="str">
        <f>F69</f>
        <v xml:space="preserve"> </v>
      </c>
      <c r="AR117" s="63" t="str">
        <f>H69</f>
        <v xml:space="preserve"> </v>
      </c>
      <c r="AT117" s="80"/>
    </row>
    <row r="118" spans="29:46" x14ac:dyDescent="0.3">
      <c r="AC118" s="2" t="str">
        <f>C32</f>
        <v xml:space="preserve">  * Vzdálenost od horní(!) hrany čela na první otvor čelního kování. </v>
      </c>
      <c r="AL118" s="81"/>
      <c r="AS118" s="47"/>
      <c r="AT118" s="80"/>
    </row>
    <row r="119" spans="29:46" ht="14.5" x14ac:dyDescent="0.35">
      <c r="AL119" s="81"/>
      <c r="AM119" s="246" t="str">
        <f>B71</f>
        <v>na TIP-ON</v>
      </c>
      <c r="AR119" s="63"/>
      <c r="AS119" s="47"/>
      <c r="AT119" s="80"/>
    </row>
    <row r="120" spans="29:46" x14ac:dyDescent="0.3">
      <c r="AL120" s="81"/>
      <c r="AM120" s="2" t="str">
        <f>B73</f>
        <v>Sada zdvihačů TIP-ON</v>
      </c>
      <c r="AP120" s="2" t="str">
        <f>F73</f>
        <v xml:space="preserve"> </v>
      </c>
      <c r="AR120" s="63" t="str">
        <f>H73</f>
        <v xml:space="preserve"> </v>
      </c>
      <c r="AS120" s="47"/>
      <c r="AT120" s="80"/>
    </row>
    <row r="121" spans="29:46" x14ac:dyDescent="0.3">
      <c r="AL121" s="81"/>
      <c r="AM121" s="2" t="str">
        <f>B74</f>
        <v>Čelní kování pro dřevěná čela</v>
      </c>
      <c r="AP121" s="2" t="str">
        <f>F74</f>
        <v xml:space="preserve"> </v>
      </c>
      <c r="AR121" s="63" t="str">
        <f>H74</f>
        <v xml:space="preserve"> </v>
      </c>
      <c r="AS121" s="47"/>
      <c r="AT121" s="80"/>
    </row>
    <row r="122" spans="29:46" x14ac:dyDescent="0.3">
      <c r="AL122" s="81"/>
      <c r="AM122" s="2" t="str">
        <f>B75</f>
        <v>Čelní kování pro alurámečky</v>
      </c>
      <c r="AP122" s="2" t="str">
        <f>F75</f>
        <v xml:space="preserve"> </v>
      </c>
      <c r="AR122" s="63" t="str">
        <f>H75</f>
        <v xml:space="preserve"> </v>
      </c>
      <c r="AT122" s="80"/>
    </row>
    <row r="123" spans="29:46" x14ac:dyDescent="0.3">
      <c r="AL123" s="81"/>
      <c r="AM123" s="2" t="str">
        <f>B76</f>
        <v>Píst TIP-ON</v>
      </c>
      <c r="AP123" s="2" t="str">
        <f>F76</f>
        <v xml:space="preserve"> </v>
      </c>
      <c r="AR123" s="63" t="str">
        <f>H76</f>
        <v xml:space="preserve"> </v>
      </c>
      <c r="AT123" s="80"/>
    </row>
    <row r="124" spans="29:46" x14ac:dyDescent="0.3">
      <c r="AL124" s="81"/>
      <c r="AT124" s="80"/>
    </row>
    <row r="125" spans="29:46" ht="14.5" x14ac:dyDescent="0.35">
      <c r="AE125" s="180" t="s">
        <v>175</v>
      </c>
      <c r="AF125" s="132"/>
      <c r="AG125" s="132"/>
      <c r="AH125" s="132"/>
      <c r="AI125" s="132"/>
      <c r="AJ125" s="132"/>
      <c r="AK125" s="132"/>
      <c r="AL125" s="81"/>
      <c r="AM125" s="246" t="str">
        <f>B78</f>
        <v>pro variantu s krytkami (částečně integrovaný zdvihač):</v>
      </c>
      <c r="AT125" s="80"/>
    </row>
    <row r="126" spans="29:46" ht="15.5" x14ac:dyDescent="0.35">
      <c r="AC126" s="184"/>
      <c r="AE126" s="178" t="s">
        <v>176</v>
      </c>
      <c r="AF126" s="140"/>
      <c r="AG126" s="140"/>
      <c r="AH126" s="140"/>
      <c r="AI126" s="140"/>
      <c r="AJ126" s="140"/>
      <c r="AK126" s="140"/>
      <c r="AL126" s="178"/>
      <c r="AM126" s="140" t="str">
        <f>B79</f>
        <v xml:space="preserve">Sada krytek </v>
      </c>
      <c r="AN126" s="140"/>
      <c r="AO126" s="140"/>
      <c r="AP126" s="140" t="str">
        <f>F79</f>
        <v xml:space="preserve"> </v>
      </c>
      <c r="AQ126" s="140"/>
      <c r="AR126" s="13" t="str">
        <f>H79</f>
        <v xml:space="preserve"> </v>
      </c>
      <c r="AS126" s="166" t="str">
        <f>J76</f>
        <v>zvolte barvu</v>
      </c>
      <c r="AT126" s="179"/>
    </row>
    <row r="128" spans="29:46" ht="15.5" x14ac:dyDescent="0.3">
      <c r="AO128" s="175" t="s">
        <v>82</v>
      </c>
    </row>
    <row r="129" spans="29:44" x14ac:dyDescent="0.3">
      <c r="AN129" s="9" t="s">
        <v>121</v>
      </c>
      <c r="AO129" s="5">
        <f>$C$31</f>
        <v>0</v>
      </c>
    </row>
    <row r="130" spans="29:44" x14ac:dyDescent="0.3">
      <c r="AG130" s="63"/>
      <c r="AQ130" s="63">
        <f>$C$31</f>
        <v>0</v>
      </c>
    </row>
    <row r="131" spans="29:44" x14ac:dyDescent="0.3">
      <c r="AC131" s="11"/>
    </row>
    <row r="132" spans="29:44" x14ac:dyDescent="0.3">
      <c r="AN132" s="63" t="str">
        <f>$W$16</f>
        <v>0 / 0</v>
      </c>
    </row>
    <row r="134" spans="29:44" x14ac:dyDescent="0.3">
      <c r="AG134" s="48"/>
      <c r="AN134" s="15" t="str">
        <f>$W$18</f>
        <v>0 / 0</v>
      </c>
    </row>
    <row r="137" spans="29:44" x14ac:dyDescent="0.3">
      <c r="AN137" s="15" t="str">
        <f>$W$21</f>
        <v>0 / 0</v>
      </c>
    </row>
    <row r="138" spans="29:44" x14ac:dyDescent="0.3">
      <c r="AN138" s="63"/>
    </row>
    <row r="139" spans="29:44" x14ac:dyDescent="0.3">
      <c r="AO139" s="63" t="str">
        <f>W24</f>
        <v>plně integrovaný / s krytkou</v>
      </c>
      <c r="AR139" s="63" t="str">
        <f>$W$21</f>
        <v>0 / 0</v>
      </c>
    </row>
  </sheetData>
  <sheetProtection algorithmName="SHA-512" hashValue="/YV71VMUe5aYq44uFycp413ifW4wiRBAmAPN3DDGxiA4OkYp9NCTQbbddKGlx0Qp3JiCKmuf6p8v+k4xqB+f3A==" saltValue="rmNnnuHccTTnjiB5VyCayg==" spinCount="100000" sheet="1" objects="1" scenarios="1"/>
  <mergeCells count="27">
    <mergeCell ref="C29:E29"/>
    <mergeCell ref="F29:H29"/>
    <mergeCell ref="D4:H4"/>
    <mergeCell ref="D5:H5"/>
    <mergeCell ref="D6:H6"/>
    <mergeCell ref="D7:H7"/>
    <mergeCell ref="D8:H8"/>
    <mergeCell ref="D9:H9"/>
    <mergeCell ref="D10:H10"/>
    <mergeCell ref="D13:H13"/>
    <mergeCell ref="D14:H14"/>
    <mergeCell ref="D15:H15"/>
    <mergeCell ref="D16:H16"/>
    <mergeCell ref="AC115:AE115"/>
    <mergeCell ref="AF115:AH115"/>
    <mergeCell ref="A34:A70"/>
    <mergeCell ref="AD105:AH105"/>
    <mergeCell ref="AK105:AO105"/>
    <mergeCell ref="AD106:AH106"/>
    <mergeCell ref="AK106:AO106"/>
    <mergeCell ref="AD107:AH107"/>
    <mergeCell ref="AK107:AO107"/>
    <mergeCell ref="AD108:AH108"/>
    <mergeCell ref="AK108:AO108"/>
    <mergeCell ref="AD109:AH109"/>
    <mergeCell ref="AD110:AH110"/>
    <mergeCell ref="AD111:AH111"/>
  </mergeCells>
  <phoneticPr fontId="43" type="noConversion"/>
  <hyperlinks>
    <hyperlink ref="Z53:AA53" location="'HK-S'!A1" tooltip="Zpět na plánování" display="Zpět" xr:uid="{3D275291-631E-4211-B27B-5A5FFFA2774B}"/>
    <hyperlink ref="Z1" location="AVS!A1" tooltip="Úvodní strana AVENTOS" display="Úvod AVENTOS" xr:uid="{41542732-14B9-4EC5-93D1-7A9E9D754497}"/>
    <hyperlink ref="Z82" location="'HK-S'!A1" tooltip="Zpět na plánování" display="Zpět" xr:uid="{911364CC-0773-433E-9E9A-D15BCCAD1C79}"/>
  </hyperlinks>
  <pageMargins left="0.23622047244094491" right="0.23622047244094491" top="0.55118110236220474" bottom="0.74803149606299213" header="0.31496062992125984" footer="0.31496062992125984"/>
  <pageSetup paperSize="9" scale="95" orientation="landscape" verticalDpi="599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249977111117893"/>
  </sheetPr>
  <dimension ref="B1:E23"/>
  <sheetViews>
    <sheetView showGridLines="0" showRowColHeaders="0" workbookViewId="0">
      <selection activeCell="D19" sqref="D19"/>
    </sheetView>
  </sheetViews>
  <sheetFormatPr defaultRowHeight="14" x14ac:dyDescent="0.3"/>
  <cols>
    <col min="1" max="1" width="4.25" customWidth="1"/>
    <col min="2" max="4" width="30" customWidth="1"/>
    <col min="5" max="5" width="15.75" customWidth="1"/>
    <col min="6" max="6" width="13.58203125" customWidth="1"/>
  </cols>
  <sheetData>
    <row r="1" spans="2:5" ht="6" customHeight="1" x14ac:dyDescent="0.3"/>
    <row r="2" spans="2:5" ht="24" customHeight="1" x14ac:dyDescent="0.5">
      <c r="B2" s="69" t="s">
        <v>233</v>
      </c>
      <c r="E2" s="49" t="s">
        <v>17</v>
      </c>
    </row>
    <row r="4" spans="2:5" ht="28.5" customHeight="1" x14ac:dyDescent="0.3">
      <c r="B4" s="300" t="s">
        <v>484</v>
      </c>
      <c r="C4" s="300"/>
      <c r="D4" s="300"/>
      <c r="E4" s="235"/>
    </row>
    <row r="13" spans="2:5" ht="14" customHeight="1" x14ac:dyDescent="0.3"/>
    <row r="14" spans="2:5" ht="32.25" customHeight="1" x14ac:dyDescent="0.3">
      <c r="B14" s="21" t="s">
        <v>547</v>
      </c>
      <c r="C14" s="21" t="s">
        <v>483</v>
      </c>
      <c r="D14" s="21" t="s">
        <v>235</v>
      </c>
    </row>
    <row r="15" spans="2:5" ht="10" customHeight="1" x14ac:dyDescent="0.3">
      <c r="B15" s="20"/>
      <c r="C15" s="20"/>
      <c r="D15" s="20"/>
      <c r="E15" s="20"/>
    </row>
    <row r="16" spans="2:5" ht="32" customHeight="1" x14ac:dyDescent="0.3">
      <c r="B16" s="21" t="s">
        <v>234</v>
      </c>
    </row>
    <row r="19" spans="2:5" x14ac:dyDescent="0.3">
      <c r="B19" s="20"/>
      <c r="C19" s="20"/>
      <c r="D19" s="20"/>
      <c r="E19" s="20"/>
    </row>
    <row r="21" spans="2:5" ht="44.25" customHeight="1" x14ac:dyDescent="0.3">
      <c r="B21" s="301" t="s">
        <v>548</v>
      </c>
      <c r="C21" s="301"/>
      <c r="D21" s="301"/>
      <c r="E21" s="301"/>
    </row>
    <row r="23" spans="2:5" x14ac:dyDescent="0.3">
      <c r="B23" t="s">
        <v>8</v>
      </c>
    </row>
  </sheetData>
  <sheetProtection algorithmName="SHA-512" hashValue="uqwiQRbM/GFI58XjRqX29FLRJ8u6BxvjnxFqgm/nLP9+NgCXDGuMOqM6fv8alEwmZ5w2SNoxe6PVJArgx4g2kA==" saltValue="fbWB5TXOnxQqLltiOWWNGg==" spinCount="100000" sheet="1" objects="1" scenarios="1"/>
  <mergeCells count="2">
    <mergeCell ref="B21:E21"/>
    <mergeCell ref="B4:D4"/>
  </mergeCells>
  <hyperlinks>
    <hyperlink ref="B14" location="TBX_B!A1" tooltip=" " display="TANDEMBOX s BLUMOTION" xr:uid="{00000000-0004-0000-0900-000000000000}"/>
    <hyperlink ref="B16" location="TBX_T!A1" tooltip=" " display="TANDEMBOX s TOP-ON" xr:uid="{00000000-0004-0000-0900-000001000000}"/>
    <hyperlink ref="D14" location="LBX!A1" tooltip=" " display="LEGRABOX" xr:uid="{00000000-0004-0000-0900-000002000000}"/>
    <hyperlink ref="E2" location="Uvod!A1" tooltip=" " display="Úvodní strana" xr:uid="{00000000-0004-0000-0900-000003000000}"/>
    <hyperlink ref="C14" location="MVX!A1" tooltip=" " display="MERIVOBOX" xr:uid="{0C8D4223-82F0-4D22-B50C-70CD06F3EC72}"/>
  </hyperlinks>
  <pageMargins left="0.51181102362204722" right="0.51181102362204722" top="0.78740157480314965" bottom="0.78740157480314965" header="0.31496062992125984" footer="0.31496062992125984"/>
  <pageSetup paperSize="9" orientation="portrait" verticalDpi="599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O211"/>
  <sheetViews>
    <sheetView showGridLines="0" showRowColHeaders="0" zoomScaleNormal="100" workbookViewId="0">
      <selection activeCell="Z20" sqref="Z20"/>
    </sheetView>
  </sheetViews>
  <sheetFormatPr defaultColWidth="8.9140625" defaultRowHeight="14" x14ac:dyDescent="0.3"/>
  <cols>
    <col min="1" max="1" width="1" style="2" customWidth="1"/>
    <col min="2" max="2" width="6.25" style="2" customWidth="1"/>
    <col min="3" max="3" width="8.9140625" style="2" customWidth="1"/>
    <col min="4" max="7" width="8.9140625" style="2"/>
    <col min="8" max="8" width="8.9140625" style="2" customWidth="1"/>
    <col min="9" max="9" width="8.9140625" style="2"/>
    <col min="10" max="10" width="8.9140625" style="2" customWidth="1"/>
    <col min="11" max="11" width="0.83203125" style="2" customWidth="1"/>
    <col min="12" max="12" width="12.5" style="2" customWidth="1"/>
    <col min="13" max="13" width="9.1640625" style="2" hidden="1" customWidth="1"/>
    <col min="14" max="19" width="8.9140625" style="2" hidden="1" customWidth="1"/>
    <col min="20" max="20" width="9.4140625" style="2" hidden="1" customWidth="1"/>
    <col min="21" max="23" width="8.9140625" style="2" hidden="1" customWidth="1"/>
    <col min="24" max="24" width="18.9140625" style="2" hidden="1" customWidth="1"/>
    <col min="25" max="25" width="3.08203125" style="2" hidden="1" customWidth="1"/>
    <col min="26" max="26" width="7.5" style="2" customWidth="1"/>
    <col min="27" max="27" width="13.08203125" style="2" customWidth="1"/>
    <col min="28" max="29" width="7.5" style="2" customWidth="1"/>
    <col min="30" max="30" width="12.4140625" style="2" customWidth="1"/>
    <col min="31" max="31" width="1.5" style="2" customWidth="1"/>
    <col min="32" max="33" width="10.75" style="2" customWidth="1"/>
    <col min="34" max="34" width="7.33203125" style="2" customWidth="1"/>
    <col min="35" max="35" width="6.58203125" style="2" customWidth="1"/>
    <col min="36" max="36" width="8.9140625" style="2"/>
    <col min="37" max="42" width="6.58203125" style="2" customWidth="1"/>
    <col min="43" max="43" width="4.25" style="2" customWidth="1"/>
    <col min="44" max="44" width="1" style="2" customWidth="1"/>
    <col min="45" max="45" width="7.33203125" style="2" customWidth="1"/>
    <col min="46" max="48" width="8.9140625" style="2"/>
    <col min="49" max="49" width="5.25" style="2" customWidth="1"/>
    <col min="50" max="50" width="6.25" style="2" customWidth="1"/>
    <col min="51" max="16384" width="8.9140625" style="2"/>
  </cols>
  <sheetData>
    <row r="1" spans="2:33" ht="25" customHeight="1" x14ac:dyDescent="0.5">
      <c r="B1" s="1" t="s">
        <v>236</v>
      </c>
      <c r="AF1" s="330" t="s">
        <v>237</v>
      </c>
      <c r="AG1" s="330"/>
    </row>
    <row r="2" spans="2:33" ht="20.149999999999999" customHeight="1" x14ac:dyDescent="0.4">
      <c r="B2" s="22" t="s">
        <v>238</v>
      </c>
      <c r="AB2" s="234"/>
      <c r="AC2" s="234"/>
      <c r="AD2" s="234"/>
    </row>
    <row r="3" spans="2:33" ht="16.5" customHeight="1" x14ac:dyDescent="0.3">
      <c r="B3" s="6"/>
      <c r="C3" s="17" t="s">
        <v>108</v>
      </c>
      <c r="D3" s="17"/>
      <c r="E3" s="17"/>
      <c r="F3" s="17"/>
      <c r="G3" s="17"/>
      <c r="H3" s="17"/>
      <c r="I3" s="17"/>
      <c r="J3" s="17"/>
      <c r="M3" s="9" t="s">
        <v>24</v>
      </c>
      <c r="N3" s="63">
        <f>IF(AND(C4&gt;0, C5&gt;199, C5&lt;1201, C9&gt;=2,C6&gt;=14, C7&gt;=14, N12=1, N13=1),1,2)</f>
        <v>2</v>
      </c>
      <c r="O3" s="2" t="s">
        <v>25</v>
      </c>
      <c r="AB3" s="234"/>
      <c r="AC3" s="234"/>
      <c r="AD3" s="234"/>
    </row>
    <row r="4" spans="2:33" ht="16.5" customHeight="1" x14ac:dyDescent="0.3">
      <c r="B4" s="122"/>
      <c r="C4" s="78"/>
      <c r="D4" s="337" t="s">
        <v>239</v>
      </c>
      <c r="E4" s="337"/>
      <c r="F4" s="337"/>
      <c r="G4" s="337"/>
      <c r="H4" s="337"/>
      <c r="I4" s="337"/>
      <c r="J4" s="337"/>
      <c r="M4" s="9"/>
      <c r="N4" s="63"/>
      <c r="O4" s="2" t="s">
        <v>27</v>
      </c>
      <c r="AB4" s="234"/>
      <c r="AC4" s="234"/>
      <c r="AD4" s="234"/>
    </row>
    <row r="5" spans="2:33" ht="16.5" customHeight="1" x14ac:dyDescent="0.3">
      <c r="B5" s="122"/>
      <c r="C5" s="78"/>
      <c r="D5" s="337" t="s">
        <v>240</v>
      </c>
      <c r="E5" s="337"/>
      <c r="F5" s="337"/>
      <c r="G5" s="337"/>
      <c r="H5" s="337"/>
      <c r="I5" s="337"/>
      <c r="J5" s="337"/>
      <c r="L5" s="18" t="str">
        <f>IF(OR(C5&lt;200,C5&gt;1200),"min.200, max.1200"," ")</f>
        <v>min.200, max.1200</v>
      </c>
      <c r="M5" s="9"/>
      <c r="N5" s="63"/>
      <c r="AB5" s="234"/>
      <c r="AC5" s="234"/>
      <c r="AD5" s="234"/>
    </row>
    <row r="6" spans="2:33" ht="16.5" customHeight="1" x14ac:dyDescent="0.3">
      <c r="B6" s="122"/>
      <c r="C6" s="78"/>
      <c r="D6" s="337" t="s">
        <v>30</v>
      </c>
      <c r="E6" s="337"/>
      <c r="F6" s="337"/>
      <c r="G6" s="337"/>
      <c r="H6" s="337"/>
      <c r="I6" s="337"/>
      <c r="J6" s="337"/>
      <c r="L6" s="12" t="str">
        <f>IF(C6&lt;14,"Minimálně 14 mm!"," ")</f>
        <v>Minimálně 14 mm!</v>
      </c>
      <c r="AC6" s="224"/>
      <c r="AD6" s="224"/>
    </row>
    <row r="7" spans="2:33" ht="16.5" customHeight="1" x14ac:dyDescent="0.3">
      <c r="B7" s="122"/>
      <c r="C7" s="78"/>
      <c r="D7" s="337" t="s">
        <v>31</v>
      </c>
      <c r="E7" s="337"/>
      <c r="F7" s="337"/>
      <c r="G7" s="337"/>
      <c r="H7" s="337"/>
      <c r="I7" s="337"/>
      <c r="J7" s="337"/>
      <c r="L7" s="12" t="str">
        <f>IF(C7&lt;14,"Minimálně 14 mm!"," ")</f>
        <v>Minimálně 14 mm!</v>
      </c>
      <c r="AC7" s="224"/>
      <c r="AD7" s="224"/>
    </row>
    <row r="8" spans="2:33" ht="16.5" customHeight="1" x14ac:dyDescent="0.3">
      <c r="B8" s="122"/>
      <c r="C8" s="78"/>
      <c r="D8" s="337" t="s">
        <v>109</v>
      </c>
      <c r="E8" s="337"/>
      <c r="F8" s="337"/>
      <c r="G8" s="337"/>
      <c r="H8" s="337"/>
      <c r="I8" s="337"/>
      <c r="J8" s="337"/>
      <c r="L8" s="12"/>
      <c r="AC8" s="224"/>
      <c r="AD8" s="224"/>
    </row>
    <row r="9" spans="2:33" ht="16.5" customHeight="1" x14ac:dyDescent="0.3">
      <c r="B9" s="122"/>
      <c r="C9" s="78"/>
      <c r="D9" s="337" t="s">
        <v>33</v>
      </c>
      <c r="E9" s="337"/>
      <c r="F9" s="337"/>
      <c r="G9" s="337"/>
      <c r="H9" s="337"/>
      <c r="I9" s="337"/>
      <c r="J9" s="337"/>
      <c r="L9" s="12" t="str">
        <f>IF(C9&lt;2,"Minimálně 2 mm!"," ")</f>
        <v>Minimálně 2 mm!</v>
      </c>
      <c r="AC9" s="224"/>
      <c r="AD9" s="224"/>
    </row>
    <row r="10" spans="2:33" ht="16.5" customHeight="1" x14ac:dyDescent="0.3">
      <c r="B10" s="122"/>
      <c r="C10" s="78"/>
      <c r="D10" s="337" t="s">
        <v>34</v>
      </c>
      <c r="E10" s="337"/>
      <c r="F10" s="337"/>
      <c r="G10" s="337"/>
      <c r="H10" s="337"/>
      <c r="I10" s="337"/>
      <c r="J10" s="337"/>
      <c r="AC10" s="224"/>
      <c r="AD10" s="224"/>
    </row>
    <row r="11" spans="2:33" ht="16.5" customHeight="1" x14ac:dyDescent="0.3">
      <c r="B11" s="122"/>
      <c r="C11" s="78"/>
      <c r="D11" s="337" t="s">
        <v>35</v>
      </c>
      <c r="E11" s="337"/>
      <c r="F11" s="337"/>
      <c r="G11" s="337"/>
      <c r="H11" s="337"/>
      <c r="I11" s="337"/>
      <c r="J11" s="337"/>
      <c r="AC11" s="224"/>
      <c r="AD11" s="224"/>
    </row>
    <row r="12" spans="2:33" customFormat="1" ht="16.5" customHeight="1" x14ac:dyDescent="0.3">
      <c r="B12" s="123"/>
      <c r="C12" s="79"/>
      <c r="D12" s="337" t="s">
        <v>241</v>
      </c>
      <c r="E12" s="337"/>
      <c r="F12" s="337"/>
      <c r="G12" s="337"/>
      <c r="H12" s="337"/>
      <c r="I12" s="337"/>
      <c r="J12" s="337"/>
      <c r="L12" s="14" t="str">
        <f>IF((OR($C$12=0, $N$12=1)), " ", "Nesprávná hodnota***")</f>
        <v xml:space="preserve"> </v>
      </c>
      <c r="M12" s="114" t="s">
        <v>242</v>
      </c>
      <c r="N12" s="20">
        <f>IF(OR(C12=270, C12=300, C12=350, C12=400, C12=450, C12=500, C12=550, C12=600, C12=650), 1, 2)</f>
        <v>2</v>
      </c>
    </row>
    <row r="13" spans="2:33" customFormat="1" ht="16.5" customHeight="1" thickBot="1" x14ac:dyDescent="0.35">
      <c r="B13" s="124"/>
      <c r="C13" s="119"/>
      <c r="D13" s="344" t="s">
        <v>243</v>
      </c>
      <c r="E13" s="344"/>
      <c r="F13" s="344"/>
      <c r="G13" s="344"/>
      <c r="H13" s="344"/>
      <c r="I13" s="344"/>
      <c r="J13" s="344"/>
      <c r="L13" s="18" t="str">
        <f>IF(OR(C13&lt;1,C13&gt;5),"min.1, max.5"," ")</f>
        <v>min.1, max.5</v>
      </c>
      <c r="M13" s="114" t="s">
        <v>244</v>
      </c>
      <c r="N13" s="20">
        <f>IF(OR(C13&lt;1, C13&gt;5), 2, 1)</f>
        <v>2</v>
      </c>
      <c r="O13" s="114" t="s">
        <v>245</v>
      </c>
    </row>
    <row r="14" spans="2:33" ht="16.5" customHeight="1" thickBot="1" x14ac:dyDescent="0.35">
      <c r="B14" s="125" t="str">
        <f>C14</f>
        <v>x</v>
      </c>
      <c r="C14" s="121" t="str">
        <f>IF(N3=1, C4-O14, "x")</f>
        <v>x</v>
      </c>
      <c r="D14" s="338" t="s">
        <v>246</v>
      </c>
      <c r="E14" s="339"/>
      <c r="F14" s="339"/>
      <c r="G14" s="339"/>
      <c r="H14" s="339"/>
      <c r="I14" s="339"/>
      <c r="J14" s="340"/>
      <c r="M14" s="9" t="s">
        <v>247</v>
      </c>
      <c r="N14" s="63">
        <f>IF($C$14&gt;=0, 1, 2)</f>
        <v>1</v>
      </c>
      <c r="O14" s="75">
        <f>IF($C13&gt;0, $V18, 0)</f>
        <v>0</v>
      </c>
      <c r="P14" s="113" t="s">
        <v>248</v>
      </c>
      <c r="S14" s="118"/>
      <c r="AC14" s="224"/>
      <c r="AD14" s="224"/>
    </row>
    <row r="15" spans="2:33" ht="16.5" customHeight="1" x14ac:dyDescent="0.3">
      <c r="B15" s="120"/>
      <c r="C15" s="14" t="str">
        <f>IF(N3=2, "Vyplňte správně všechny parametry!", IF(C14&lt;0, "Součet výšek čel je větší než výška korpusu!", " "))</f>
        <v>Vyplňte správně všechny parametry!</v>
      </c>
      <c r="D15" s="14"/>
      <c r="E15" s="14"/>
      <c r="F15" s="5"/>
      <c r="G15" s="5"/>
      <c r="H15" s="5"/>
      <c r="I15" s="5"/>
      <c r="J15" s="5"/>
    </row>
    <row r="16" spans="2:33" x14ac:dyDescent="0.3">
      <c r="N16" s="63"/>
      <c r="O16" s="63"/>
      <c r="P16" s="63"/>
      <c r="Q16" s="63"/>
      <c r="R16" s="63"/>
      <c r="S16" s="63"/>
      <c r="T16" s="63"/>
      <c r="U16" s="63"/>
      <c r="V16" s="63"/>
      <c r="W16" s="63"/>
    </row>
    <row r="17" spans="2:30" ht="15" customHeight="1" x14ac:dyDescent="0.3">
      <c r="B17" s="331" t="s">
        <v>249</v>
      </c>
      <c r="C17" s="331" t="s">
        <v>250</v>
      </c>
      <c r="D17" s="331" t="s">
        <v>251</v>
      </c>
      <c r="E17" s="332" t="s">
        <v>252</v>
      </c>
      <c r="F17" s="333" t="s">
        <v>64</v>
      </c>
      <c r="G17" s="334"/>
      <c r="H17" s="335"/>
      <c r="I17" s="333" t="s">
        <v>65</v>
      </c>
      <c r="J17" s="335"/>
      <c r="N17" s="13"/>
      <c r="O17" s="13"/>
      <c r="P17" s="13"/>
      <c r="Q17" s="13"/>
      <c r="R17" s="13"/>
      <c r="S17" s="109" t="s">
        <v>253</v>
      </c>
      <c r="T17" s="106" t="s">
        <v>254</v>
      </c>
      <c r="U17" s="104" t="s">
        <v>255</v>
      </c>
      <c r="V17" s="63"/>
    </row>
    <row r="18" spans="2:30" ht="15" customHeight="1" x14ac:dyDescent="0.35">
      <c r="B18" s="331"/>
      <c r="C18" s="331"/>
      <c r="D18" s="331"/>
      <c r="E18" s="332"/>
      <c r="F18" s="62" t="s">
        <v>141</v>
      </c>
      <c r="G18" s="62" t="s">
        <v>67</v>
      </c>
      <c r="H18" s="62" t="s">
        <v>68</v>
      </c>
      <c r="I18" s="62" t="s">
        <v>141</v>
      </c>
      <c r="J18" s="62" t="s">
        <v>256</v>
      </c>
      <c r="N18" s="63"/>
      <c r="O18" s="63"/>
      <c r="P18" s="63"/>
      <c r="Q18" s="63"/>
      <c r="R18" s="63"/>
      <c r="S18" s="109" t="s">
        <v>257</v>
      </c>
      <c r="T18" s="106" t="s">
        <v>257</v>
      </c>
      <c r="U18" s="104" t="s">
        <v>258</v>
      </c>
      <c r="V18" s="108">
        <f>IF(C13=1, V23, IF(C13=2, SUM(V22:V23), IF(C13=3, SUM(V21:V23), IF(C13=4, SUM(V20:V23), IF(C13=5, SUM(V19:V23), 0)))))</f>
        <v>0</v>
      </c>
      <c r="W18" s="2" t="s">
        <v>259</v>
      </c>
      <c r="X18" s="2" t="s">
        <v>260</v>
      </c>
      <c r="AC18" s="2" t="s">
        <v>43</v>
      </c>
    </row>
    <row r="19" spans="2:30" ht="28.5" customHeight="1" x14ac:dyDescent="0.35">
      <c r="B19" s="3" t="str">
        <f>IF(AND($C$13&gt;4, $C$13&lt;6), 5, " ")</f>
        <v xml:space="preserve"> </v>
      </c>
      <c r="C19" s="117"/>
      <c r="D19" s="3" t="str">
        <f>IF(OR($C19=0,$N$3=2,$N$14=2,$C$13&lt;5)," ",$U19)</f>
        <v xml:space="preserve"> </v>
      </c>
      <c r="E19" s="111" t="str">
        <f>IF(OR(C19=0,$N$3=2, $N$14=2, U19="nelze",$C$13&lt;5), " ", S19)</f>
        <v xml:space="preserve"> </v>
      </c>
      <c r="F19" s="3" t="str">
        <f>IF(OR($C$19=0,$N$3=2,$N$14=2,U19="nelze",$C$13&lt;5)," ",$N$22)</f>
        <v xml:space="preserve"> </v>
      </c>
      <c r="G19" s="3" t="str">
        <f>IF(OR($C$19=0,$N$3=2,$N$14=2,U19="nelze",$C$13&lt;5)," ",$O$22+$C$7-$C$11)</f>
        <v xml:space="preserve"> </v>
      </c>
      <c r="H19" s="3" t="str">
        <f>G19</f>
        <v xml:space="preserve"> </v>
      </c>
      <c r="I19" s="3" t="str">
        <f>IF(OR($C$19=0,$N$3=2,$N$14=2,$U$19="nelze",$C$13&lt;5)," ",$C$23+$C$22+$C$21+$C$20+$C$10+$C$9*4+$Q$22)</f>
        <v xml:space="preserve"> </v>
      </c>
      <c r="J19" s="3" t="str">
        <f>IF(OR($N$3=2,$C$19=0,$N$14=2,U19="nelze",$C$13&lt;5)," ",$R$22)</f>
        <v xml:space="preserve"> </v>
      </c>
      <c r="L19" s="126" t="str">
        <f>IF(AND($C$13&lt;5,C19&gt;0),"◄nevyplňovat!"," ")</f>
        <v xml:space="preserve"> </v>
      </c>
      <c r="M19" s="127" t="s">
        <v>261</v>
      </c>
      <c r="S19" s="110">
        <f t="shared" ref="S19:S21" si="0">SUM(T19, -9, -16)</f>
        <v>-25</v>
      </c>
      <c r="T19" s="107">
        <f>SUM(C19,-C6,C8)</f>
        <v>0</v>
      </c>
      <c r="U19" s="105" t="str">
        <f>IF(T19&gt;224,"M/K/C/D",IF(T19&gt;192,"M/K/C",IF(T19&gt;130.5,"M/K", IF(T19&gt;98.5,"M", "nelze"))))</f>
        <v>nelze</v>
      </c>
      <c r="V19" s="58">
        <f>IF(C13=5, SUM(C19, $C$8), 0)</f>
        <v>0</v>
      </c>
      <c r="W19" s="9" t="str">
        <f>$I$19</f>
        <v xml:space="preserve"> </v>
      </c>
      <c r="X19" s="10" t="s">
        <v>262</v>
      </c>
      <c r="Y19" s="342" t="str">
        <f>M17&amp;" "&amp;IF(C19&gt;0,R17,IF(C20&gt;0,Q17,IF(C21&gt;0,P17,IF(C22&gt;0,O17,IF(C23&gt;0,N17,0)))))</f>
        <v xml:space="preserve"> 0</v>
      </c>
      <c r="Z19" s="9" t="str">
        <f>$I$19</f>
        <v xml:space="preserve"> </v>
      </c>
      <c r="AC19" s="63" t="str">
        <f>$G$23</f>
        <v xml:space="preserve"> </v>
      </c>
    </row>
    <row r="20" spans="2:30" ht="28.5" customHeight="1" x14ac:dyDescent="0.3">
      <c r="B20" s="3" t="str">
        <f>IF(AND($C$13&gt;3, $C$13&lt;6), 4, " ")</f>
        <v xml:space="preserve"> </v>
      </c>
      <c r="C20" s="117"/>
      <c r="D20" s="3" t="str">
        <f>IF(OR($C20=0,$N$3=2,$N$14=2,$C$13&lt;4)," ",$U20)</f>
        <v xml:space="preserve"> </v>
      </c>
      <c r="E20" s="111" t="str">
        <f>IF(OR(C20=0,$N$3=2, $N$14=2, U20="nelze",$C$13&lt;4), " ", S20)</f>
        <v xml:space="preserve"> </v>
      </c>
      <c r="F20" s="3" t="str">
        <f>IF(OR($C$20=0,$N$3=2,$N$14=2,U20="nelze",$C$13&lt;4)," ",$N$22)</f>
        <v xml:space="preserve"> </v>
      </c>
      <c r="G20" s="3" t="str">
        <f>IF(OR($C$20=0,$N$3=2,$N$14=2,U20="nelze",$C$13&lt;4)," ",$O$22+$C$7-$C$11)</f>
        <v xml:space="preserve"> </v>
      </c>
      <c r="H20" s="3" t="str">
        <f>G20</f>
        <v xml:space="preserve"> </v>
      </c>
      <c r="I20" s="3" t="str">
        <f>IF(OR($C$20=0,$N$3=2,$N$14=2,$U$20="nelze", C13&lt;4)," ",$C$23+$C$22+$C$21+$C$10+$C$9*3+$Q$22)</f>
        <v xml:space="preserve"> </v>
      </c>
      <c r="J20" s="3" t="str">
        <f>IF(OR($N$3=2,$C$20=0,$N$14=2,U20="nelze",$C$13&lt;4)," ",$R$22)</f>
        <v xml:space="preserve"> </v>
      </c>
      <c r="L20" s="126" t="str">
        <f>IF(AND($C$13&lt;4,C20&gt;0),"◄nevyplňovat!"," ")</f>
        <v xml:space="preserve"> </v>
      </c>
      <c r="S20" s="110">
        <f t="shared" si="0"/>
        <v>-25</v>
      </c>
      <c r="T20" s="107">
        <f>IF($C$13=4, SUM(C20, -$C$6, $C$8), C20)</f>
        <v>0</v>
      </c>
      <c r="U20" s="105" t="str">
        <f>IF(T20&gt;224,"M/K/C/D",IF(T20&gt;192,"M/K/C",IF(T20&gt;130.5,"M/K", IF(T20&gt;98.5,"M", "nelze"))))</f>
        <v>nelze</v>
      </c>
      <c r="V20" s="58">
        <f>IF($C$13&gt;4, SUM(C20, $C$9), IF($C$13=4, SUM(C20, $C$8), 0))</f>
        <v>0</v>
      </c>
      <c r="W20" s="9" t="str">
        <f>$I$20</f>
        <v xml:space="preserve"> </v>
      </c>
      <c r="X20" s="8" t="s">
        <v>263</v>
      </c>
      <c r="Y20" s="343"/>
      <c r="Z20" s="9" t="str">
        <f>$I$20</f>
        <v xml:space="preserve"> </v>
      </c>
    </row>
    <row r="21" spans="2:30" ht="28.5" customHeight="1" x14ac:dyDescent="0.3">
      <c r="B21" s="3" t="str">
        <f>IF(AND($C$13&gt;2, $C$13&lt;6), 3, " ")</f>
        <v xml:space="preserve"> </v>
      </c>
      <c r="C21" s="117"/>
      <c r="D21" s="3" t="str">
        <f>IF(OR($C21=0,$N$3=2,$N$14=2,$C$13&lt;3)," ",$U21)</f>
        <v xml:space="preserve"> </v>
      </c>
      <c r="E21" s="111" t="str">
        <f>IF(OR(C21=0,$N$3=2, $N$14=2, U21="nelze",$C$13&lt;3), " ", S21)</f>
        <v xml:space="preserve"> </v>
      </c>
      <c r="F21" s="3" t="str">
        <f>IF(OR($C$21=0,$N$3=2,$N$14=2,U21="nelze",$C$13&lt;3)," ",$N$22)</f>
        <v xml:space="preserve"> </v>
      </c>
      <c r="G21" s="3" t="str">
        <f>IF(OR($C$21=0,$N$3=2,$N$14=2,U21="nelze",$C$13&lt;3)," ",$O$22+$C$7-$C$11)</f>
        <v xml:space="preserve"> </v>
      </c>
      <c r="H21" s="3" t="str">
        <f>G21</f>
        <v xml:space="preserve"> </v>
      </c>
      <c r="I21" s="3" t="str">
        <f>IF(OR($C$21=0,$N$3=2,$N$14=2,$U$21="nelze",C13&lt;3)," ",$C$23+$C$22+$C$10+$C$9*2+$Q$22)</f>
        <v xml:space="preserve"> </v>
      </c>
      <c r="J21" s="3" t="str">
        <f>IF(OR($N$3=2,$C$21=0,$N$14=2,U21="nelze",$C$13&lt;3)," ",$R$22)</f>
        <v xml:space="preserve"> </v>
      </c>
      <c r="L21" s="126" t="str">
        <f>IF(AND($C$13&lt;3,C21&gt;0),"◄nevyplňovat!"," ")</f>
        <v xml:space="preserve"> </v>
      </c>
      <c r="S21" s="110">
        <f t="shared" si="0"/>
        <v>-25</v>
      </c>
      <c r="T21" s="107">
        <f>IF($C$13=3, SUM(C21, -$C$6, $C$8), C21)</f>
        <v>0</v>
      </c>
      <c r="U21" s="105" t="str">
        <f>IF(T21&gt;224,"M/K/C/D",IF(T21&gt;192,"M/K/C",IF(T21&gt;130.5,"M/K", IF(T21&gt;98.5,"M", "nelze"))))</f>
        <v>nelze</v>
      </c>
      <c r="V21" s="58">
        <f>IF($C$13&gt;3, SUM(C21, $C$9), IF($C$13=3, SUM(C21, $C$8), 0))</f>
        <v>0</v>
      </c>
      <c r="W21" s="9" t="str">
        <f>$I$21</f>
        <v xml:space="preserve"> </v>
      </c>
      <c r="X21" s="8" t="s">
        <v>264</v>
      </c>
      <c r="Y21" s="343"/>
      <c r="Z21" s="9" t="str">
        <f>$I$21</f>
        <v xml:space="preserve"> </v>
      </c>
      <c r="AC21" s="15" t="str">
        <f>$G$23</f>
        <v xml:space="preserve"> </v>
      </c>
    </row>
    <row r="22" spans="2:30" ht="28.5" customHeight="1" x14ac:dyDescent="0.3">
      <c r="B22" s="3" t="str">
        <f>IF(AND($C$13&gt;1, $C$13&lt;6), 2, " ")</f>
        <v xml:space="preserve"> </v>
      </c>
      <c r="C22" s="117"/>
      <c r="D22" s="3" t="str">
        <f>IF(OR($C22=0,$N$3=2,$N$14=2,$C$13&lt;2)," ",$U22)</f>
        <v xml:space="preserve"> </v>
      </c>
      <c r="E22" s="111" t="str">
        <f>IF(OR(C22=0,$N$3=2, $N$14=2, U22="nelze",$C$13&lt;2), " ", S22)</f>
        <v xml:space="preserve"> </v>
      </c>
      <c r="F22" s="3" t="str">
        <f>IF(OR($C$22=0,$N$3=2,$N$14=2,U22="nelze",$C$13&lt;2)," ",$N$22)</f>
        <v xml:space="preserve"> </v>
      </c>
      <c r="G22" s="3" t="str">
        <f>IF(OR($C$22=0,$N$3=2,$N$14=2,U22="nelze",$C$13&lt;2)," ",$O$22+$C$7-$C$11)</f>
        <v xml:space="preserve"> </v>
      </c>
      <c r="H22" s="3" t="str">
        <f>G22</f>
        <v xml:space="preserve"> </v>
      </c>
      <c r="I22" s="3" t="str">
        <f>IF(OR($C$22=0,$N$3=2,$N$14=2,$U$22="nelze",C13&lt;2)," ",$C$23+$C$10+$C$9+$Q$22)</f>
        <v xml:space="preserve"> </v>
      </c>
      <c r="J22" s="3" t="str">
        <f>IF(OR($N$3=2,$C$22=0,$N$14=2,U22="nelze",$C$13&lt;2)," ",$R$22)</f>
        <v xml:space="preserve"> </v>
      </c>
      <c r="L22" s="126" t="str">
        <f>IF(AND($C$13&lt;2,C22&gt;0),"◄nevyplňovat!"," ")</f>
        <v xml:space="preserve"> </v>
      </c>
      <c r="M22" s="4" t="s">
        <v>265</v>
      </c>
      <c r="N22" s="4">
        <v>47.5</v>
      </c>
      <c r="O22" s="4">
        <v>15.5</v>
      </c>
      <c r="P22" s="4">
        <v>15.5</v>
      </c>
      <c r="Q22" s="4">
        <v>33</v>
      </c>
      <c r="R22" s="4">
        <v>37</v>
      </c>
      <c r="S22" s="110">
        <f>SUM(T22, -9, -16)</f>
        <v>-25</v>
      </c>
      <c r="T22" s="107">
        <f>IF($C$13=2, SUM(C22, -$C$6, $C$8), C22)</f>
        <v>0</v>
      </c>
      <c r="U22" s="105" t="str">
        <f>IF(T22&gt;224,"M/K/C/D",IF(T22&gt;192,"M/K/C",IF(T22&gt;130.5,"M/K", IF(T22&gt;98.5,"M", "nelze"))))</f>
        <v>nelze</v>
      </c>
      <c r="V22" s="58">
        <f>IF($C$13&gt;2, SUM(C22, $C$9), IF($C$13=2, SUM(C22, $C$8), 0))</f>
        <v>0</v>
      </c>
      <c r="W22" s="9" t="str">
        <f>$I$22</f>
        <v xml:space="preserve"> </v>
      </c>
      <c r="X22" s="8" t="s">
        <v>266</v>
      </c>
      <c r="Y22" s="343"/>
      <c r="Z22" s="9" t="str">
        <f>$I$22</f>
        <v xml:space="preserve"> </v>
      </c>
      <c r="AC22" s="15" t="str">
        <f>$G$23</f>
        <v xml:space="preserve"> </v>
      </c>
    </row>
    <row r="23" spans="2:30" ht="28.5" customHeight="1" x14ac:dyDescent="0.3">
      <c r="B23" s="3" t="str">
        <f>IF(AND($C$13&gt;0, C13&lt;6), "Dole", " ")</f>
        <v xml:space="preserve"> </v>
      </c>
      <c r="C23" s="117"/>
      <c r="D23" s="3" t="str">
        <f>IF(OR($C23=0,$N$3=2,$N$14=2,$C$13&lt;1)," ",$U23)</f>
        <v xml:space="preserve"> </v>
      </c>
      <c r="E23" s="111" t="str">
        <f>IF(OR(C23=0,$N$3=2, $N$14=2, U23="nelze",$C$13&lt;1), " ", S23)</f>
        <v xml:space="preserve"> </v>
      </c>
      <c r="F23" s="3" t="str">
        <f>IF(OR($C$23=0,$N$3=2,$N$14=2,U23="nelze",$C$13&lt;1)," ",SUM($N$23, $C$6, -$C$10))</f>
        <v xml:space="preserve"> </v>
      </c>
      <c r="G23" s="3" t="str">
        <f>IF(OR($C$23=0,$N$3=2,$N$14=2,U23="nelze",$C$13&lt;1)," ",$O$23+$C$7-$C$11)</f>
        <v xml:space="preserve"> </v>
      </c>
      <c r="H23" s="3" t="str">
        <f>G23</f>
        <v xml:space="preserve"> </v>
      </c>
      <c r="I23" s="3" t="str">
        <f>IF(OR($C$23=0,$N$3=2,$N$14=2,$U$23="nelze",C13&lt;1)," ",$Q$23+$C$6)</f>
        <v xml:space="preserve"> </v>
      </c>
      <c r="J23" s="3" t="str">
        <f>IF(OR($N$3=2,$C$23=0,$N$14=2,U23="nelze",$C$13&lt;1)," ",$R$23)</f>
        <v xml:space="preserve"> </v>
      </c>
      <c r="L23" s="126" t="str">
        <f>IF(AND($C$13&lt;1,C23&gt;0),"◄nevyplňovat!"," ")</f>
        <v xml:space="preserve"> </v>
      </c>
      <c r="M23" s="4" t="s">
        <v>267</v>
      </c>
      <c r="N23" s="4">
        <v>49.5</v>
      </c>
      <c r="O23" s="4">
        <v>15.5</v>
      </c>
      <c r="P23" s="4">
        <v>15.5</v>
      </c>
      <c r="Q23" s="4">
        <v>35</v>
      </c>
      <c r="R23" s="4">
        <v>37</v>
      </c>
      <c r="S23" s="110">
        <f>SUM(T23, -11, -16)</f>
        <v>-27</v>
      </c>
      <c r="T23" s="107">
        <f>IF(C13=1, SUM(C23, -C6*2, C10, C8), SUM(C23, -C6, C10))</f>
        <v>0</v>
      </c>
      <c r="U23" s="105" t="str">
        <f>IF(T23&gt;226,"M/K/C/D",IF(T23&gt;192,"M/K/C",IF(T23&gt;130.5,"M/K", IF(T23&gt;98.5,"M", "nelze"))))</f>
        <v>nelze</v>
      </c>
      <c r="V23" s="58">
        <f>IF($C$13&gt;1, SUM(C23, $C$9, $C$10), IF($C$13=1, SUM(C23, $C$8, $C$10), 0))</f>
        <v>0</v>
      </c>
      <c r="W23" s="9" t="str">
        <f>$I$23</f>
        <v xml:space="preserve"> </v>
      </c>
      <c r="X23" s="7" t="s">
        <v>268</v>
      </c>
      <c r="Y23" s="343"/>
      <c r="Z23" s="9" t="str">
        <f>$I$23</f>
        <v xml:space="preserve"> </v>
      </c>
      <c r="AC23" s="9" t="s">
        <v>269</v>
      </c>
      <c r="AD23" s="5" t="str">
        <f>$F$22</f>
        <v xml:space="preserve"> </v>
      </c>
    </row>
    <row r="24" spans="2:30" x14ac:dyDescent="0.3">
      <c r="AC24" s="9" t="s">
        <v>270</v>
      </c>
      <c r="AD24" s="5" t="str">
        <f>$F$23</f>
        <v xml:space="preserve"> </v>
      </c>
    </row>
    <row r="25" spans="2:30" x14ac:dyDescent="0.3">
      <c r="B25" s="2" t="s">
        <v>271</v>
      </c>
    </row>
    <row r="26" spans="2:30" x14ac:dyDescent="0.3">
      <c r="B26" s="2" t="s">
        <v>112</v>
      </c>
      <c r="Z26" s="11" t="s">
        <v>272</v>
      </c>
    </row>
    <row r="28" spans="2:30" x14ac:dyDescent="0.3">
      <c r="B28" s="45" t="s">
        <v>273</v>
      </c>
      <c r="L28" s="2" t="str">
        <f>IF(OR(L23=2, L22=2, L21=2, L20=2, L19=2), 2, " ")</f>
        <v xml:space="preserve"> </v>
      </c>
      <c r="O28" s="303" t="s">
        <v>274</v>
      </c>
      <c r="P28" s="303"/>
      <c r="Q28" s="303" t="s">
        <v>275</v>
      </c>
      <c r="R28" s="303"/>
      <c r="S28" s="303"/>
    </row>
    <row r="29" spans="2:30" x14ac:dyDescent="0.3">
      <c r="N29" s="63" t="s">
        <v>276</v>
      </c>
      <c r="O29" s="63" t="s">
        <v>277</v>
      </c>
      <c r="P29" s="63" t="s">
        <v>278</v>
      </c>
      <c r="Q29" s="63" t="s">
        <v>279</v>
      </c>
      <c r="R29" s="63" t="s">
        <v>280</v>
      </c>
      <c r="S29" s="63" t="s">
        <v>281</v>
      </c>
      <c r="T29" s="63" t="s">
        <v>282</v>
      </c>
      <c r="U29" s="63" t="s">
        <v>283</v>
      </c>
    </row>
    <row r="30" spans="2:30" x14ac:dyDescent="0.3">
      <c r="B30" s="2" t="s">
        <v>284</v>
      </c>
      <c r="M30" s="63">
        <v>5</v>
      </c>
      <c r="N30" s="63">
        <f>IF(AND($N$3=1, $W30&lt;&gt;"nelze"), 1, 0)</f>
        <v>0</v>
      </c>
      <c r="O30" s="63">
        <f>IF(AND($N$3=1, $W30&lt;&gt;"nelze"), 1, 0)</f>
        <v>0</v>
      </c>
      <c r="P30" s="63"/>
      <c r="Q30" s="63">
        <f>IF(AND($N$3=1, $W30="M"), 1, 0)</f>
        <v>0</v>
      </c>
      <c r="R30" s="63">
        <f>IF(AND($N$3=1, $W30="C"), 1, 0)</f>
        <v>0</v>
      </c>
      <c r="S30" s="63">
        <f>IF(AND($N$3=1, $W30="D"), 1, 0)</f>
        <v>0</v>
      </c>
      <c r="T30" s="63">
        <f>IF(AND($N$3=1, OR($W30="C", $W30="D")), 1, 0)</f>
        <v>0</v>
      </c>
      <c r="V30" s="92">
        <f>T19</f>
        <v>0</v>
      </c>
      <c r="W30" s="105" t="str">
        <f t="shared" ref="W30:W33" si="1">IF(V30&gt;226,"D",IF(V30&gt;192,"C",IF(V30&gt;98.5,"M", "nelze")))</f>
        <v>nelze</v>
      </c>
    </row>
    <row r="31" spans="2:30" x14ac:dyDescent="0.3">
      <c r="B31" s="2" t="s">
        <v>285</v>
      </c>
      <c r="M31" s="63">
        <v>4</v>
      </c>
      <c r="N31" s="63">
        <f>IF(AND($N$3=1, $W31&lt;&gt;"nelze"), 1, 0)</f>
        <v>0</v>
      </c>
      <c r="O31" s="63">
        <f t="shared" ref="O31:O34" si="2">IF(AND($N$3=1, $W31&lt;&gt;"nelze"), 1, 0)</f>
        <v>0</v>
      </c>
      <c r="P31" s="63"/>
      <c r="Q31" s="63">
        <f t="shared" ref="Q31:Q34" si="3">IF(AND($N$3=1, $W31="M"), 1, 0)</f>
        <v>0</v>
      </c>
      <c r="R31" s="63">
        <f t="shared" ref="R31:R34" si="4">IF(AND($N$3=1, $W31="C"), 1, 0)</f>
        <v>0</v>
      </c>
      <c r="S31" s="63">
        <f t="shared" ref="S31:S34" si="5">IF(AND($N$3=1, $W31="D"), 1, 0)</f>
        <v>0</v>
      </c>
      <c r="T31" s="63">
        <f t="shared" ref="T31:T34" si="6">IF(AND($N$3=1, OR($W31="C", $W31="D")), 1, 0)</f>
        <v>0</v>
      </c>
      <c r="V31" s="92">
        <f>T20</f>
        <v>0</v>
      </c>
      <c r="W31" s="105" t="str">
        <f t="shared" si="1"/>
        <v>nelze</v>
      </c>
    </row>
    <row r="32" spans="2:30" x14ac:dyDescent="0.3">
      <c r="B32" s="2" t="s">
        <v>286</v>
      </c>
      <c r="M32" s="63">
        <v>3</v>
      </c>
      <c r="N32" s="63">
        <f>IF(AND($N$3=1, $W32&lt;&gt;"nelze"), 1, 0)</f>
        <v>0</v>
      </c>
      <c r="O32" s="63">
        <f t="shared" si="2"/>
        <v>0</v>
      </c>
      <c r="P32" s="63"/>
      <c r="Q32" s="63">
        <f t="shared" si="3"/>
        <v>0</v>
      </c>
      <c r="R32" s="63">
        <f t="shared" si="4"/>
        <v>0</v>
      </c>
      <c r="S32" s="63">
        <f t="shared" si="5"/>
        <v>0</v>
      </c>
      <c r="T32" s="63">
        <f t="shared" si="6"/>
        <v>0</v>
      </c>
      <c r="V32" s="92">
        <f>T21</f>
        <v>0</v>
      </c>
      <c r="W32" s="105" t="str">
        <f t="shared" si="1"/>
        <v>nelze</v>
      </c>
    </row>
    <row r="33" spans="1:28" x14ac:dyDescent="0.3">
      <c r="B33" s="2" t="s">
        <v>287</v>
      </c>
      <c r="M33" s="63">
        <v>2</v>
      </c>
      <c r="N33" s="63">
        <f>IF(AND($N$3=1, $W33&lt;&gt;"nelze"), 1, 0)</f>
        <v>0</v>
      </c>
      <c r="O33" s="63">
        <f t="shared" si="2"/>
        <v>0</v>
      </c>
      <c r="P33" s="63"/>
      <c r="Q33" s="63">
        <f t="shared" si="3"/>
        <v>0</v>
      </c>
      <c r="R33" s="63">
        <f t="shared" si="4"/>
        <v>0</v>
      </c>
      <c r="S33" s="63">
        <f t="shared" si="5"/>
        <v>0</v>
      </c>
      <c r="T33" s="63">
        <f t="shared" si="6"/>
        <v>0</v>
      </c>
      <c r="V33" s="92">
        <f>T22</f>
        <v>0</v>
      </c>
      <c r="W33" s="105" t="str">
        <f t="shared" si="1"/>
        <v>nelze</v>
      </c>
    </row>
    <row r="34" spans="1:28" x14ac:dyDescent="0.3">
      <c r="B34" s="2" t="s">
        <v>288</v>
      </c>
      <c r="M34" s="63" t="s">
        <v>267</v>
      </c>
      <c r="N34" s="63">
        <f>IF(AND($N$3=1, $W34&lt;&gt;"nelze"), 1, 0)</f>
        <v>0</v>
      </c>
      <c r="O34" s="63">
        <f t="shared" si="2"/>
        <v>0</v>
      </c>
      <c r="P34" s="63"/>
      <c r="Q34" s="63">
        <f t="shared" si="3"/>
        <v>0</v>
      </c>
      <c r="R34" s="63">
        <f t="shared" si="4"/>
        <v>0</v>
      </c>
      <c r="S34" s="63">
        <f t="shared" si="5"/>
        <v>0</v>
      </c>
      <c r="T34" s="63">
        <f t="shared" si="6"/>
        <v>0</v>
      </c>
      <c r="V34" s="92">
        <f>T23</f>
        <v>0</v>
      </c>
      <c r="W34" s="105" t="str">
        <f>IF(V34&gt;226,"D",IF(V34&gt;192,"C",IF(V34&gt;98.5,"M", "nelze")))</f>
        <v>nelze</v>
      </c>
    </row>
    <row r="40" spans="1:28" ht="14.5" thickBot="1" x14ac:dyDescent="0.35">
      <c r="A40" s="63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</row>
    <row r="41" spans="1:28" ht="25" customHeight="1" thickTop="1" x14ac:dyDescent="0.35">
      <c r="A41" s="63"/>
      <c r="B41" s="19" t="str">
        <f>"Výsledky pro korpus šířky "&amp;$C$5&amp;" mm a výšky "&amp;$C$4&amp;" mm"</f>
        <v>Výsledky pro korpus šířky  mm a výšky  mm</v>
      </c>
      <c r="AB41" s="103" t="str">
        <f>$B$1</f>
        <v>TANDEMBOX antaro</v>
      </c>
    </row>
    <row r="42" spans="1:28" ht="20.149999999999999" customHeight="1" x14ac:dyDescent="0.3">
      <c r="A42" s="63"/>
      <c r="F42" s="9" t="s">
        <v>289</v>
      </c>
      <c r="AB42" s="102" t="str">
        <f>$B$2</f>
        <v xml:space="preserve"> s BLUMOTION</v>
      </c>
    </row>
    <row r="43" spans="1:28" ht="6.75" customHeight="1" x14ac:dyDescent="0.3">
      <c r="A43" s="63"/>
    </row>
    <row r="44" spans="1:28" x14ac:dyDescent="0.3">
      <c r="A44" s="63"/>
    </row>
    <row r="45" spans="1:28" x14ac:dyDescent="0.3">
      <c r="A45" s="63"/>
      <c r="J45" s="2" t="s">
        <v>290</v>
      </c>
    </row>
    <row r="46" spans="1:28" x14ac:dyDescent="0.3">
      <c r="A46" s="63"/>
      <c r="B46" s="2" t="str">
        <f>$I$19</f>
        <v xml:space="preserve"> </v>
      </c>
    </row>
    <row r="47" spans="1:28" x14ac:dyDescent="0.3">
      <c r="A47" s="63"/>
      <c r="J47" s="116" t="s">
        <v>291</v>
      </c>
      <c r="K47" s="115"/>
      <c r="L47" s="116" t="str">
        <f>IF($N$3=1, R47&amp;" x "&amp;S47, " ")</f>
        <v xml:space="preserve"> </v>
      </c>
      <c r="R47" s="2">
        <f>$C$5-2*$C$7-75</f>
        <v>-75</v>
      </c>
      <c r="S47" s="112">
        <f>C12-24</f>
        <v>-24</v>
      </c>
      <c r="Z47" s="2" t="s">
        <v>292</v>
      </c>
    </row>
    <row r="48" spans="1:28" ht="9" customHeight="1" x14ac:dyDescent="0.3">
      <c r="A48" s="63"/>
      <c r="J48" s="63"/>
    </row>
    <row r="49" spans="1:26" x14ac:dyDescent="0.3">
      <c r="A49" s="63"/>
      <c r="B49" s="2" t="str">
        <f>$I$20</f>
        <v xml:space="preserve"> </v>
      </c>
      <c r="J49" s="116" t="s">
        <v>293</v>
      </c>
      <c r="K49" s="115"/>
      <c r="L49" s="115"/>
    </row>
    <row r="50" spans="1:26" ht="13" customHeight="1" x14ac:dyDescent="0.3">
      <c r="A50" s="63"/>
      <c r="J50" s="116" t="s">
        <v>279</v>
      </c>
      <c r="K50" s="115"/>
      <c r="L50" s="116" t="str">
        <f>IF($N$3=1, R50&amp;" x  "&amp;S50, " ")</f>
        <v xml:space="preserve"> </v>
      </c>
      <c r="R50" s="2">
        <f>$C$5-2*$C$7-87</f>
        <v>-87</v>
      </c>
      <c r="S50" s="2">
        <v>84</v>
      </c>
      <c r="Z50" s="2" t="s">
        <v>292</v>
      </c>
    </row>
    <row r="51" spans="1:26" ht="13" customHeight="1" x14ac:dyDescent="0.3">
      <c r="A51" s="63"/>
      <c r="J51" s="116" t="s">
        <v>294</v>
      </c>
      <c r="K51" s="115"/>
      <c r="L51" s="116" t="str">
        <f t="shared" ref="L51:L53" si="7">IF($N$3=1, R51&amp;" x "&amp;S51, " ")</f>
        <v xml:space="preserve"> </v>
      </c>
      <c r="R51" s="2">
        <f t="shared" ref="R51:R53" si="8">$C$5-2*$C$7-87</f>
        <v>-87</v>
      </c>
      <c r="S51" s="2">
        <v>116</v>
      </c>
      <c r="Z51" s="2" t="s">
        <v>292</v>
      </c>
    </row>
    <row r="52" spans="1:26" x14ac:dyDescent="0.3">
      <c r="A52" s="63"/>
      <c r="B52" s="2" t="str">
        <f>$I$21</f>
        <v xml:space="preserve"> </v>
      </c>
      <c r="J52" s="116" t="s">
        <v>280</v>
      </c>
      <c r="K52" s="115"/>
      <c r="L52" s="116" t="str">
        <f t="shared" si="7"/>
        <v xml:space="preserve"> </v>
      </c>
      <c r="R52" s="2">
        <f t="shared" si="8"/>
        <v>-87</v>
      </c>
      <c r="S52" s="2">
        <v>167</v>
      </c>
      <c r="Z52" s="2" t="s">
        <v>292</v>
      </c>
    </row>
    <row r="53" spans="1:26" x14ac:dyDescent="0.3">
      <c r="A53" s="63"/>
      <c r="J53" s="116" t="s">
        <v>281</v>
      </c>
      <c r="K53" s="115"/>
      <c r="L53" s="116" t="str">
        <f t="shared" si="7"/>
        <v xml:space="preserve"> </v>
      </c>
      <c r="R53" s="2">
        <f t="shared" si="8"/>
        <v>-87</v>
      </c>
      <c r="S53" s="2">
        <v>199</v>
      </c>
      <c r="Z53" s="2" t="s">
        <v>292</v>
      </c>
    </row>
    <row r="54" spans="1:26" x14ac:dyDescent="0.3">
      <c r="A54" s="63"/>
    </row>
    <row r="55" spans="1:26" ht="18" customHeight="1" x14ac:dyDescent="0.3">
      <c r="A55" s="63"/>
      <c r="B55" s="2" t="str">
        <f>$I$22</f>
        <v xml:space="preserve"> </v>
      </c>
    </row>
    <row r="56" spans="1:26" x14ac:dyDescent="0.3">
      <c r="A56" s="63"/>
    </row>
    <row r="57" spans="1:26" x14ac:dyDescent="0.3">
      <c r="A57" s="63"/>
    </row>
    <row r="58" spans="1:26" ht="6.75" customHeight="1" x14ac:dyDescent="0.3">
      <c r="A58" s="63"/>
    </row>
    <row r="59" spans="1:26" x14ac:dyDescent="0.3">
      <c r="A59" s="63"/>
      <c r="B59" s="2" t="str">
        <f>$I$23</f>
        <v xml:space="preserve"> </v>
      </c>
      <c r="P59" s="137" t="s">
        <v>295</v>
      </c>
      <c r="Q59" s="138">
        <f>IF($C$12=270,SUM($N$30:$N$34), 0)</f>
        <v>0</v>
      </c>
      <c r="R59" s="137" t="s">
        <v>356</v>
      </c>
      <c r="S59" s="138">
        <f>IF($C$12=270,SUM($O$30:$O$34), 0)</f>
        <v>0</v>
      </c>
      <c r="T59" s="137"/>
      <c r="V59" s="137" t="s">
        <v>297</v>
      </c>
    </row>
    <row r="60" spans="1:26" x14ac:dyDescent="0.3">
      <c r="A60" s="63"/>
      <c r="P60" s="137" t="s">
        <v>298</v>
      </c>
      <c r="Q60" s="138">
        <f>IF($C$12=300,SUM($N$30:$N$34), 0)</f>
        <v>0</v>
      </c>
      <c r="R60" s="137" t="s">
        <v>357</v>
      </c>
      <c r="S60" s="138">
        <f>IF($C$12=300,SUM($O$30:$O$34), 0)</f>
        <v>0</v>
      </c>
      <c r="T60" s="137"/>
      <c r="V60" s="137" t="s">
        <v>300</v>
      </c>
    </row>
    <row r="61" spans="1:26" ht="16.5" customHeight="1" x14ac:dyDescent="0.3">
      <c r="A61" s="63"/>
      <c r="B61" s="2">
        <v>0</v>
      </c>
      <c r="P61" s="137" t="s">
        <v>301</v>
      </c>
      <c r="Q61" s="138">
        <f>IF($C$12=350,SUM($N$30:$N$34), 0)</f>
        <v>0</v>
      </c>
      <c r="R61" s="137" t="s">
        <v>358</v>
      </c>
      <c r="S61" s="138">
        <f>IF($C$12=350,SUM($O$30:$O$34), 0)</f>
        <v>0</v>
      </c>
      <c r="T61" s="137"/>
      <c r="V61" s="137" t="s">
        <v>303</v>
      </c>
    </row>
    <row r="62" spans="1:26" x14ac:dyDescent="0.3">
      <c r="A62" s="63"/>
      <c r="P62" s="137" t="s">
        <v>304</v>
      </c>
      <c r="Q62" s="138">
        <f>IF($C$12=400,SUM($N$30:$N$34), 0)</f>
        <v>0</v>
      </c>
      <c r="R62" s="137" t="s">
        <v>359</v>
      </c>
      <c r="S62" s="138">
        <f>IF($C$12=400,SUM($O$30:$O$34), 0)</f>
        <v>0</v>
      </c>
      <c r="T62" s="137"/>
      <c r="V62" s="137" t="s">
        <v>306</v>
      </c>
    </row>
    <row r="63" spans="1:26" x14ac:dyDescent="0.3">
      <c r="A63" s="63"/>
      <c r="P63" s="137" t="s">
        <v>307</v>
      </c>
      <c r="Q63" s="138">
        <f>IF($C$12=450,SUM($N$30:$N$34), 0)</f>
        <v>0</v>
      </c>
      <c r="R63" s="137" t="s">
        <v>360</v>
      </c>
      <c r="S63" s="138">
        <f>IF($C$12=450,SUM($O$30:$O$34), 0)</f>
        <v>0</v>
      </c>
      <c r="T63" s="137" t="s">
        <v>361</v>
      </c>
      <c r="V63" s="137" t="s">
        <v>310</v>
      </c>
    </row>
    <row r="64" spans="1:26" x14ac:dyDescent="0.3">
      <c r="A64" s="63"/>
      <c r="E64" s="9" t="s">
        <v>311</v>
      </c>
      <c r="L64" s="47" t="s">
        <v>312</v>
      </c>
      <c r="P64" s="137" t="s">
        <v>313</v>
      </c>
      <c r="Q64" s="138">
        <f>IF($C$12=500,SUM($N$30:$N$34), 0)</f>
        <v>0</v>
      </c>
      <c r="R64" s="137" t="s">
        <v>363</v>
      </c>
      <c r="S64" s="138">
        <f>IF($C$12=500,SUM($O$30:$O$34), 0)</f>
        <v>0</v>
      </c>
      <c r="T64" s="137" t="s">
        <v>364</v>
      </c>
      <c r="V64" s="137" t="s">
        <v>316</v>
      </c>
    </row>
    <row r="65" spans="1:30" ht="12" customHeight="1" x14ac:dyDescent="0.3">
      <c r="A65" s="63"/>
      <c r="P65" s="137" t="s">
        <v>307</v>
      </c>
      <c r="Q65" s="138">
        <f>IF($C$12=550,SUM($N$30:$N$34), 0)</f>
        <v>0</v>
      </c>
      <c r="R65" s="137" t="s">
        <v>366</v>
      </c>
      <c r="S65" s="138">
        <f>IF($C$12=550,SUM($O$30:$O$34), 0)</f>
        <v>0</v>
      </c>
      <c r="T65" s="137" t="s">
        <v>367</v>
      </c>
      <c r="V65" s="137" t="s">
        <v>319</v>
      </c>
    </row>
    <row r="66" spans="1:30" x14ac:dyDescent="0.3">
      <c r="A66" s="63"/>
      <c r="P66" s="137" t="s">
        <v>320</v>
      </c>
      <c r="Q66" s="138">
        <f>IF($C$12=600,SUM($N$30:$N$34), 0)</f>
        <v>0</v>
      </c>
      <c r="R66" s="137" t="s">
        <v>368</v>
      </c>
      <c r="S66" s="138">
        <f>IF($C$12=600,SUM($O$30:$O$34), 0)</f>
        <v>0</v>
      </c>
      <c r="T66" s="137" t="s">
        <v>369</v>
      </c>
      <c r="V66" s="137" t="s">
        <v>323</v>
      </c>
    </row>
    <row r="67" spans="1:30" x14ac:dyDescent="0.3">
      <c r="A67" s="63"/>
      <c r="P67" s="137" t="s">
        <v>324</v>
      </c>
      <c r="Q67" s="138">
        <f>IF($C$12=650,SUM($N$30:$N$34), 0)</f>
        <v>0</v>
      </c>
      <c r="R67" s="137"/>
      <c r="S67" s="141">
        <f>IF($C$12=650,SUM($O$30:$O$34), 0)</f>
        <v>0</v>
      </c>
      <c r="T67" s="142" t="s">
        <v>370</v>
      </c>
      <c r="V67" s="137" t="s">
        <v>326</v>
      </c>
    </row>
    <row r="68" spans="1:30" x14ac:dyDescent="0.3">
      <c r="A68" s="63"/>
    </row>
    <row r="69" spans="1:30" x14ac:dyDescent="0.3">
      <c r="A69" s="63"/>
    </row>
    <row r="70" spans="1:30" x14ac:dyDescent="0.3">
      <c r="A70" s="63"/>
    </row>
    <row r="71" spans="1:30" x14ac:dyDescent="0.3">
      <c r="A71" s="63"/>
    </row>
    <row r="72" spans="1:30" x14ac:dyDescent="0.3">
      <c r="A72" s="63"/>
    </row>
    <row r="73" spans="1:30" x14ac:dyDescent="0.3">
      <c r="A73" s="63"/>
    </row>
    <row r="74" spans="1:30" x14ac:dyDescent="0.3">
      <c r="A74" s="63"/>
      <c r="C74" s="47" t="str">
        <f>$F$23</f>
        <v xml:space="preserve"> </v>
      </c>
      <c r="I74" s="2" t="str">
        <f>$F$22</f>
        <v xml:space="preserve"> </v>
      </c>
    </row>
    <row r="75" spans="1:30" x14ac:dyDescent="0.3">
      <c r="A75" s="63"/>
    </row>
    <row r="76" spans="1:30" x14ac:dyDescent="0.3">
      <c r="A76" s="63"/>
    </row>
    <row r="77" spans="1:30" x14ac:dyDescent="0.3">
      <c r="A77" s="63"/>
      <c r="C77" s="2" t="str">
        <f>$H$23</f>
        <v xml:space="preserve"> </v>
      </c>
      <c r="G77" s="47" t="str">
        <f>$G$23</f>
        <v xml:space="preserve"> </v>
      </c>
      <c r="J77" s="63" t="str">
        <f>$G$22</f>
        <v xml:space="preserve"> </v>
      </c>
      <c r="K77" s="5" t="str">
        <f>H22</f>
        <v xml:space="preserve"> </v>
      </c>
      <c r="N77" s="5" t="str">
        <f>G22</f>
        <v xml:space="preserve"> </v>
      </c>
      <c r="AA77" s="47" t="str">
        <f>$G$23</f>
        <v xml:space="preserve"> </v>
      </c>
    </row>
    <row r="78" spans="1:30" x14ac:dyDescent="0.3">
      <c r="A78" s="63"/>
      <c r="AD78" s="233" t="s">
        <v>88</v>
      </c>
    </row>
    <row r="79" spans="1:30" x14ac:dyDescent="0.3">
      <c r="A79" s="63"/>
      <c r="C79" s="2" t="s">
        <v>327</v>
      </c>
    </row>
    <row r="80" spans="1:30" ht="9" customHeight="1" thickBot="1" x14ac:dyDescent="0.35">
      <c r="A80" s="63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00"/>
    </row>
    <row r="81" spans="1:28" ht="18" thickTop="1" x14ac:dyDescent="0.35">
      <c r="A81" s="63"/>
      <c r="AB81" s="103" t="str">
        <f>$B$1</f>
        <v>TANDEMBOX antaro</v>
      </c>
    </row>
    <row r="82" spans="1:28" ht="17.5" x14ac:dyDescent="0.35">
      <c r="A82" s="63"/>
      <c r="B82" s="19" t="s">
        <v>328</v>
      </c>
      <c r="AB82" s="102" t="str">
        <f>$B$2</f>
        <v xml:space="preserve"> s BLUMOTION</v>
      </c>
    </row>
    <row r="83" spans="1:28" ht="14.5" x14ac:dyDescent="0.35">
      <c r="A83" s="63"/>
      <c r="B83" s="5" t="s">
        <v>329</v>
      </c>
    </row>
    <row r="84" spans="1:28" x14ac:dyDescent="0.3">
      <c r="A84" s="63"/>
    </row>
    <row r="85" spans="1:28" ht="15.5" x14ac:dyDescent="0.35">
      <c r="A85" s="63"/>
      <c r="Z85" s="9" t="s">
        <v>330</v>
      </c>
      <c r="AA85" s="99" t="s">
        <v>331</v>
      </c>
    </row>
    <row r="86" spans="1:28" x14ac:dyDescent="0.3">
      <c r="A86" s="63"/>
    </row>
    <row r="87" spans="1:28" x14ac:dyDescent="0.3">
      <c r="A87" s="63"/>
    </row>
    <row r="88" spans="1:28" x14ac:dyDescent="0.3">
      <c r="A88" s="63"/>
    </row>
    <row r="89" spans="1:28" x14ac:dyDescent="0.3">
      <c r="A89" s="63"/>
      <c r="F89" s="9" t="s">
        <v>311</v>
      </c>
      <c r="Y89" s="47" t="s">
        <v>312</v>
      </c>
      <c r="Z89" s="47" t="s">
        <v>312</v>
      </c>
    </row>
    <row r="90" spans="1:28" ht="6.65" customHeight="1" x14ac:dyDescent="0.3">
      <c r="A90" s="63"/>
    </row>
    <row r="91" spans="1:28" x14ac:dyDescent="0.3">
      <c r="A91" s="63"/>
    </row>
    <row r="92" spans="1:28" x14ac:dyDescent="0.3">
      <c r="A92" s="63"/>
    </row>
    <row r="93" spans="1:28" x14ac:dyDescent="0.3">
      <c r="A93" s="63"/>
    </row>
    <row r="94" spans="1:28" x14ac:dyDescent="0.3">
      <c r="A94" s="63"/>
    </row>
    <row r="95" spans="1:28" x14ac:dyDescent="0.3">
      <c r="A95" s="63"/>
    </row>
    <row r="96" spans="1:28" x14ac:dyDescent="0.3">
      <c r="A96" s="63"/>
    </row>
    <row r="97" spans="1:30" x14ac:dyDescent="0.3">
      <c r="A97" s="63"/>
    </row>
    <row r="98" spans="1:30" x14ac:dyDescent="0.3">
      <c r="A98" s="63"/>
    </row>
    <row r="99" spans="1:30" x14ac:dyDescent="0.3">
      <c r="A99" s="63"/>
      <c r="C99" s="47">
        <f>SUM(C74, -39.5)</f>
        <v>-39.5</v>
      </c>
      <c r="I99" s="2">
        <f>SUM(I74, -39.5)</f>
        <v>-39.5</v>
      </c>
    </row>
    <row r="100" spans="1:30" x14ac:dyDescent="0.3">
      <c r="A100" s="63"/>
    </row>
    <row r="101" spans="1:30" x14ac:dyDescent="0.3">
      <c r="A101" s="63"/>
    </row>
    <row r="102" spans="1:30" x14ac:dyDescent="0.3">
      <c r="A102" s="63"/>
    </row>
    <row r="103" spans="1:30" x14ac:dyDescent="0.3">
      <c r="A103" s="63"/>
    </row>
    <row r="104" spans="1:30" x14ac:dyDescent="0.3">
      <c r="A104" s="63"/>
    </row>
    <row r="105" spans="1:30" x14ac:dyDescent="0.3">
      <c r="A105" s="63"/>
    </row>
    <row r="106" spans="1:30" x14ac:dyDescent="0.3">
      <c r="A106" s="63"/>
    </row>
    <row r="107" spans="1:30" x14ac:dyDescent="0.3">
      <c r="A107" s="63"/>
      <c r="AD107" s="233" t="s">
        <v>88</v>
      </c>
    </row>
    <row r="108" spans="1:30" x14ac:dyDescent="0.3">
      <c r="A108" s="63"/>
    </row>
    <row r="109" spans="1:30" ht="14.5" thickBot="1" x14ac:dyDescent="0.35"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</row>
    <row r="110" spans="1:30" ht="25" customHeight="1" thickTop="1" x14ac:dyDescent="0.35">
      <c r="B110" s="139" t="s">
        <v>332</v>
      </c>
      <c r="AB110" s="47"/>
      <c r="AC110" s="9"/>
    </row>
    <row r="111" spans="1:30" ht="25" customHeight="1" x14ac:dyDescent="0.3">
      <c r="B111" s="158" t="s">
        <v>92</v>
      </c>
      <c r="C111" s="140"/>
      <c r="D111" s="140"/>
      <c r="E111" s="140" t="s">
        <v>93</v>
      </c>
      <c r="F111" s="140"/>
      <c r="G111" s="140" t="s">
        <v>94</v>
      </c>
      <c r="H111" s="140" t="s">
        <v>95</v>
      </c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66"/>
      <c r="AC111" s="9"/>
    </row>
    <row r="112" spans="1:30" x14ac:dyDescent="0.3">
      <c r="B112" s="2" t="s">
        <v>333</v>
      </c>
      <c r="E112" s="2" t="str">
        <f>IF($N$3=1, IF($C$12=270, P59, IF($C$12=300, P60, IF($C$12=350, P61, IF($C$12=400, P62, IF($C$12=450, P63, IF($C$12=500, P64, IF($C$12=550, P65, IF($C$12=600, P66, IF($C$12=650, P67, " "))))))))), " ")</f>
        <v xml:space="preserve"> </v>
      </c>
      <c r="G112" s="47" t="str">
        <f>IF($N$3=1,SUM($N$30:$N$34)," ")</f>
        <v xml:space="preserve"> </v>
      </c>
      <c r="H112" s="2" t="s">
        <v>99</v>
      </c>
      <c r="AB112" s="47"/>
      <c r="AC112" s="9"/>
    </row>
    <row r="113" spans="1:29" x14ac:dyDescent="0.3">
      <c r="B113" s="2" t="str">
        <f>IF($C$12=650, "Korpusové lišty 65 kg", "Korpusové lišty 30 kg")</f>
        <v>Korpusové lišty 30 kg</v>
      </c>
      <c r="E113" s="2" t="str">
        <f>IF($N$3=1, IF($C$12=270, R59, IF($C$12=300, R60, IF($C$12=350, R61, IF($C$12=400, R62, IF($C$12=450, R63, IF($C$12=500, R64, IF($C$12=550, R65, IF($C$12=600, R66, IF($C$12=650, T67, " "))))))))), " ")</f>
        <v xml:space="preserve"> </v>
      </c>
      <c r="G113" s="47" t="str">
        <f>IF($N$3=1, SUM($O$30:$O$34), " ")</f>
        <v xml:space="preserve"> </v>
      </c>
      <c r="H113" s="45" t="str">
        <f>IF(AND($N$3=1, $C$5&gt;799, OR($C$12=450, $C$12=500, $C$12=550, $C$12=600)), "lišty 65 kg: " &amp;$T$115&amp;" ***", " ")</f>
        <v xml:space="preserve"> </v>
      </c>
      <c r="AB113" s="47"/>
      <c r="AC113" s="9"/>
    </row>
    <row r="114" spans="1:29" x14ac:dyDescent="0.3">
      <c r="B114" s="2" t="s">
        <v>334</v>
      </c>
      <c r="E114" s="2" t="str">
        <f>IF($N$3=1, "Z30M000S", " ")</f>
        <v xml:space="preserve"> </v>
      </c>
      <c r="G114" s="47" t="str">
        <f>IF($N$3=1, SUM($Q$30:$Q$34), " ")</f>
        <v xml:space="preserve"> </v>
      </c>
      <c r="H114" s="2" t="s">
        <v>99</v>
      </c>
      <c r="J114" s="45"/>
      <c r="AB114" s="47"/>
      <c r="AC114" s="9"/>
    </row>
    <row r="115" spans="1:29" x14ac:dyDescent="0.3">
      <c r="B115" s="2" t="s">
        <v>335</v>
      </c>
      <c r="E115" s="2" t="str">
        <f>IF($N$3=1, "Z30C000S", " ")</f>
        <v xml:space="preserve"> </v>
      </c>
      <c r="G115" s="47" t="str">
        <f>IF($N$3=1, SUM($R$30:$R$34), " ")</f>
        <v xml:space="preserve"> </v>
      </c>
      <c r="H115" s="2" t="s">
        <v>99</v>
      </c>
      <c r="T115" s="143" t="str">
        <f>IF($N$3=1, IF($C$12=450, T63, IF($C$12=500, T64, IF($C$12=550, T65, IF($C$12=600, T66, " ")))), " ")</f>
        <v xml:space="preserve"> </v>
      </c>
      <c r="AB115" s="47"/>
      <c r="AC115" s="9"/>
    </row>
    <row r="116" spans="1:29" x14ac:dyDescent="0.3">
      <c r="B116" s="2" t="s">
        <v>336</v>
      </c>
      <c r="E116" s="2" t="str">
        <f>IF($N$3=1, "Z30D000S", " ")</f>
        <v xml:space="preserve"> </v>
      </c>
      <c r="G116" s="47" t="str">
        <f>IF($N$3=1, SUM($S$30:$S$34), " ")</f>
        <v xml:space="preserve"> </v>
      </c>
      <c r="H116" s="2" t="s">
        <v>99</v>
      </c>
      <c r="AB116" s="47"/>
      <c r="AC116" s="9"/>
    </row>
    <row r="117" spans="1:29" x14ac:dyDescent="0.3">
      <c r="B117" s="2" t="s">
        <v>337</v>
      </c>
      <c r="E117" s="2" t="str">
        <f>IF($N$3=1, IF($C$12=270, V59, IF($C$12=300, V60, IF($C$12=350, V61, IF($C$12=400, V62, IF($C$12=450, V63, IF($C$12=500, V64, IF($C$12=550, V65, IF($C$12=600, V66, IF($C$12=650, V67, " "))))))))), " ")</f>
        <v xml:space="preserve"> </v>
      </c>
      <c r="G117" s="47" t="str">
        <f>IF($N$3=1, SUM($T$30:$T$34), " ")</f>
        <v xml:space="preserve"> </v>
      </c>
      <c r="H117" s="2" t="s">
        <v>99</v>
      </c>
      <c r="AB117" s="47"/>
      <c r="AC117" s="9"/>
    </row>
    <row r="118" spans="1:29" x14ac:dyDescent="0.3">
      <c r="B118" s="2" t="s">
        <v>338</v>
      </c>
      <c r="E118" s="2" t="str">
        <f>IF($N$3=1, "ZSF.39A2", " ")</f>
        <v xml:space="preserve"> </v>
      </c>
      <c r="G118" s="47" t="str">
        <f>IF($N$3=1, SUM($N$30:$N$34)*2, " ")</f>
        <v xml:space="preserve"> </v>
      </c>
      <c r="H118" s="47" t="str">
        <f>IF(N3=1, "verze na vruty: ZSF.35A2", " ")</f>
        <v xml:space="preserve"> </v>
      </c>
      <c r="AB118" s="47"/>
      <c r="AC118" s="9"/>
    </row>
    <row r="119" spans="1:29" x14ac:dyDescent="0.3">
      <c r="B119" s="2" t="s">
        <v>339</v>
      </c>
      <c r="C119" s="47"/>
      <c r="D119" s="9"/>
      <c r="E119" s="2" t="str">
        <f>IF(AND($N$3=1,C5&gt;599), "Z96.10E1", " ")</f>
        <v xml:space="preserve"> </v>
      </c>
      <c r="G119" s="47" t="str">
        <f>IF(AND($N$3=1, $C$5&gt;599), SUM($G$115:$G$116), " ")</f>
        <v xml:space="preserve"> </v>
      </c>
      <c r="AB119" s="47"/>
      <c r="AC119" s="9"/>
    </row>
    <row r="120" spans="1:29" x14ac:dyDescent="0.3">
      <c r="C120" s="47"/>
      <c r="D120" s="9"/>
      <c r="AB120" s="47"/>
      <c r="AC120" s="9"/>
    </row>
    <row r="121" spans="1:29" x14ac:dyDescent="0.3">
      <c r="B121" s="45" t="str">
        <f>IF(AND($N$3=1, $C$5&gt;799, OR($C$12=450, $C$12=500, $C$12=550, $C$12=600)), "*** vzhledem k šířce korpusu doporučujeme pro výsuvy výšky C a D korpusové lišty s nosností 65 kg", " ")</f>
        <v xml:space="preserve"> </v>
      </c>
      <c r="AB121" s="47"/>
      <c r="AC121" s="9"/>
    </row>
    <row r="122" spans="1:29" x14ac:dyDescent="0.3">
      <c r="B122" s="2" t="s">
        <v>542</v>
      </c>
      <c r="K122" s="143"/>
      <c r="AB122" s="47"/>
      <c r="AC122" s="9"/>
    </row>
    <row r="123" spans="1:29" ht="20.149999999999999" customHeight="1" x14ac:dyDescent="0.3">
      <c r="K123" s="143"/>
      <c r="AB123" s="47"/>
      <c r="AC123" s="9"/>
    </row>
    <row r="124" spans="1:29" x14ac:dyDescent="0.3">
      <c r="A124" s="63"/>
    </row>
    <row r="125" spans="1:29" x14ac:dyDescent="0.3">
      <c r="A125" s="63"/>
    </row>
    <row r="126" spans="1:29" x14ac:dyDescent="0.3">
      <c r="A126" s="63"/>
    </row>
    <row r="127" spans="1:29" x14ac:dyDescent="0.3">
      <c r="A127" s="63"/>
    </row>
    <row r="128" spans="1:29" x14ac:dyDescent="0.3">
      <c r="A128" s="63"/>
    </row>
    <row r="129" spans="1:28" x14ac:dyDescent="0.3">
      <c r="A129" s="63"/>
    </row>
    <row r="130" spans="1:28" x14ac:dyDescent="0.3">
      <c r="A130" s="63"/>
    </row>
    <row r="131" spans="1:28" x14ac:dyDescent="0.3">
      <c r="A131" s="63"/>
    </row>
    <row r="132" spans="1:28" x14ac:dyDescent="0.3">
      <c r="A132" s="63"/>
    </row>
    <row r="133" spans="1:28" x14ac:dyDescent="0.3">
      <c r="A133" s="63"/>
    </row>
    <row r="134" spans="1:28" x14ac:dyDescent="0.3">
      <c r="A134" s="63"/>
    </row>
    <row r="135" spans="1:28" x14ac:dyDescent="0.3">
      <c r="A135" s="63"/>
    </row>
    <row r="136" spans="1:28" x14ac:dyDescent="0.3">
      <c r="A136" s="63"/>
    </row>
    <row r="137" spans="1:28" x14ac:dyDescent="0.3">
      <c r="A137" s="63"/>
    </row>
    <row r="138" spans="1:28" x14ac:dyDescent="0.3">
      <c r="A138" s="63"/>
    </row>
    <row r="139" spans="1:28" x14ac:dyDescent="0.3">
      <c r="A139" s="63"/>
    </row>
    <row r="140" spans="1:28" ht="14.5" thickBot="1" x14ac:dyDescent="0.35">
      <c r="A140" s="303"/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</row>
    <row r="141" spans="1:28" ht="21" customHeight="1" thickTop="1" x14ac:dyDescent="0.35">
      <c r="A141" s="303"/>
      <c r="B141" s="19" t="s">
        <v>340</v>
      </c>
      <c r="AB141" s="103" t="str">
        <f>$B$1</f>
        <v>TANDEMBOX antaro</v>
      </c>
    </row>
    <row r="142" spans="1:28" x14ac:dyDescent="0.3">
      <c r="A142" s="303"/>
      <c r="AB142" s="102" t="str">
        <f>$B$2</f>
        <v xml:space="preserve"> s BLUMOTION</v>
      </c>
    </row>
    <row r="143" spans="1:28" x14ac:dyDescent="0.3">
      <c r="A143" s="303"/>
    </row>
    <row r="144" spans="1:28" x14ac:dyDescent="0.3">
      <c r="A144" s="303"/>
    </row>
    <row r="145" spans="1:2" x14ac:dyDescent="0.3">
      <c r="A145" s="303"/>
    </row>
    <row r="146" spans="1:2" x14ac:dyDescent="0.3">
      <c r="A146" s="303"/>
    </row>
    <row r="147" spans="1:2" x14ac:dyDescent="0.3">
      <c r="A147" s="303"/>
    </row>
    <row r="148" spans="1:2" x14ac:dyDescent="0.3">
      <c r="A148" s="303"/>
    </row>
    <row r="149" spans="1:2" x14ac:dyDescent="0.3">
      <c r="A149" s="303"/>
    </row>
    <row r="150" spans="1:2" x14ac:dyDescent="0.3">
      <c r="A150" s="303"/>
    </row>
    <row r="151" spans="1:2" x14ac:dyDescent="0.3">
      <c r="A151" s="303"/>
    </row>
    <row r="152" spans="1:2" x14ac:dyDescent="0.3">
      <c r="A152" s="303"/>
    </row>
    <row r="153" spans="1:2" x14ac:dyDescent="0.3">
      <c r="A153" s="303"/>
    </row>
    <row r="154" spans="1:2" x14ac:dyDescent="0.3">
      <c r="A154" s="303"/>
    </row>
    <row r="155" spans="1:2" x14ac:dyDescent="0.3">
      <c r="A155" s="303"/>
    </row>
    <row r="156" spans="1:2" x14ac:dyDescent="0.3">
      <c r="A156" s="303"/>
    </row>
    <row r="157" spans="1:2" x14ac:dyDescent="0.3">
      <c r="A157" s="303"/>
    </row>
    <row r="158" spans="1:2" x14ac:dyDescent="0.3">
      <c r="A158" s="303"/>
    </row>
    <row r="159" spans="1:2" x14ac:dyDescent="0.3">
      <c r="A159" s="303"/>
      <c r="B159" s="2" t="s">
        <v>341</v>
      </c>
    </row>
    <row r="160" spans="1:2" x14ac:dyDescent="0.3">
      <c r="A160" s="303"/>
      <c r="B160" s="2" t="s">
        <v>342</v>
      </c>
    </row>
    <row r="161" spans="1:53" x14ac:dyDescent="0.3">
      <c r="A161" s="303"/>
      <c r="B161" s="2" t="s">
        <v>343</v>
      </c>
    </row>
    <row r="162" spans="1:53" x14ac:dyDescent="0.3">
      <c r="A162" s="303"/>
      <c r="B162" s="2" t="s">
        <v>344</v>
      </c>
      <c r="AC162" s="341" t="s">
        <v>88</v>
      </c>
      <c r="AD162" s="341"/>
    </row>
    <row r="163" spans="1:53" x14ac:dyDescent="0.3">
      <c r="A163" s="303"/>
    </row>
    <row r="164" spans="1:53" x14ac:dyDescent="0.3">
      <c r="A164" s="303"/>
    </row>
    <row r="165" spans="1:53" x14ac:dyDescent="0.3">
      <c r="A165" s="303"/>
    </row>
    <row r="166" spans="1:53" x14ac:dyDescent="0.3">
      <c r="A166" s="303"/>
    </row>
    <row r="167" spans="1:53" x14ac:dyDescent="0.3">
      <c r="A167" s="303"/>
    </row>
    <row r="168" spans="1:53" x14ac:dyDescent="0.3">
      <c r="A168" s="303"/>
    </row>
    <row r="169" spans="1:53" x14ac:dyDescent="0.3">
      <c r="A169" s="303"/>
    </row>
    <row r="170" spans="1:53" ht="25" customHeight="1" x14ac:dyDescent="0.35">
      <c r="A170" s="303"/>
      <c r="AH170" s="99" t="s">
        <v>105</v>
      </c>
      <c r="AI170" s="17"/>
      <c r="AJ170" s="17"/>
      <c r="AK170" s="17"/>
      <c r="AL170" s="17"/>
      <c r="AM170" s="17"/>
      <c r="AN170" s="17"/>
      <c r="AO170" s="17"/>
      <c r="AP170" s="204" t="str">
        <f>AB41&amp;AB42</f>
        <v>TANDEMBOX antaro s BLUMOTION</v>
      </c>
      <c r="AR170" s="180"/>
      <c r="AS170" s="215" t="str">
        <f t="shared" ref="AS170:AS178" si="9">B111</f>
        <v>popis</v>
      </c>
      <c r="AT170" s="215"/>
      <c r="AU170" s="215"/>
      <c r="AV170" s="215" t="str">
        <f>E111</f>
        <v>označení</v>
      </c>
      <c r="AW170" s="215"/>
      <c r="AX170" s="217" t="str">
        <f>G111</f>
        <v>počet</v>
      </c>
      <c r="AY170" s="218" t="str">
        <f>H111</f>
        <v>poznámka</v>
      </c>
      <c r="AZ170" s="215"/>
      <c r="BA170" s="216" t="s">
        <v>107</v>
      </c>
    </row>
    <row r="171" spans="1:53" x14ac:dyDescent="0.3">
      <c r="A171" s="303"/>
      <c r="AH171" s="90">
        <f>C4</f>
        <v>0</v>
      </c>
      <c r="AI171" s="337" t="s">
        <v>239</v>
      </c>
      <c r="AJ171" s="337"/>
      <c r="AK171" s="337"/>
      <c r="AL171" s="337"/>
      <c r="AM171" s="17"/>
      <c r="AN171" s="17"/>
      <c r="AO171" s="17"/>
      <c r="AR171" s="81"/>
      <c r="AS171" s="2" t="str">
        <f t="shared" si="9"/>
        <v>Bočnice TBX antaro</v>
      </c>
      <c r="AV171" s="2" t="str">
        <f t="shared" ref="AV171:AV178" si="10">E112</f>
        <v xml:space="preserve"> </v>
      </c>
      <c r="AX171" s="63" t="str">
        <f t="shared" ref="AX171:AX178" si="11">G112</f>
        <v xml:space="preserve"> </v>
      </c>
      <c r="AY171" s="47" t="str">
        <f t="shared" ref="AY171:AY177" si="12">H112</f>
        <v>zvolte barvu</v>
      </c>
      <c r="BA171" s="80"/>
    </row>
    <row r="172" spans="1:53" x14ac:dyDescent="0.3">
      <c r="A172" s="303"/>
      <c r="AH172" s="90">
        <f t="shared" ref="AH172:AH181" si="13">C5</f>
        <v>0</v>
      </c>
      <c r="AI172" s="337" t="s">
        <v>240</v>
      </c>
      <c r="AJ172" s="337"/>
      <c r="AK172" s="337"/>
      <c r="AL172" s="337"/>
      <c r="AM172" s="17"/>
      <c r="AN172" s="17"/>
      <c r="AO172" s="17"/>
      <c r="AR172" s="81"/>
      <c r="AS172" s="2" t="str">
        <f t="shared" si="9"/>
        <v>Korpusové lišty 30 kg</v>
      </c>
      <c r="AV172" s="2" t="str">
        <f t="shared" si="10"/>
        <v xml:space="preserve"> </v>
      </c>
      <c r="AX172" s="63" t="str">
        <f t="shared" si="11"/>
        <v xml:space="preserve"> </v>
      </c>
      <c r="AY172" s="47" t="str">
        <f t="shared" si="12"/>
        <v xml:space="preserve"> </v>
      </c>
      <c r="BA172" s="80"/>
    </row>
    <row r="173" spans="1:53" x14ac:dyDescent="0.3">
      <c r="A173" s="303"/>
      <c r="AH173" s="90">
        <f t="shared" si="13"/>
        <v>0</v>
      </c>
      <c r="AI173" s="337" t="s">
        <v>30</v>
      </c>
      <c r="AJ173" s="337"/>
      <c r="AK173" s="337"/>
      <c r="AL173" s="337"/>
      <c r="AM173" s="17"/>
      <c r="AN173" s="17"/>
      <c r="AO173" s="17"/>
      <c r="AR173" s="81"/>
      <c r="AS173" s="2" t="str">
        <f t="shared" si="9"/>
        <v>Držáky zad M</v>
      </c>
      <c r="AV173" s="2" t="str">
        <f t="shared" si="10"/>
        <v xml:space="preserve"> </v>
      </c>
      <c r="AX173" s="63" t="str">
        <f t="shared" si="11"/>
        <v xml:space="preserve"> </v>
      </c>
      <c r="AY173" s="47" t="str">
        <f t="shared" si="12"/>
        <v>zvolte barvu</v>
      </c>
      <c r="BA173" s="80"/>
    </row>
    <row r="174" spans="1:53" x14ac:dyDescent="0.3">
      <c r="A174" s="303"/>
      <c r="AH174" s="90">
        <f t="shared" si="13"/>
        <v>0</v>
      </c>
      <c r="AI174" s="337" t="s">
        <v>31</v>
      </c>
      <c r="AJ174" s="337"/>
      <c r="AK174" s="337"/>
      <c r="AL174" s="337"/>
      <c r="AM174" s="17"/>
      <c r="AN174" s="17"/>
      <c r="AO174" s="17"/>
      <c r="AR174" s="81"/>
      <c r="AS174" s="2" t="str">
        <f t="shared" si="9"/>
        <v>Držáky zad C</v>
      </c>
      <c r="AV174" s="2" t="str">
        <f t="shared" si="10"/>
        <v xml:space="preserve"> </v>
      </c>
      <c r="AX174" s="63" t="str">
        <f t="shared" si="11"/>
        <v xml:space="preserve"> </v>
      </c>
      <c r="AY174" s="47" t="str">
        <f t="shared" si="12"/>
        <v>zvolte barvu</v>
      </c>
      <c r="BA174" s="80"/>
    </row>
    <row r="175" spans="1:53" x14ac:dyDescent="0.3">
      <c r="AH175" s="90">
        <f t="shared" si="13"/>
        <v>0</v>
      </c>
      <c r="AI175" s="337" t="s">
        <v>109</v>
      </c>
      <c r="AJ175" s="337"/>
      <c r="AK175" s="337"/>
      <c r="AL175" s="337"/>
      <c r="AM175" s="17"/>
      <c r="AN175" s="17"/>
      <c r="AO175" s="17"/>
      <c r="AR175" s="81"/>
      <c r="AS175" s="2" t="str">
        <f t="shared" si="9"/>
        <v>Držáky zad D</v>
      </c>
      <c r="AV175" s="2" t="str">
        <f t="shared" si="10"/>
        <v xml:space="preserve"> </v>
      </c>
      <c r="AX175" s="63" t="str">
        <f t="shared" si="11"/>
        <v xml:space="preserve"> </v>
      </c>
      <c r="AY175" s="47" t="str">
        <f t="shared" si="12"/>
        <v>zvolte barvu</v>
      </c>
      <c r="BA175" s="80"/>
    </row>
    <row r="176" spans="1:53" x14ac:dyDescent="0.3">
      <c r="AH176" s="90">
        <f t="shared" si="13"/>
        <v>0</v>
      </c>
      <c r="AI176" s="337" t="s">
        <v>33</v>
      </c>
      <c r="AJ176" s="337"/>
      <c r="AK176" s="337"/>
      <c r="AL176" s="337"/>
      <c r="AM176" s="17"/>
      <c r="AN176" s="17"/>
      <c r="AO176" s="17"/>
      <c r="AR176" s="81"/>
      <c r="AS176" s="2" t="str">
        <f t="shared" si="9"/>
        <v>Podélný reling</v>
      </c>
      <c r="AV176" s="2" t="str">
        <f t="shared" si="10"/>
        <v xml:space="preserve"> </v>
      </c>
      <c r="AX176" s="63" t="str">
        <f t="shared" si="11"/>
        <v xml:space="preserve"> </v>
      </c>
      <c r="AY176" s="47" t="str">
        <f t="shared" si="12"/>
        <v>zvolte barvu</v>
      </c>
      <c r="BA176" s="80"/>
    </row>
    <row r="177" spans="34:53" x14ac:dyDescent="0.3">
      <c r="AH177" s="90">
        <f t="shared" si="13"/>
        <v>0</v>
      </c>
      <c r="AI177" s="337" t="s">
        <v>34</v>
      </c>
      <c r="AJ177" s="337"/>
      <c r="AK177" s="337"/>
      <c r="AL177" s="337"/>
      <c r="AM177" s="17"/>
      <c r="AN177" s="17"/>
      <c r="AO177" s="17"/>
      <c r="AR177" s="81"/>
      <c r="AS177" s="2" t="str">
        <f t="shared" si="9"/>
        <v>Čelní kování INSERTA</v>
      </c>
      <c r="AV177" s="2" t="str">
        <f t="shared" si="10"/>
        <v xml:space="preserve"> </v>
      </c>
      <c r="AX177" s="63" t="str">
        <f t="shared" si="11"/>
        <v xml:space="preserve"> </v>
      </c>
      <c r="AY177" s="47" t="str">
        <f t="shared" si="12"/>
        <v xml:space="preserve"> </v>
      </c>
      <c r="BA177" s="80"/>
    </row>
    <row r="178" spans="34:53" x14ac:dyDescent="0.3">
      <c r="AH178" s="90">
        <f t="shared" si="13"/>
        <v>0</v>
      </c>
      <c r="AI178" s="337" t="s">
        <v>35</v>
      </c>
      <c r="AJ178" s="337"/>
      <c r="AK178" s="337"/>
      <c r="AL178" s="337"/>
      <c r="AM178" s="17"/>
      <c r="AN178" s="17"/>
      <c r="AO178" s="17"/>
      <c r="AR178" s="81"/>
      <c r="AS178" s="2" t="str">
        <f t="shared" si="9"/>
        <v>Podpěra dna/stabilizace čela</v>
      </c>
      <c r="AV178" s="2" t="str">
        <f t="shared" si="10"/>
        <v xml:space="preserve"> </v>
      </c>
      <c r="AX178" s="63" t="str">
        <f t="shared" si="11"/>
        <v xml:space="preserve"> </v>
      </c>
      <c r="AY178" s="47"/>
      <c r="BA178" s="80"/>
    </row>
    <row r="179" spans="34:53" x14ac:dyDescent="0.3">
      <c r="AH179" s="90">
        <f t="shared" si="13"/>
        <v>0</v>
      </c>
      <c r="AI179" s="337" t="s">
        <v>345</v>
      </c>
      <c r="AJ179" s="337"/>
      <c r="AK179" s="337"/>
      <c r="AL179" s="337"/>
      <c r="AM179" s="17"/>
      <c r="AN179" s="17"/>
      <c r="AO179" s="17"/>
      <c r="AR179" s="81"/>
      <c r="BA179" s="80"/>
    </row>
    <row r="180" spans="34:53" ht="14.15" customHeight="1" x14ac:dyDescent="0.3">
      <c r="AH180" s="90">
        <f t="shared" si="13"/>
        <v>0</v>
      </c>
      <c r="AI180" s="337" t="s">
        <v>243</v>
      </c>
      <c r="AJ180" s="337"/>
      <c r="AK180" s="337"/>
      <c r="AL180" s="337"/>
      <c r="AM180" s="17"/>
      <c r="AN180" s="17"/>
      <c r="AO180" s="17"/>
      <c r="AR180" s="81"/>
      <c r="AS180" s="329" t="str">
        <f>B121</f>
        <v xml:space="preserve"> </v>
      </c>
      <c r="AT180" s="329"/>
      <c r="AU180" s="329"/>
      <c r="AV180" s="329"/>
      <c r="AW180" s="329"/>
      <c r="AX180" s="329"/>
      <c r="AY180" s="329"/>
      <c r="AZ180" s="329"/>
      <c r="BA180" s="188"/>
    </row>
    <row r="181" spans="34:53" ht="14.5" x14ac:dyDescent="0.3">
      <c r="AH181" s="187" t="str">
        <f t="shared" si="13"/>
        <v>x</v>
      </c>
      <c r="AI181" s="336" t="s">
        <v>246</v>
      </c>
      <c r="AJ181" s="336"/>
      <c r="AK181" s="336"/>
      <c r="AL181" s="336"/>
      <c r="AM181" s="17"/>
      <c r="AN181" s="17"/>
      <c r="AO181" s="17"/>
      <c r="AR181" s="81"/>
      <c r="AS181" s="329"/>
      <c r="AT181" s="329"/>
      <c r="AU181" s="329"/>
      <c r="AV181" s="329"/>
      <c r="AW181" s="329"/>
      <c r="AX181" s="329"/>
      <c r="AY181" s="329"/>
      <c r="AZ181" s="329"/>
      <c r="BA181" s="188"/>
    </row>
    <row r="182" spans="34:53" ht="23.15" customHeight="1" x14ac:dyDescent="0.3">
      <c r="AH182" s="140"/>
      <c r="AI182" s="140"/>
      <c r="AJ182" s="140"/>
      <c r="AK182" s="140"/>
      <c r="AL182" s="140"/>
      <c r="AM182" s="140"/>
      <c r="AN182" s="140"/>
      <c r="AO182" s="140"/>
      <c r="AP182" s="140"/>
      <c r="AQ182" s="140"/>
      <c r="AR182" s="178"/>
      <c r="AS182" s="189" t="str">
        <f>B122</f>
        <v xml:space="preserve">Barvy: R906 = světle šedá | SW = hedvábně bílá </v>
      </c>
      <c r="AT182" s="140"/>
      <c r="AU182" s="140"/>
      <c r="AV182" s="140"/>
      <c r="AW182" s="140"/>
      <c r="AX182" s="140"/>
      <c r="AY182" s="140"/>
      <c r="AZ182" s="140"/>
      <c r="BA182" s="179"/>
    </row>
    <row r="183" spans="34:53" ht="25.5" customHeight="1" x14ac:dyDescent="0.35">
      <c r="AH183" s="99" t="s">
        <v>106</v>
      </c>
    </row>
    <row r="184" spans="34:53" x14ac:dyDescent="0.3">
      <c r="AH184" s="331" t="s">
        <v>249</v>
      </c>
      <c r="AI184" s="331" t="s">
        <v>250</v>
      </c>
      <c r="AJ184" s="331" t="s">
        <v>251</v>
      </c>
      <c r="AK184" s="332" t="s">
        <v>252</v>
      </c>
      <c r="AL184" s="333" t="s">
        <v>64</v>
      </c>
      <c r="AM184" s="334"/>
      <c r="AN184" s="335"/>
      <c r="AO184" s="333" t="s">
        <v>65</v>
      </c>
      <c r="AP184" s="335"/>
      <c r="AQ184" s="63"/>
      <c r="AR184" s="63"/>
      <c r="AU184" s="9" t="s">
        <v>289</v>
      </c>
    </row>
    <row r="185" spans="34:53" x14ac:dyDescent="0.3">
      <c r="AH185" s="331"/>
      <c r="AI185" s="331"/>
      <c r="AJ185" s="331"/>
      <c r="AK185" s="332"/>
      <c r="AL185" s="62" t="s">
        <v>141</v>
      </c>
      <c r="AM185" s="62" t="s">
        <v>67</v>
      </c>
      <c r="AN185" s="62" t="s">
        <v>68</v>
      </c>
      <c r="AO185" s="62" t="s">
        <v>141</v>
      </c>
      <c r="AP185" s="62" t="s">
        <v>346</v>
      </c>
      <c r="AQ185" s="63"/>
      <c r="AR185" s="63"/>
      <c r="AX185" s="2" t="str">
        <f>$I$19</f>
        <v xml:space="preserve"> </v>
      </c>
    </row>
    <row r="186" spans="34:53" x14ac:dyDescent="0.3">
      <c r="AH186" s="3" t="str">
        <f>B19</f>
        <v xml:space="preserve"> </v>
      </c>
      <c r="AI186" s="3">
        <f t="shared" ref="AI186:AP186" si="14">C19</f>
        <v>0</v>
      </c>
      <c r="AJ186" s="3" t="str">
        <f t="shared" si="14"/>
        <v xml:space="preserve"> </v>
      </c>
      <c r="AK186" s="111" t="str">
        <f t="shared" si="14"/>
        <v xml:space="preserve"> </v>
      </c>
      <c r="AL186" s="3" t="str">
        <f t="shared" si="14"/>
        <v xml:space="preserve"> </v>
      </c>
      <c r="AM186" s="3" t="str">
        <f t="shared" si="14"/>
        <v xml:space="preserve"> </v>
      </c>
      <c r="AN186" s="3" t="str">
        <f t="shared" si="14"/>
        <v xml:space="preserve"> </v>
      </c>
      <c r="AO186" s="3" t="str">
        <f t="shared" si="14"/>
        <v xml:space="preserve"> </v>
      </c>
      <c r="AP186" s="3" t="str">
        <f t="shared" si="14"/>
        <v xml:space="preserve"> </v>
      </c>
      <c r="AQ186" s="4"/>
      <c r="AR186" s="4"/>
      <c r="AU186" s="9" t="str">
        <f>$I$19</f>
        <v xml:space="preserve"> </v>
      </c>
    </row>
    <row r="187" spans="34:53" x14ac:dyDescent="0.3">
      <c r="AH187" s="3" t="str">
        <f t="shared" ref="AH187:AH190" si="15">B20</f>
        <v xml:space="preserve"> </v>
      </c>
      <c r="AI187" s="3">
        <f t="shared" ref="AI187:AI190" si="16">C20</f>
        <v>0</v>
      </c>
      <c r="AJ187" s="3" t="str">
        <f t="shared" ref="AJ187:AJ190" si="17">D20</f>
        <v xml:space="preserve"> </v>
      </c>
      <c r="AK187" s="111" t="str">
        <f t="shared" ref="AK187:AK190" si="18">E20</f>
        <v xml:space="preserve"> </v>
      </c>
      <c r="AL187" s="3" t="str">
        <f t="shared" ref="AL187:AL190" si="19">F20</f>
        <v xml:space="preserve"> </v>
      </c>
      <c r="AM187" s="3" t="str">
        <f t="shared" ref="AM187:AM190" si="20">G20</f>
        <v xml:space="preserve"> </v>
      </c>
      <c r="AN187" s="3" t="str">
        <f t="shared" ref="AN187:AN190" si="21">H20</f>
        <v xml:space="preserve"> </v>
      </c>
      <c r="AO187" s="3" t="str">
        <f t="shared" ref="AO187:AO190" si="22">I20</f>
        <v xml:space="preserve"> </v>
      </c>
      <c r="AP187" s="3" t="str">
        <f t="shared" ref="AP187:AP190" si="23">J20</f>
        <v xml:space="preserve"> </v>
      </c>
      <c r="AQ187" s="4"/>
      <c r="AR187" s="4"/>
      <c r="AX187" s="2" t="str">
        <f>$I$20</f>
        <v xml:space="preserve"> </v>
      </c>
    </row>
    <row r="188" spans="34:53" x14ac:dyDescent="0.3">
      <c r="AH188" s="3" t="str">
        <f t="shared" si="15"/>
        <v xml:space="preserve"> </v>
      </c>
      <c r="AI188" s="3">
        <f t="shared" si="16"/>
        <v>0</v>
      </c>
      <c r="AJ188" s="3" t="str">
        <f t="shared" si="17"/>
        <v xml:space="preserve"> </v>
      </c>
      <c r="AK188" s="111" t="str">
        <f t="shared" si="18"/>
        <v xml:space="preserve"> </v>
      </c>
      <c r="AL188" s="3" t="str">
        <f t="shared" si="19"/>
        <v xml:space="preserve"> </v>
      </c>
      <c r="AM188" s="3" t="str">
        <f t="shared" si="20"/>
        <v xml:space="preserve"> </v>
      </c>
      <c r="AN188" s="3" t="str">
        <f t="shared" si="21"/>
        <v xml:space="preserve"> </v>
      </c>
      <c r="AO188" s="3" t="str">
        <f t="shared" si="22"/>
        <v xml:space="preserve"> </v>
      </c>
      <c r="AP188" s="3" t="str">
        <f t="shared" si="23"/>
        <v xml:space="preserve"> </v>
      </c>
      <c r="AQ188" s="4"/>
      <c r="AR188" s="4"/>
      <c r="AU188" s="9" t="str">
        <f>$I$20</f>
        <v xml:space="preserve"> </v>
      </c>
    </row>
    <row r="189" spans="34:53" x14ac:dyDescent="0.3">
      <c r="AH189" s="3" t="str">
        <f t="shared" si="15"/>
        <v xml:space="preserve"> </v>
      </c>
      <c r="AI189" s="3">
        <f t="shared" si="16"/>
        <v>0</v>
      </c>
      <c r="AJ189" s="3" t="str">
        <f t="shared" si="17"/>
        <v xml:space="preserve"> </v>
      </c>
      <c r="AK189" s="111" t="str">
        <f t="shared" si="18"/>
        <v xml:space="preserve"> </v>
      </c>
      <c r="AL189" s="3" t="str">
        <f t="shared" si="19"/>
        <v xml:space="preserve"> </v>
      </c>
      <c r="AM189" s="3" t="str">
        <f t="shared" si="20"/>
        <v xml:space="preserve"> </v>
      </c>
      <c r="AN189" s="3" t="str">
        <f t="shared" si="21"/>
        <v xml:space="preserve"> </v>
      </c>
      <c r="AO189" s="3" t="str">
        <f t="shared" si="22"/>
        <v xml:space="preserve"> </v>
      </c>
      <c r="AP189" s="3" t="str">
        <f t="shared" si="23"/>
        <v xml:space="preserve"> </v>
      </c>
      <c r="AQ189" s="4"/>
      <c r="AR189" s="4"/>
      <c r="AX189" s="2" t="str">
        <f>$I$21</f>
        <v xml:space="preserve"> </v>
      </c>
    </row>
    <row r="190" spans="34:53" x14ac:dyDescent="0.3">
      <c r="AH190" s="3" t="str">
        <f t="shared" si="15"/>
        <v xml:space="preserve"> </v>
      </c>
      <c r="AI190" s="3">
        <f t="shared" si="16"/>
        <v>0</v>
      </c>
      <c r="AJ190" s="3" t="str">
        <f t="shared" si="17"/>
        <v xml:space="preserve"> </v>
      </c>
      <c r="AK190" s="111" t="str">
        <f t="shared" si="18"/>
        <v xml:space="preserve"> </v>
      </c>
      <c r="AL190" s="3" t="str">
        <f t="shared" si="19"/>
        <v xml:space="preserve"> </v>
      </c>
      <c r="AM190" s="3" t="str">
        <f t="shared" si="20"/>
        <v xml:space="preserve"> </v>
      </c>
      <c r="AN190" s="3" t="str">
        <f t="shared" si="21"/>
        <v xml:space="preserve"> </v>
      </c>
      <c r="AO190" s="3" t="str">
        <f t="shared" si="22"/>
        <v xml:space="preserve"> </v>
      </c>
      <c r="AP190" s="3" t="str">
        <f t="shared" si="23"/>
        <v xml:space="preserve"> </v>
      </c>
      <c r="AQ190" s="4"/>
      <c r="AR190" s="4"/>
      <c r="AU190" s="9" t="str">
        <f>$I$21</f>
        <v xml:space="preserve"> </v>
      </c>
    </row>
    <row r="191" spans="34:53" x14ac:dyDescent="0.3">
      <c r="AX191" s="2" t="str">
        <f>$I$22</f>
        <v xml:space="preserve"> </v>
      </c>
    </row>
    <row r="192" spans="34:53" x14ac:dyDescent="0.3">
      <c r="AH192" s="2" t="s">
        <v>284</v>
      </c>
      <c r="AU192" s="9" t="str">
        <f>$I$22</f>
        <v xml:space="preserve"> </v>
      </c>
    </row>
    <row r="193" spans="34:67" x14ac:dyDescent="0.3">
      <c r="AH193" s="2" t="s">
        <v>285</v>
      </c>
      <c r="AX193" s="2" t="str">
        <f>$I$23</f>
        <v xml:space="preserve"> </v>
      </c>
    </row>
    <row r="194" spans="34:67" x14ac:dyDescent="0.3">
      <c r="AH194" s="2" t="s">
        <v>347</v>
      </c>
      <c r="AU194" s="9" t="str">
        <f>$I$23</f>
        <v xml:space="preserve"> </v>
      </c>
      <c r="AX194" s="307">
        <v>0</v>
      </c>
    </row>
    <row r="195" spans="34:67" x14ac:dyDescent="0.3">
      <c r="AH195" s="2" t="s">
        <v>287</v>
      </c>
      <c r="AX195" s="307"/>
    </row>
    <row r="198" spans="34:67" x14ac:dyDescent="0.3">
      <c r="AI198" s="9" t="s">
        <v>43</v>
      </c>
      <c r="AN198" s="9" t="s">
        <v>311</v>
      </c>
      <c r="AT198" s="47" t="s">
        <v>312</v>
      </c>
      <c r="AY198" s="2" t="s">
        <v>290</v>
      </c>
    </row>
    <row r="199" spans="34:67" x14ac:dyDescent="0.3">
      <c r="AI199" s="63" t="str">
        <f>$G$23</f>
        <v xml:space="preserve"> </v>
      </c>
    </row>
    <row r="200" spans="34:67" x14ac:dyDescent="0.3">
      <c r="AY200" s="104" t="s">
        <v>291</v>
      </c>
      <c r="AZ200" s="31" t="str">
        <f>L47</f>
        <v xml:space="preserve"> </v>
      </c>
      <c r="BA200" s="104" t="s">
        <v>292</v>
      </c>
      <c r="BH200" s="112"/>
      <c r="BO200" s="2" t="s">
        <v>292</v>
      </c>
    </row>
    <row r="201" spans="34:67" x14ac:dyDescent="0.3">
      <c r="AY201" s="63"/>
    </row>
    <row r="202" spans="34:67" x14ac:dyDescent="0.3">
      <c r="AI202" s="15" t="str">
        <f>$G$23</f>
        <v xml:space="preserve"> </v>
      </c>
      <c r="AY202" s="104" t="s">
        <v>293</v>
      </c>
      <c r="AZ202" s="31"/>
      <c r="BA202" s="31"/>
    </row>
    <row r="203" spans="34:67" x14ac:dyDescent="0.3">
      <c r="AY203" s="104" t="s">
        <v>279</v>
      </c>
      <c r="AZ203" s="31" t="str">
        <f t="shared" ref="AZ203:AZ206" si="24">L50</f>
        <v xml:space="preserve"> </v>
      </c>
      <c r="BA203" s="104" t="s">
        <v>292</v>
      </c>
      <c r="BO203" s="2" t="s">
        <v>292</v>
      </c>
    </row>
    <row r="204" spans="34:67" x14ac:dyDescent="0.3">
      <c r="AI204" s="15" t="str">
        <f>$G$23</f>
        <v xml:space="preserve"> </v>
      </c>
      <c r="AY204" s="104" t="s">
        <v>294</v>
      </c>
      <c r="AZ204" s="31" t="str">
        <f t="shared" si="24"/>
        <v xml:space="preserve"> </v>
      </c>
      <c r="BA204" s="104" t="s">
        <v>292</v>
      </c>
      <c r="BO204" s="2" t="s">
        <v>292</v>
      </c>
    </row>
    <row r="205" spans="34:67" x14ac:dyDescent="0.3">
      <c r="AY205" s="104" t="s">
        <v>280</v>
      </c>
      <c r="AZ205" s="31" t="str">
        <f t="shared" si="24"/>
        <v xml:space="preserve"> </v>
      </c>
      <c r="BA205" s="104" t="s">
        <v>292</v>
      </c>
      <c r="BO205" s="2" t="s">
        <v>292</v>
      </c>
    </row>
    <row r="206" spans="34:67" x14ac:dyDescent="0.3">
      <c r="AL206" s="47" t="str">
        <f>$F$23</f>
        <v xml:space="preserve"> </v>
      </c>
      <c r="AS206" s="63" t="str">
        <f>$F$22</f>
        <v xml:space="preserve"> </v>
      </c>
      <c r="AY206" s="104" t="s">
        <v>281</v>
      </c>
      <c r="AZ206" s="31" t="str">
        <f t="shared" si="24"/>
        <v xml:space="preserve"> </v>
      </c>
      <c r="BA206" s="104" t="s">
        <v>292</v>
      </c>
      <c r="BO206" s="2" t="s">
        <v>292</v>
      </c>
    </row>
    <row r="207" spans="34:67" x14ac:dyDescent="0.3">
      <c r="AI207" s="9" t="s">
        <v>269</v>
      </c>
      <c r="AJ207" s="5" t="str">
        <f>$F$22</f>
        <v xml:space="preserve"> </v>
      </c>
    </row>
    <row r="208" spans="34:67" x14ac:dyDescent="0.3">
      <c r="AI208" s="9" t="s">
        <v>270</v>
      </c>
      <c r="AJ208" s="5" t="str">
        <f>$F$23</f>
        <v xml:space="preserve"> </v>
      </c>
      <c r="AM208" s="47" t="str">
        <f>$H$23</f>
        <v xml:space="preserve"> </v>
      </c>
      <c r="AP208" s="9" t="str">
        <f>$G$23</f>
        <v xml:space="preserve"> </v>
      </c>
      <c r="AT208" s="47" t="str">
        <f>$G$22</f>
        <v xml:space="preserve"> </v>
      </c>
      <c r="AV208" s="2" t="str">
        <f>$G$23</f>
        <v xml:space="preserve"> </v>
      </c>
    </row>
    <row r="210" spans="47:63" x14ac:dyDescent="0.3">
      <c r="AU210" s="5"/>
    </row>
    <row r="211" spans="47:63" x14ac:dyDescent="0.3">
      <c r="BK211" s="47"/>
    </row>
  </sheetData>
  <sheetProtection algorithmName="SHA-512" hashValue="Je+BuhtSlq0K7BcWD7BJ+0IbuYzyLLCefZOi/nCgtdvTqDcymlLg7eQjvxB2Ca1/wQ/BjFEkZEEaB/6c7z2ang==" saltValue="p50VPekZSJNZKdUXNqN9Pw==" spinCount="100000" sheet="1" objects="1" scenarios="1"/>
  <mergeCells count="42">
    <mergeCell ref="D4:J4"/>
    <mergeCell ref="D5:J5"/>
    <mergeCell ref="O28:P28"/>
    <mergeCell ref="Q28:S28"/>
    <mergeCell ref="D13:J13"/>
    <mergeCell ref="D12:J12"/>
    <mergeCell ref="D6:J6"/>
    <mergeCell ref="F17:H17"/>
    <mergeCell ref="I17:J17"/>
    <mergeCell ref="D17:D18"/>
    <mergeCell ref="D7:J7"/>
    <mergeCell ref="E17:E18"/>
    <mergeCell ref="D8:J8"/>
    <mergeCell ref="D9:J9"/>
    <mergeCell ref="D10:J10"/>
    <mergeCell ref="D11:J11"/>
    <mergeCell ref="A140:A174"/>
    <mergeCell ref="C17:C18"/>
    <mergeCell ref="B17:B18"/>
    <mergeCell ref="AC162:AD162"/>
    <mergeCell ref="Y19:Y23"/>
    <mergeCell ref="AI172:AL172"/>
    <mergeCell ref="D14:J14"/>
    <mergeCell ref="AI173:AL173"/>
    <mergeCell ref="AI174:AL174"/>
    <mergeCell ref="AI175:AL175"/>
    <mergeCell ref="AX194:AX195"/>
    <mergeCell ref="AS180:AZ181"/>
    <mergeCell ref="AF1:AG1"/>
    <mergeCell ref="AH184:AH185"/>
    <mergeCell ref="AI184:AI185"/>
    <mergeCell ref="AJ184:AJ185"/>
    <mergeCell ref="AK184:AK185"/>
    <mergeCell ref="AL184:AN184"/>
    <mergeCell ref="AO184:AP184"/>
    <mergeCell ref="AI181:AL181"/>
    <mergeCell ref="AI176:AL176"/>
    <mergeCell ref="AI177:AL177"/>
    <mergeCell ref="AI178:AL178"/>
    <mergeCell ref="AI179:AL179"/>
    <mergeCell ref="AI180:AL180"/>
    <mergeCell ref="AI171:AL171"/>
  </mergeCells>
  <conditionalFormatting sqref="C14">
    <cfRule type="colorScale" priority="13">
      <colorScale>
        <cfvo type="num" val="-0.1"/>
        <cfvo type="num" val="0"/>
        <cfvo type="num" val="1"/>
        <color rgb="FFFF0000"/>
        <color theme="9"/>
        <color rgb="FFFFFF00"/>
      </colorScale>
    </cfRule>
  </conditionalFormatting>
  <conditionalFormatting sqref="C19">
    <cfRule type="expression" dxfId="19" priority="16">
      <formula>AND($C$13&gt;4, $C$13&lt;6)</formula>
    </cfRule>
  </conditionalFormatting>
  <conditionalFormatting sqref="C20">
    <cfRule type="expression" dxfId="18" priority="17">
      <formula>AND($C$13&gt;3, $C$13&lt;6)</formula>
    </cfRule>
  </conditionalFormatting>
  <conditionalFormatting sqref="C21">
    <cfRule type="expression" dxfId="17" priority="18">
      <formula>AND($C$13&gt;2, $C$13&lt;6)</formula>
    </cfRule>
  </conditionalFormatting>
  <conditionalFormatting sqref="C22">
    <cfRule type="expression" dxfId="16" priority="19">
      <formula>AND($C$13&gt;1, $C$13&lt;6)</formula>
    </cfRule>
  </conditionalFormatting>
  <conditionalFormatting sqref="C23">
    <cfRule type="expression" dxfId="15" priority="12">
      <formula>AND($C$13&gt;0, $C$13&lt;6)</formula>
    </cfRule>
  </conditionalFormatting>
  <hyperlinks>
    <hyperlink ref="AC162:AD162" location="TBX_B!A1" tooltip="Zpět na plánování" display="Zpět" xr:uid="{00000000-0004-0000-0A00-000000000000}"/>
    <hyperlink ref="AF1" location="AVS!A1" tooltip="Úvodní strana AVENTOS" display="Úvod AVENTOS" xr:uid="{00000000-0004-0000-0A00-000002000000}"/>
    <hyperlink ref="AD107" location="TBX_B!A1" tooltip="Zpět na plánování" display="Zpět" xr:uid="{00000000-0004-0000-0A00-000007000000}"/>
    <hyperlink ref="AF1:AG1" location="BOX!A1" tooltip="Úvodní strana AVENTOS" display="► Úvod - box systémy" xr:uid="{C49A4C88-BE52-4077-A638-2CC721DDC524}"/>
  </hyperlinks>
  <pageMargins left="0.23622047244094491" right="0.23622047244094491" top="0.35433070866141736" bottom="0.55118110236220474" header="0.31496062992125984" footer="0.31496062992125984"/>
  <pageSetup paperSize="9" scale="90" orientation="landscape" verticalDpi="599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FCE120-3912-4114-9ADC-1B3508F7C919}">
            <x14:iconSet showValue="0" custom="1">
              <x14:cfvo type="percent">
                <xm:f>0</xm:f>
              </x14:cfvo>
              <x14:cfvo type="num">
                <xm:f>1</xm:f>
              </x14:cfvo>
              <x14:cfvo type="num">
                <xm:f>6</xm:f>
              </x14:cfvo>
              <x14:cfIcon iconSet="NoIcons" iconId="0"/>
              <x14:cfIcon iconSet="3Symbols2" iconId="2"/>
              <x14:cfIcon iconSet="3Symbols2" iconId="0"/>
            </x14:iconSet>
          </x14:cfRule>
          <xm:sqref>B13</xm:sqref>
        </x14:conditionalFormatting>
        <x14:conditionalFormatting xmlns:xm="http://schemas.microsoft.com/office/excel/2006/main">
          <x14:cfRule type="iconSet" priority="11" id="{AB66D99E-A026-4B9F-97A6-105BEFDFB86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2"/>
              <x14:cfIcon iconSet="NoIcons" iconId="0"/>
            </x14:iconSet>
          </x14:cfRule>
          <xm:sqref>B14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O222"/>
  <sheetViews>
    <sheetView showGridLines="0" showRowColHeaders="0" zoomScaleNormal="100" workbookViewId="0"/>
  </sheetViews>
  <sheetFormatPr defaultColWidth="8.9140625" defaultRowHeight="14" x14ac:dyDescent="0.3"/>
  <cols>
    <col min="1" max="1" width="1" style="2" customWidth="1"/>
    <col min="2" max="2" width="6.25" style="2" customWidth="1"/>
    <col min="3" max="3" width="8.9140625" style="2" customWidth="1"/>
    <col min="4" max="8" width="8.9140625" style="2"/>
    <col min="9" max="9" width="8.9140625" style="2" customWidth="1"/>
    <col min="10" max="10" width="8.9140625" style="2"/>
    <col min="11" max="11" width="0.83203125" style="2" customWidth="1"/>
    <col min="12" max="12" width="12.5" style="2" customWidth="1"/>
    <col min="13" max="13" width="9.1640625" style="2" hidden="1" customWidth="1"/>
    <col min="14" max="23" width="8.9140625" style="2" hidden="1" customWidth="1"/>
    <col min="24" max="24" width="18.9140625" style="2" hidden="1" customWidth="1"/>
    <col min="25" max="25" width="3.08203125" style="2" hidden="1" customWidth="1"/>
    <col min="26" max="26" width="7.5" style="2" customWidth="1"/>
    <col min="27" max="27" width="13.08203125" style="2" customWidth="1"/>
    <col min="28" max="29" width="7.5" style="2" customWidth="1"/>
    <col min="30" max="30" width="12.5" style="2" customWidth="1"/>
    <col min="31" max="31" width="1.25" style="2" customWidth="1"/>
    <col min="32" max="33" width="10.75" style="2" customWidth="1"/>
    <col min="34" max="34" width="7.33203125" style="2" customWidth="1"/>
    <col min="35" max="35" width="6.58203125" style="2" customWidth="1"/>
    <col min="36" max="36" width="8.9140625" style="2"/>
    <col min="37" max="42" width="6.58203125" style="2" customWidth="1"/>
    <col min="43" max="43" width="4.25" style="2" customWidth="1"/>
    <col min="44" max="44" width="1" style="2" customWidth="1"/>
    <col min="45" max="45" width="7.33203125" style="2" customWidth="1"/>
    <col min="46" max="48" width="8.9140625" style="2"/>
    <col min="49" max="49" width="4.1640625" style="2" customWidth="1"/>
    <col min="50" max="50" width="6.25" style="2" customWidth="1"/>
    <col min="51" max="53" width="9.4140625" style="2" customWidth="1"/>
    <col min="54" max="16384" width="8.9140625" style="2"/>
  </cols>
  <sheetData>
    <row r="1" spans="2:33" ht="25" customHeight="1" x14ac:dyDescent="0.5">
      <c r="B1" s="1" t="s">
        <v>236</v>
      </c>
      <c r="AF1" s="330" t="s">
        <v>237</v>
      </c>
      <c r="AG1" s="330"/>
    </row>
    <row r="2" spans="2:33" ht="20.149999999999999" customHeight="1" x14ac:dyDescent="0.4">
      <c r="B2" s="22" t="s">
        <v>348</v>
      </c>
      <c r="AB2" s="234"/>
      <c r="AC2" s="234"/>
      <c r="AD2" s="234"/>
    </row>
    <row r="3" spans="2:33" ht="16.5" customHeight="1" x14ac:dyDescent="0.3">
      <c r="B3" s="6"/>
      <c r="C3" s="17" t="s">
        <v>108</v>
      </c>
      <c r="D3" s="17"/>
      <c r="E3" s="17"/>
      <c r="F3" s="17"/>
      <c r="G3" s="17"/>
      <c r="H3" s="17"/>
      <c r="I3" s="17"/>
      <c r="J3" s="17"/>
      <c r="M3" s="9" t="s">
        <v>24</v>
      </c>
      <c r="N3" s="63">
        <f>IF(AND(C4&gt;0, C5&gt;274, C5&lt;1201, C9&gt;=2,C6&gt;=14, C7&gt;=14, N12=1, N13=1),1,2)</f>
        <v>2</v>
      </c>
      <c r="O3" s="2" t="s">
        <v>25</v>
      </c>
      <c r="AB3" s="234"/>
      <c r="AC3" s="234"/>
      <c r="AD3" s="234"/>
    </row>
    <row r="4" spans="2:33" ht="16.5" customHeight="1" x14ac:dyDescent="0.3">
      <c r="B4" s="6"/>
      <c r="C4" s="78"/>
      <c r="D4" s="337" t="s">
        <v>239</v>
      </c>
      <c r="E4" s="337"/>
      <c r="F4" s="337"/>
      <c r="G4" s="337"/>
      <c r="H4" s="337"/>
      <c r="I4" s="337"/>
      <c r="J4" s="337"/>
      <c r="M4" s="9"/>
      <c r="N4" s="63"/>
      <c r="O4" s="2" t="s">
        <v>27</v>
      </c>
      <c r="AB4" s="234"/>
      <c r="AC4" s="234"/>
      <c r="AD4" s="234"/>
    </row>
    <row r="5" spans="2:33" ht="16.5" customHeight="1" x14ac:dyDescent="0.3">
      <c r="B5" s="6"/>
      <c r="C5" s="78"/>
      <c r="D5" s="337" t="s">
        <v>240</v>
      </c>
      <c r="E5" s="337"/>
      <c r="F5" s="337"/>
      <c r="G5" s="337"/>
      <c r="H5" s="337"/>
      <c r="I5" s="337"/>
      <c r="J5" s="337"/>
      <c r="L5" s="18" t="str">
        <f>IF(OR(C5&lt;275,C5&gt;1200),"min.275, max.1200"," ")</f>
        <v>min.275, max.1200</v>
      </c>
      <c r="M5" s="9"/>
      <c r="N5" s="63"/>
      <c r="AB5" s="234"/>
      <c r="AC5" s="234"/>
      <c r="AD5" s="234"/>
    </row>
    <row r="6" spans="2:33" ht="16.5" customHeight="1" x14ac:dyDescent="0.3">
      <c r="B6" s="6"/>
      <c r="C6" s="78"/>
      <c r="D6" s="337" t="s">
        <v>30</v>
      </c>
      <c r="E6" s="337"/>
      <c r="F6" s="337"/>
      <c r="G6" s="337"/>
      <c r="H6" s="337"/>
      <c r="I6" s="337"/>
      <c r="J6" s="337"/>
      <c r="L6" s="12" t="str">
        <f>IF(C6&lt;14,"Minimálně 14 mm!"," ")</f>
        <v>Minimálně 14 mm!</v>
      </c>
      <c r="AC6" s="224"/>
      <c r="AD6" s="224"/>
    </row>
    <row r="7" spans="2:33" ht="16.5" customHeight="1" x14ac:dyDescent="0.3">
      <c r="B7" s="6"/>
      <c r="C7" s="78"/>
      <c r="D7" s="337" t="s">
        <v>31</v>
      </c>
      <c r="E7" s="337"/>
      <c r="F7" s="337"/>
      <c r="G7" s="337"/>
      <c r="H7" s="337"/>
      <c r="I7" s="337"/>
      <c r="J7" s="337"/>
      <c r="L7" s="12" t="str">
        <f>IF(C7&lt;14,"Minimálně 14 mm!"," ")</f>
        <v>Minimálně 14 mm!</v>
      </c>
      <c r="AC7" s="46"/>
      <c r="AD7" s="46"/>
    </row>
    <row r="8" spans="2:33" ht="16.5" customHeight="1" x14ac:dyDescent="0.3">
      <c r="B8" s="6"/>
      <c r="C8" s="78"/>
      <c r="D8" s="337" t="s">
        <v>109</v>
      </c>
      <c r="E8" s="337"/>
      <c r="F8" s="337"/>
      <c r="G8" s="337"/>
      <c r="H8" s="337"/>
      <c r="I8" s="337"/>
      <c r="J8" s="337"/>
      <c r="L8" s="12"/>
      <c r="AC8" s="46"/>
      <c r="AD8" s="46"/>
    </row>
    <row r="9" spans="2:33" ht="16.5" customHeight="1" x14ac:dyDescent="0.3">
      <c r="B9" s="6"/>
      <c r="C9" s="78"/>
      <c r="D9" s="337" t="s">
        <v>33</v>
      </c>
      <c r="E9" s="337"/>
      <c r="F9" s="337"/>
      <c r="G9" s="337"/>
      <c r="H9" s="337"/>
      <c r="I9" s="337"/>
      <c r="J9" s="337"/>
      <c r="L9" s="12" t="str">
        <f>IF(C9&lt;2,"Minimálně 2 mm!"," ")</f>
        <v>Minimálně 2 mm!</v>
      </c>
      <c r="AC9" s="224"/>
      <c r="AD9" s="224"/>
    </row>
    <row r="10" spans="2:33" ht="16.5" customHeight="1" x14ac:dyDescent="0.3">
      <c r="B10" s="6"/>
      <c r="C10" s="78"/>
      <c r="D10" s="337" t="s">
        <v>34</v>
      </c>
      <c r="E10" s="337"/>
      <c r="F10" s="337"/>
      <c r="G10" s="337"/>
      <c r="H10" s="337"/>
      <c r="I10" s="337"/>
      <c r="J10" s="337"/>
    </row>
    <row r="11" spans="2:33" ht="16.5" customHeight="1" x14ac:dyDescent="0.3">
      <c r="B11" s="6"/>
      <c r="C11" s="78"/>
      <c r="D11" s="337" t="s">
        <v>35</v>
      </c>
      <c r="E11" s="337"/>
      <c r="F11" s="337"/>
      <c r="G11" s="337"/>
      <c r="H11" s="337"/>
      <c r="I11" s="337"/>
      <c r="J11" s="337"/>
      <c r="AC11" s="224"/>
      <c r="AD11" s="224"/>
    </row>
    <row r="12" spans="2:33" customFormat="1" ht="16.5" customHeight="1" x14ac:dyDescent="0.3">
      <c r="C12" s="79"/>
      <c r="D12" s="337" t="s">
        <v>349</v>
      </c>
      <c r="E12" s="337"/>
      <c r="F12" s="337"/>
      <c r="G12" s="337"/>
      <c r="H12" s="337"/>
      <c r="I12" s="337"/>
      <c r="J12" s="337"/>
      <c r="L12" s="14" t="str">
        <f>IF((OR($C$12=0, $N$12=1)), " ", "Nesprávná hodnota***")</f>
        <v xml:space="preserve"> </v>
      </c>
      <c r="M12" s="114" t="s">
        <v>242</v>
      </c>
      <c r="N12" s="20">
        <f>IF(OR(C12=270, C12=300, C12=350, C12=400, C12=450, C12=500, C12=550, C12=600, C12=650), 1, 2)</f>
        <v>2</v>
      </c>
    </row>
    <row r="13" spans="2:33" customFormat="1" ht="16.5" customHeight="1" thickBot="1" x14ac:dyDescent="0.35">
      <c r="B13" s="124"/>
      <c r="C13" s="119"/>
      <c r="D13" s="344" t="s">
        <v>243</v>
      </c>
      <c r="E13" s="344"/>
      <c r="F13" s="344"/>
      <c r="G13" s="344"/>
      <c r="H13" s="344"/>
      <c r="I13" s="344"/>
      <c r="J13" s="344"/>
      <c r="L13" s="18" t="str">
        <f>IF(OR(C13&lt;1,C13&gt;5),"min.1, max.5"," ")</f>
        <v>min.1, max.5</v>
      </c>
      <c r="M13" s="114" t="s">
        <v>244</v>
      </c>
      <c r="N13" s="20">
        <f>IF(OR(C13&lt;1, C13&gt;5), 2, 1)</f>
        <v>2</v>
      </c>
      <c r="O13" s="114" t="s">
        <v>245</v>
      </c>
    </row>
    <row r="14" spans="2:33" ht="16.5" customHeight="1" thickBot="1" x14ac:dyDescent="0.35">
      <c r="B14" s="125" t="str">
        <f>C14</f>
        <v>x</v>
      </c>
      <c r="C14" s="121" t="str">
        <f>IF(N3=1, C4-O14, "x")</f>
        <v>x</v>
      </c>
      <c r="D14" s="338" t="s">
        <v>246</v>
      </c>
      <c r="E14" s="339"/>
      <c r="F14" s="339"/>
      <c r="G14" s="339"/>
      <c r="H14" s="339"/>
      <c r="I14" s="339"/>
      <c r="J14" s="340"/>
      <c r="M14" s="9" t="s">
        <v>247</v>
      </c>
      <c r="N14" s="63">
        <f>IF(C14&gt;=0, 1, 2)</f>
        <v>1</v>
      </c>
      <c r="O14" s="75">
        <f>IF($C13&gt;0, $V18, 0)</f>
        <v>0</v>
      </c>
      <c r="P14" s="113" t="s">
        <v>248</v>
      </c>
      <c r="AC14" s="224"/>
      <c r="AD14" s="224"/>
    </row>
    <row r="15" spans="2:33" ht="16.5" customHeight="1" x14ac:dyDescent="0.3">
      <c r="B15" s="6"/>
      <c r="C15" s="14" t="str">
        <f>IF(N3=2, "Vyplňte správně všechny parametry!", IF(C14&lt;0, "Součet výšek čel je větší než výška korpusu!", " "))</f>
        <v>Vyplňte správně všechny parametry!</v>
      </c>
      <c r="D15" s="5"/>
      <c r="E15" s="5"/>
      <c r="F15" s="5"/>
      <c r="G15" s="5"/>
      <c r="H15" s="5"/>
      <c r="I15" s="5"/>
      <c r="J15" s="5"/>
    </row>
    <row r="16" spans="2:33" x14ac:dyDescent="0.3">
      <c r="N16" s="63"/>
      <c r="O16" s="63"/>
      <c r="P16" s="63"/>
      <c r="Q16" s="63"/>
      <c r="R16" s="63"/>
      <c r="S16" s="63"/>
      <c r="T16" s="63"/>
      <c r="U16" s="63"/>
      <c r="V16" s="63"/>
      <c r="W16" s="63"/>
    </row>
    <row r="17" spans="2:30" ht="15" customHeight="1" x14ac:dyDescent="0.3">
      <c r="B17" s="331" t="s">
        <v>249</v>
      </c>
      <c r="C17" s="331" t="s">
        <v>250</v>
      </c>
      <c r="D17" s="331" t="s">
        <v>251</v>
      </c>
      <c r="E17" s="332" t="s">
        <v>252</v>
      </c>
      <c r="F17" s="333" t="s">
        <v>64</v>
      </c>
      <c r="G17" s="334"/>
      <c r="H17" s="335"/>
      <c r="I17" s="333" t="s">
        <v>65</v>
      </c>
      <c r="J17" s="335"/>
      <c r="N17" s="13"/>
      <c r="O17" s="13"/>
      <c r="P17" s="13"/>
      <c r="Q17" s="13"/>
      <c r="R17" s="13"/>
      <c r="S17" s="109" t="s">
        <v>253</v>
      </c>
      <c r="T17" s="106" t="s">
        <v>254</v>
      </c>
      <c r="U17" s="104" t="s">
        <v>255</v>
      </c>
      <c r="V17" s="63"/>
    </row>
    <row r="18" spans="2:30" ht="15" customHeight="1" x14ac:dyDescent="0.35">
      <c r="B18" s="331"/>
      <c r="C18" s="331"/>
      <c r="D18" s="331"/>
      <c r="E18" s="332"/>
      <c r="F18" s="62" t="s">
        <v>141</v>
      </c>
      <c r="G18" s="62" t="s">
        <v>67</v>
      </c>
      <c r="H18" s="62" t="s">
        <v>68</v>
      </c>
      <c r="I18" s="62" t="s">
        <v>141</v>
      </c>
      <c r="J18" s="62" t="s">
        <v>256</v>
      </c>
      <c r="N18" s="63"/>
      <c r="O18" s="63"/>
      <c r="P18" s="63"/>
      <c r="Q18" s="63"/>
      <c r="R18" s="63"/>
      <c r="S18" s="109" t="s">
        <v>257</v>
      </c>
      <c r="T18" s="106" t="s">
        <v>257</v>
      </c>
      <c r="U18" s="104" t="s">
        <v>258</v>
      </c>
      <c r="V18" s="108">
        <f>SUM(V19:V23)</f>
        <v>0</v>
      </c>
      <c r="W18" s="2" t="s">
        <v>259</v>
      </c>
      <c r="X18" s="2" t="s">
        <v>260</v>
      </c>
      <c r="AC18" s="2" t="s">
        <v>43</v>
      </c>
    </row>
    <row r="19" spans="2:30" ht="27" customHeight="1" x14ac:dyDescent="0.3">
      <c r="B19" s="3" t="str">
        <f>IF(AND($C$13&gt;4, $C$13&lt;6), 5, " ")</f>
        <v xml:space="preserve"> </v>
      </c>
      <c r="C19" s="117"/>
      <c r="D19" s="3" t="str">
        <f>IF(OR($C19=0,$N$3=2,$N$14=2,$C$13&lt;5)," ",$U19)</f>
        <v xml:space="preserve"> </v>
      </c>
      <c r="E19" s="111" t="str">
        <f>IF(OR(C19=0,$N$3=2, $N$14=2, U19="nelze",$C$13&lt;5), " ", S19)</f>
        <v xml:space="preserve"> </v>
      </c>
      <c r="F19" s="3" t="str">
        <f>IF(OR($C$19=0,$N$3=2,$N$14=2,U19="nelze",$C$13&lt;5)," ",$N$22)</f>
        <v xml:space="preserve"> </v>
      </c>
      <c r="G19" s="3" t="str">
        <f>IF(OR($C$19=0,$N$3=2,$N$14=2,U19="nelze",$C$13&lt;5)," ",$O$22+$C$7-$C$11)</f>
        <v xml:space="preserve"> </v>
      </c>
      <c r="H19" s="3" t="str">
        <f>G19</f>
        <v xml:space="preserve"> </v>
      </c>
      <c r="I19" s="3" t="str">
        <f>IF(OR($C$19=0,$N$3=2,$N$14=2,$U$19="nelze",$C$13&lt;5)," ",$C$23+$C$22+$C$21+$C$20+$C$10+$C$9*4+$Q$22)</f>
        <v xml:space="preserve"> </v>
      </c>
      <c r="J19" s="3" t="str">
        <f>IF(OR($N$3=2,$C$19=0,$N$14=2,U19="nelze",$C$13&lt;5)," ",$R$22)</f>
        <v xml:space="preserve"> </v>
      </c>
      <c r="L19" s="126" t="str">
        <f>IF(AND($C$13&lt;5,C19&gt;0),"◄nevyplňovat!"," ")</f>
        <v xml:space="preserve"> </v>
      </c>
      <c r="S19" s="110">
        <f>SUM(T19, -12, -16)</f>
        <v>-28</v>
      </c>
      <c r="T19" s="107">
        <f>SUM(C19,-C6,C8)</f>
        <v>0</v>
      </c>
      <c r="U19" s="105" t="str">
        <f>IF(T19&gt;224,"M/K/C/D",IF(T19&gt;192,"M/K/C",IF(T19&gt;130.5,"M/K", IF(T19&gt;98.5,"M", "nelze"))))</f>
        <v>nelze</v>
      </c>
      <c r="V19" s="58">
        <f>IF(C13=5, SUM(C19, $C$8), 0)</f>
        <v>0</v>
      </c>
      <c r="W19" s="9" t="str">
        <f>$I$19</f>
        <v xml:space="preserve"> </v>
      </c>
      <c r="X19" s="10" t="s">
        <v>262</v>
      </c>
      <c r="Y19" s="342" t="str">
        <f>M17&amp;" "&amp;IF(C19&gt;0,R17,IF(C20&gt;0,Q17,IF(C21&gt;0,P17,IF(C22&gt;0,O17,IF(C23&gt;0,N17,0)))))</f>
        <v xml:space="preserve"> 0</v>
      </c>
      <c r="Z19" s="9" t="str">
        <f>$I$19</f>
        <v xml:space="preserve"> </v>
      </c>
      <c r="AC19" s="63" t="str">
        <f>$G$23</f>
        <v xml:space="preserve"> </v>
      </c>
    </row>
    <row r="20" spans="2:30" ht="27" customHeight="1" x14ac:dyDescent="0.3">
      <c r="B20" s="3" t="str">
        <f>IF(AND($C$13&gt;3, $C$13&lt;6), 4, " ")</f>
        <v xml:space="preserve"> </v>
      </c>
      <c r="C20" s="117"/>
      <c r="D20" s="3" t="str">
        <f>IF(OR($C20=0,$N$3=2,$N$14=2,$C$13&lt;4)," ",$U20)</f>
        <v xml:space="preserve"> </v>
      </c>
      <c r="E20" s="111" t="str">
        <f>IF(OR(C20=0,$N$3=2, $N$14=2, U20="nelze",$C$13&lt;4), " ", S20)</f>
        <v xml:space="preserve"> </v>
      </c>
      <c r="F20" s="3" t="str">
        <f>IF(OR($C$20=0,$N$3=2,$N$14=2,U20="nelze",$C$13&lt;4)," ",$N$22)</f>
        <v xml:space="preserve"> </v>
      </c>
      <c r="G20" s="3" t="str">
        <f>IF(OR($C$20=0,$N$3=2,$N$14=2,U20="nelze",$C$13&lt;4)," ",$O$22+$C$7-$C$11)</f>
        <v xml:space="preserve"> </v>
      </c>
      <c r="H20" s="3" t="str">
        <f>G20</f>
        <v xml:space="preserve"> </v>
      </c>
      <c r="I20" s="3" t="str">
        <f>IF(OR($C$20=0,$N$3=2,$N$14=2,$U$20="nelze", C13&lt;4)," ",$C$23+$C$22+$C$21+$C$10+$C$9*3+$Q$22)</f>
        <v xml:space="preserve"> </v>
      </c>
      <c r="J20" s="3" t="str">
        <f>IF(OR($N$3=2,$C$20=0,$N$14=2,U20="nelze",$C$13&lt;4)," ",$R$22)</f>
        <v xml:space="preserve"> </v>
      </c>
      <c r="L20" s="126" t="str">
        <f>IF(AND($C$13&lt;4,C20&gt;0),"◄nevyplňovat!"," ")</f>
        <v xml:space="preserve"> </v>
      </c>
      <c r="S20" s="110">
        <f>SUM(T20, -12, -16)</f>
        <v>-28</v>
      </c>
      <c r="T20" s="107">
        <f>IF($C$13=4, SUM(C20, -$C$6, $C$8), C20)</f>
        <v>0</v>
      </c>
      <c r="U20" s="105" t="str">
        <f>IF(T20&gt;224,"M/K/C/D",IF(T20&gt;192,"M/K/C",IF(T20&gt;130.5,"M/K", IF(T20&gt;98.5,"M", "nelze"))))</f>
        <v>nelze</v>
      </c>
      <c r="V20" s="58">
        <f>IF($C$13&gt;4, SUM(C20, $C$9), IF($C$13=4, SUM(C20, $C$8), 0))</f>
        <v>0</v>
      </c>
      <c r="W20" s="9" t="str">
        <f>$I$20</f>
        <v xml:space="preserve"> </v>
      </c>
      <c r="X20" s="8" t="s">
        <v>263</v>
      </c>
      <c r="Y20" s="343"/>
      <c r="Z20" s="9" t="str">
        <f>$I$20</f>
        <v xml:space="preserve"> </v>
      </c>
    </row>
    <row r="21" spans="2:30" ht="27" customHeight="1" x14ac:dyDescent="0.3">
      <c r="B21" s="3" t="str">
        <f>IF(AND($C$13&gt;2, $C$13&lt;6), 3, " ")</f>
        <v xml:space="preserve"> </v>
      </c>
      <c r="C21" s="117"/>
      <c r="D21" s="3" t="str">
        <f>IF(OR($C21=0,$N$3=2,$N$14=2,$C$13&lt;3)," ",$U21)</f>
        <v xml:space="preserve"> </v>
      </c>
      <c r="E21" s="111" t="str">
        <f>IF(OR(C21=0,$N$3=2, $N$14=2, U21="nelze",$C$13&lt;3), " ", S21)</f>
        <v xml:space="preserve"> </v>
      </c>
      <c r="F21" s="3" t="str">
        <f>IF(OR($C$21=0,$N$3=2,$N$14=2,U21="nelze",$C$13&lt;3)," ",$N$22)</f>
        <v xml:space="preserve"> </v>
      </c>
      <c r="G21" s="3" t="str">
        <f>IF(OR($C$21=0,$N$3=2,$N$14=2,U21="nelze",$C$13&lt;3)," ",$O$22+$C$7-$C$11)</f>
        <v xml:space="preserve"> </v>
      </c>
      <c r="H21" s="3" t="str">
        <f>G21</f>
        <v xml:space="preserve"> </v>
      </c>
      <c r="I21" s="3" t="str">
        <f>IF(OR($C$21=0,$N$3=2,$N$14=2,$U$21="nelze",C13&lt;3)," ",$C$23+$C$22+$C$10+$C$9*2+$Q$22)</f>
        <v xml:space="preserve"> </v>
      </c>
      <c r="J21" s="3" t="str">
        <f>IF(OR($N$3=2,$C$21=0,$N$14=2,U21="nelze",$C$13&lt;3)," ",$R$22)</f>
        <v xml:space="preserve"> </v>
      </c>
      <c r="L21" s="126" t="str">
        <f>IF(AND($C$13&lt;3,C21&gt;0),"◄nevyplňovat!"," ")</f>
        <v xml:space="preserve"> </v>
      </c>
      <c r="S21" s="110">
        <f>SUM(T21, -12, -16)</f>
        <v>-28</v>
      </c>
      <c r="T21" s="107">
        <f>IF($C$13=3, SUM(C21, -$C$6, $C$8), C21)</f>
        <v>0</v>
      </c>
      <c r="U21" s="105" t="str">
        <f>IF(T21&gt;224,"M/K/C/D",IF(T21&gt;192,"M/K/C",IF(T21&gt;130.5,"M/K", IF(T21&gt;98.5,"M", "nelze"))))</f>
        <v>nelze</v>
      </c>
      <c r="V21" s="58">
        <f>IF($C$13&gt;3, SUM(C21, $C$9), IF($C$13=3, SUM(C21, $C$8), 0))</f>
        <v>0</v>
      </c>
      <c r="W21" s="9" t="str">
        <f>$I$21</f>
        <v xml:space="preserve"> </v>
      </c>
      <c r="X21" s="8" t="s">
        <v>264</v>
      </c>
      <c r="Y21" s="343"/>
      <c r="Z21" s="9" t="str">
        <f>$I$21</f>
        <v xml:space="preserve"> </v>
      </c>
      <c r="AC21" s="15" t="str">
        <f>$G$23</f>
        <v xml:space="preserve"> </v>
      </c>
    </row>
    <row r="22" spans="2:30" ht="27" customHeight="1" x14ac:dyDescent="0.3">
      <c r="B22" s="3" t="str">
        <f>IF(AND($C$13&gt;1, $C$13&lt;6), 2, " ")</f>
        <v xml:space="preserve"> </v>
      </c>
      <c r="C22" s="117"/>
      <c r="D22" s="3" t="str">
        <f>IF(OR($C22=0,$N$3=2,$N$14=2,$C$13&lt;2)," ",$U22)</f>
        <v xml:space="preserve"> </v>
      </c>
      <c r="E22" s="111" t="str">
        <f>IF(OR(C22=0,$N$3=2, $N$14=2, U22="nelze",$C$13&lt;2), " ", S22)</f>
        <v xml:space="preserve"> </v>
      </c>
      <c r="F22" s="3" t="str">
        <f>IF(OR($C$22=0,$N$3=2,$N$14=2,U22="nelze",$C$13&lt;2)," ",$N$22)</f>
        <v xml:space="preserve"> </v>
      </c>
      <c r="G22" s="3" t="str">
        <f>IF(OR($C$22=0,$N$3=2,$N$14=2,U22="nelze",$C$13&lt;2)," ",$O$22+$C$7-$C$11)</f>
        <v xml:space="preserve"> </v>
      </c>
      <c r="H22" s="3" t="str">
        <f>G22</f>
        <v xml:space="preserve"> </v>
      </c>
      <c r="I22" s="3" t="str">
        <f>IF(OR($C$22=0,$N$3=2,$N$14=2,$U$22="nelze",C13&lt;2)," ",$C$23+$C$10+$C$9+$Q$22)</f>
        <v xml:space="preserve"> </v>
      </c>
      <c r="J22" s="3" t="str">
        <f>IF(OR($N$3=2,$C$22=0,$N$14=2,U22="nelze",$C$13&lt;2)," ",$R$22)</f>
        <v xml:space="preserve"> </v>
      </c>
      <c r="L22" s="126" t="str">
        <f>IF(AND($C$13&lt;2,C22&gt;0),"◄nevyplňovat!"," ")</f>
        <v xml:space="preserve"> </v>
      </c>
      <c r="M22" s="4" t="s">
        <v>265</v>
      </c>
      <c r="N22" s="4">
        <v>50.5</v>
      </c>
      <c r="O22" s="4">
        <v>15.5</v>
      </c>
      <c r="P22" s="4">
        <v>15.5</v>
      </c>
      <c r="Q22" s="4">
        <v>36</v>
      </c>
      <c r="R22" s="4">
        <v>37</v>
      </c>
      <c r="S22" s="110">
        <f>SUM(T22, -12, -16)</f>
        <v>-28</v>
      </c>
      <c r="T22" s="107">
        <f>IF($C$13=2, SUM(C22, -$C$6, $C$8), C22)</f>
        <v>0</v>
      </c>
      <c r="U22" s="105" t="str">
        <f>IF(T22&gt;224,"M/K/C/D",IF(T22&gt;192,"M/K/C",IF(T22&gt;130.5,"M/K", IF(T22&gt;98.5,"M", "nelze"))))</f>
        <v>nelze</v>
      </c>
      <c r="V22" s="58">
        <f>IF($C$13&gt;2, SUM(C22, $C$9), IF($C$13=2, SUM(C22, $C$8), 0))</f>
        <v>0</v>
      </c>
      <c r="W22" s="9" t="str">
        <f>$I$22</f>
        <v xml:space="preserve"> </v>
      </c>
      <c r="X22" s="8" t="s">
        <v>266</v>
      </c>
      <c r="Y22" s="343"/>
      <c r="Z22" s="9" t="str">
        <f>$I$22</f>
        <v xml:space="preserve"> </v>
      </c>
      <c r="AC22" s="15" t="str">
        <f>$G$23</f>
        <v xml:space="preserve"> </v>
      </c>
    </row>
    <row r="23" spans="2:30" ht="27" customHeight="1" x14ac:dyDescent="0.3">
      <c r="B23" s="3" t="str">
        <f>IF(AND($C$13&gt;0, C13&lt;6), "Dole", " ")</f>
        <v xml:space="preserve"> </v>
      </c>
      <c r="C23" s="117"/>
      <c r="D23" s="3" t="str">
        <f>IF(OR($C23=0,$N$3=2,$N$14=2,$C$13&lt;1)," ",$U23)</f>
        <v xml:space="preserve"> </v>
      </c>
      <c r="E23" s="111" t="str">
        <f>IF(OR(C23=0,$N$3=2, $N$14=2, U23="nelze",$C$13&lt;1), " ", S23)</f>
        <v xml:space="preserve"> </v>
      </c>
      <c r="F23" s="3" t="str">
        <f>IF(OR($C$23=0,$N$3=2,$N$14=2,U23="nelze",$C$13&lt;1)," ",SUM($N$23, $C$6, -$C$10))</f>
        <v xml:space="preserve"> </v>
      </c>
      <c r="G23" s="3" t="str">
        <f>IF(OR($C$23=0,$N$3=2,$N$14=2,U23="nelze",$C$13&lt;1)," ",$O$23+$C$7-$C$11)</f>
        <v xml:space="preserve"> </v>
      </c>
      <c r="H23" s="3" t="str">
        <f>G23</f>
        <v xml:space="preserve"> </v>
      </c>
      <c r="I23" s="3" t="str">
        <f>IF(OR($C$23=0,$N$3=2,$N$14=2,$U$23="nelze",C13&lt;1)," ",$Q$23+$C$6)</f>
        <v xml:space="preserve"> </v>
      </c>
      <c r="J23" s="3" t="str">
        <f>IF(OR($N$3=2,$C$23=0,$N$14=2,U23="nelze",$C$13&lt;1)," ",$R$23)</f>
        <v xml:space="preserve"> </v>
      </c>
      <c r="L23" s="126" t="str">
        <f>IF(AND($C$13&lt;1,C23&gt;0),"◄nevyplňovat!"," ")</f>
        <v xml:space="preserve"> </v>
      </c>
      <c r="M23" s="96" t="s">
        <v>267</v>
      </c>
      <c r="N23" s="96">
        <v>52.5</v>
      </c>
      <c r="O23" s="96">
        <v>15.5</v>
      </c>
      <c r="P23" s="96">
        <v>15.5</v>
      </c>
      <c r="Q23" s="96">
        <v>38</v>
      </c>
      <c r="R23" s="96">
        <v>37</v>
      </c>
      <c r="S23" s="110">
        <f>SUM(T23, -14, -16)</f>
        <v>-30</v>
      </c>
      <c r="T23" s="107">
        <f>IF(C13=1, SUM(C23, -C6*2, C10, C8), SUM(C23, -C6, C10))</f>
        <v>0</v>
      </c>
      <c r="U23" s="105" t="str">
        <f>IF(T23&gt;226,"M/K/C/D",IF(T23&gt;192,"M/K/C",IF(T23&gt;130.5,"M/K", IF(T23&gt;98.5,"M", "nelze"))))</f>
        <v>nelze</v>
      </c>
      <c r="V23" s="58">
        <f>IF($C$13&gt;1, SUM(C23, $C$9, $C$10), IF($C$13=1, SUM(C23, $C$8, $C$10), 0))</f>
        <v>0</v>
      </c>
      <c r="W23" s="9" t="str">
        <f>$I$23</f>
        <v xml:space="preserve"> </v>
      </c>
      <c r="X23" s="7" t="s">
        <v>268</v>
      </c>
      <c r="Y23" s="343"/>
      <c r="Z23" s="9" t="str">
        <f>IF(OR($C$23=0,$N$3=2)," ",$Q$23+$C$6)</f>
        <v xml:space="preserve"> </v>
      </c>
      <c r="AC23" s="9" t="s">
        <v>269</v>
      </c>
      <c r="AD23" s="5" t="str">
        <f>$F$22</f>
        <v xml:space="preserve"> </v>
      </c>
    </row>
    <row r="24" spans="2:30" ht="14.5" x14ac:dyDescent="0.35">
      <c r="M24" s="97" t="s">
        <v>350</v>
      </c>
      <c r="N24" s="98" t="s">
        <v>351</v>
      </c>
      <c r="O24" s="98"/>
      <c r="P24" s="98"/>
      <c r="Q24" s="98"/>
      <c r="R24" s="98"/>
      <c r="S24" s="98"/>
      <c r="T24" s="98"/>
      <c r="U24" s="98"/>
      <c r="V24" s="98"/>
      <c r="AC24" s="9" t="s">
        <v>270</v>
      </c>
      <c r="AD24" s="5" t="str">
        <f>$F$23</f>
        <v xml:space="preserve"> </v>
      </c>
    </row>
    <row r="25" spans="2:30" x14ac:dyDescent="0.3">
      <c r="B25" s="2" t="s">
        <v>271</v>
      </c>
    </row>
    <row r="26" spans="2:30" x14ac:dyDescent="0.3">
      <c r="B26" s="2" t="s">
        <v>112</v>
      </c>
      <c r="Z26" s="11" t="s">
        <v>272</v>
      </c>
    </row>
    <row r="28" spans="2:30" x14ac:dyDescent="0.3">
      <c r="B28" s="18" t="s">
        <v>273</v>
      </c>
      <c r="O28" s="303" t="s">
        <v>274</v>
      </c>
      <c r="P28" s="303"/>
      <c r="Q28" s="303" t="s">
        <v>275</v>
      </c>
      <c r="R28" s="303"/>
      <c r="S28" s="303"/>
    </row>
    <row r="29" spans="2:30" x14ac:dyDescent="0.3">
      <c r="N29" s="63" t="s">
        <v>276</v>
      </c>
      <c r="O29" s="63" t="s">
        <v>277</v>
      </c>
      <c r="P29" s="63" t="s">
        <v>278</v>
      </c>
      <c r="Q29" s="63" t="s">
        <v>279</v>
      </c>
      <c r="R29" s="63" t="s">
        <v>280</v>
      </c>
      <c r="S29" s="63" t="s">
        <v>281</v>
      </c>
      <c r="T29" s="63" t="s">
        <v>282</v>
      </c>
      <c r="U29" s="63" t="s">
        <v>283</v>
      </c>
    </row>
    <row r="30" spans="2:30" x14ac:dyDescent="0.3">
      <c r="B30" s="2" t="s">
        <v>352</v>
      </c>
      <c r="M30" s="63">
        <v>5</v>
      </c>
      <c r="N30" s="63">
        <f>IF(AND($N$3=1, $W30&lt;&gt;"nelze"), 1, 0)</f>
        <v>0</v>
      </c>
      <c r="O30" s="63">
        <f>IF(AND($N$3=1, $W30&lt;&gt;"nelze"), 1, 0)</f>
        <v>0</v>
      </c>
      <c r="P30" s="63"/>
      <c r="Q30" s="63">
        <f>IF(AND($N$3=1, $W30="M"), 1, 0)</f>
        <v>0</v>
      </c>
      <c r="R30" s="63">
        <f>IF(AND($N$3=1, $W30="C"), 1, 0)</f>
        <v>0</v>
      </c>
      <c r="S30" s="63">
        <f>IF(AND($N$3=1, $W30="D"), 1, 0)</f>
        <v>0</v>
      </c>
      <c r="T30" s="63">
        <f>IF(AND($N$3=1, OR($W30="C", $W30="D")), 1, 0)</f>
        <v>0</v>
      </c>
      <c r="V30" s="92">
        <f>T19</f>
        <v>0</v>
      </c>
      <c r="W30" s="105" t="str">
        <f t="shared" ref="W30:W33" si="0">IF(V30&gt;226,"D",IF(V30&gt;192,"C",IF(V30&gt;98.5,"M", "nelze")))</f>
        <v>nelze</v>
      </c>
    </row>
    <row r="31" spans="2:30" x14ac:dyDescent="0.3">
      <c r="B31" s="2" t="s">
        <v>285</v>
      </c>
      <c r="M31" s="63">
        <v>4</v>
      </c>
      <c r="N31" s="63">
        <f>IF(AND($N$3=1, $W31&lt;&gt;"nelze"), 1, 0)</f>
        <v>0</v>
      </c>
      <c r="O31" s="63">
        <f t="shared" ref="O31:O34" si="1">IF(AND($N$3=1, $W31&lt;&gt;"nelze"), 1, 0)</f>
        <v>0</v>
      </c>
      <c r="P31" s="63"/>
      <c r="Q31" s="63">
        <f t="shared" ref="Q31:Q34" si="2">IF(AND($N$3=1, $W31="M"), 1, 0)</f>
        <v>0</v>
      </c>
      <c r="R31" s="63">
        <f t="shared" ref="R31:R34" si="3">IF(AND($N$3=1, $W31="C"), 1, 0)</f>
        <v>0</v>
      </c>
      <c r="S31" s="63">
        <f t="shared" ref="S31:S34" si="4">IF(AND($N$3=1, $W31="D"), 1, 0)</f>
        <v>0</v>
      </c>
      <c r="T31" s="63">
        <f t="shared" ref="T31:T34" si="5">IF(AND($N$3=1, OR($W31="C", $W31="D")), 1, 0)</f>
        <v>0</v>
      </c>
      <c r="V31" s="92">
        <f>T20</f>
        <v>0</v>
      </c>
      <c r="W31" s="105" t="str">
        <f t="shared" si="0"/>
        <v>nelze</v>
      </c>
    </row>
    <row r="32" spans="2:30" x14ac:dyDescent="0.3">
      <c r="B32" s="2" t="s">
        <v>353</v>
      </c>
      <c r="M32" s="63">
        <v>3</v>
      </c>
      <c r="N32" s="63">
        <f>IF(AND($N$3=1, $W32&lt;&gt;"nelze"), 1, 0)</f>
        <v>0</v>
      </c>
      <c r="O32" s="63">
        <f t="shared" si="1"/>
        <v>0</v>
      </c>
      <c r="P32" s="63"/>
      <c r="Q32" s="63">
        <f t="shared" si="2"/>
        <v>0</v>
      </c>
      <c r="R32" s="63">
        <f t="shared" si="3"/>
        <v>0</v>
      </c>
      <c r="S32" s="63">
        <f t="shared" si="4"/>
        <v>0</v>
      </c>
      <c r="T32" s="63">
        <f t="shared" si="5"/>
        <v>0</v>
      </c>
      <c r="V32" s="92">
        <f>T21</f>
        <v>0</v>
      </c>
      <c r="W32" s="105" t="str">
        <f t="shared" si="0"/>
        <v>nelze</v>
      </c>
    </row>
    <row r="33" spans="1:29" x14ac:dyDescent="0.3">
      <c r="B33" s="2" t="s">
        <v>287</v>
      </c>
      <c r="M33" s="63">
        <v>2</v>
      </c>
      <c r="N33" s="63">
        <f>IF(AND($N$3=1, $W33&lt;&gt;"nelze"), 1, 0)</f>
        <v>0</v>
      </c>
      <c r="O33" s="63">
        <f t="shared" si="1"/>
        <v>0</v>
      </c>
      <c r="P33" s="63"/>
      <c r="Q33" s="63">
        <f t="shared" si="2"/>
        <v>0</v>
      </c>
      <c r="R33" s="63">
        <f t="shared" si="3"/>
        <v>0</v>
      </c>
      <c r="S33" s="63">
        <f t="shared" si="4"/>
        <v>0</v>
      </c>
      <c r="T33" s="63">
        <f t="shared" si="5"/>
        <v>0</v>
      </c>
      <c r="V33" s="92">
        <f>T22</f>
        <v>0</v>
      </c>
      <c r="W33" s="105" t="str">
        <f t="shared" si="0"/>
        <v>nelze</v>
      </c>
    </row>
    <row r="34" spans="1:29" x14ac:dyDescent="0.3">
      <c r="B34" s="2" t="s">
        <v>354</v>
      </c>
      <c r="M34" s="63" t="s">
        <v>267</v>
      </c>
      <c r="N34" s="63">
        <f>IF(AND($N$3=1, $W34&lt;&gt;"nelze"), 1, 0)</f>
        <v>0</v>
      </c>
      <c r="O34" s="63">
        <f t="shared" si="1"/>
        <v>0</v>
      </c>
      <c r="P34" s="63"/>
      <c r="Q34" s="63">
        <f t="shared" si="2"/>
        <v>0</v>
      </c>
      <c r="R34" s="63">
        <f t="shared" si="3"/>
        <v>0</v>
      </c>
      <c r="S34" s="63">
        <f t="shared" si="4"/>
        <v>0</v>
      </c>
      <c r="T34" s="63">
        <f t="shared" si="5"/>
        <v>0</v>
      </c>
      <c r="V34" s="92">
        <f>T23</f>
        <v>0</v>
      </c>
      <c r="W34" s="105" t="str">
        <f>IF(V34&gt;226,"D",IF(V34&gt;192,"C",IF(V34&gt;98.5,"M", "nelze")))</f>
        <v>nelze</v>
      </c>
    </row>
    <row r="35" spans="1:29" x14ac:dyDescent="0.3">
      <c r="B35" s="2" t="s">
        <v>288</v>
      </c>
    </row>
    <row r="40" spans="1:29" ht="14.5" thickBot="1" x14ac:dyDescent="0.35"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</row>
    <row r="41" spans="1:29" ht="25" customHeight="1" thickTop="1" x14ac:dyDescent="0.35">
      <c r="A41" s="303"/>
      <c r="B41" s="19" t="s">
        <v>355</v>
      </c>
      <c r="AC41" s="103" t="str">
        <f>$B$1</f>
        <v>TANDEMBOX antaro</v>
      </c>
    </row>
    <row r="42" spans="1:29" ht="20.149999999999999" customHeight="1" x14ac:dyDescent="0.3">
      <c r="A42" s="303"/>
      <c r="E42" s="9" t="s">
        <v>289</v>
      </c>
      <c r="AC42" s="102" t="str">
        <f>$B$2</f>
        <v xml:space="preserve"> s TIP-ON BLUMOTION</v>
      </c>
    </row>
    <row r="43" spans="1:29" ht="6.75" customHeight="1" x14ac:dyDescent="0.3">
      <c r="A43" s="303"/>
    </row>
    <row r="44" spans="1:29" x14ac:dyDescent="0.3">
      <c r="A44" s="303"/>
    </row>
    <row r="45" spans="1:29" x14ac:dyDescent="0.3">
      <c r="A45" s="303"/>
    </row>
    <row r="46" spans="1:29" x14ac:dyDescent="0.3">
      <c r="A46" s="303"/>
      <c r="B46" s="2" t="str">
        <f>I19</f>
        <v xml:space="preserve"> </v>
      </c>
    </row>
    <row r="47" spans="1:29" x14ac:dyDescent="0.3">
      <c r="A47" s="303"/>
      <c r="J47" s="2" t="s">
        <v>290</v>
      </c>
    </row>
    <row r="48" spans="1:29" ht="9" customHeight="1" x14ac:dyDescent="0.3">
      <c r="A48" s="303"/>
    </row>
    <row r="49" spans="1:26" x14ac:dyDescent="0.3">
      <c r="A49" s="303"/>
      <c r="B49" s="2" t="str">
        <f>I20</f>
        <v xml:space="preserve"> </v>
      </c>
      <c r="J49" s="116" t="s">
        <v>291</v>
      </c>
      <c r="K49" s="115"/>
      <c r="L49" s="116" t="str">
        <f>IF($N$3=1, R49&amp;" x "&amp;S49, " ")</f>
        <v xml:space="preserve"> </v>
      </c>
      <c r="R49" s="2">
        <f>$C$5-2*$C$7-75</f>
        <v>-75</v>
      </c>
      <c r="S49" s="112">
        <f>C12-24</f>
        <v>-24</v>
      </c>
      <c r="Z49" s="2" t="s">
        <v>292</v>
      </c>
    </row>
    <row r="50" spans="1:26" x14ac:dyDescent="0.3">
      <c r="A50" s="303"/>
      <c r="J50" s="63"/>
    </row>
    <row r="51" spans="1:26" x14ac:dyDescent="0.3">
      <c r="A51" s="303"/>
      <c r="J51" s="135" t="s">
        <v>293</v>
      </c>
      <c r="K51" s="136"/>
      <c r="L51" s="136"/>
    </row>
    <row r="52" spans="1:26" x14ac:dyDescent="0.3">
      <c r="A52" s="303"/>
      <c r="B52" s="2" t="str">
        <f>I21</f>
        <v xml:space="preserve"> </v>
      </c>
      <c r="J52" s="116" t="s">
        <v>279</v>
      </c>
      <c r="K52" s="115"/>
      <c r="L52" s="116" t="str">
        <f>IF($N$3=1, R52&amp;" x  "&amp;S52, " ")</f>
        <v xml:space="preserve"> </v>
      </c>
      <c r="R52" s="2">
        <f>$C$5-2*$C$7-87</f>
        <v>-87</v>
      </c>
      <c r="S52" s="2">
        <v>84</v>
      </c>
      <c r="Z52" s="2" t="s">
        <v>292</v>
      </c>
    </row>
    <row r="53" spans="1:26" x14ac:dyDescent="0.3">
      <c r="A53" s="303"/>
      <c r="J53" s="116" t="s">
        <v>294</v>
      </c>
      <c r="K53" s="115"/>
      <c r="L53" s="116" t="str">
        <f t="shared" ref="L53:L55" si="6">IF($N$3=1, R53&amp;" x "&amp;S53, " ")</f>
        <v xml:space="preserve"> </v>
      </c>
      <c r="R53" s="2">
        <f t="shared" ref="R53:R55" si="7">$C$5-2*$C$7-87</f>
        <v>-87</v>
      </c>
      <c r="S53" s="2">
        <v>116</v>
      </c>
      <c r="Z53" s="2" t="s">
        <v>292</v>
      </c>
    </row>
    <row r="54" spans="1:26" x14ac:dyDescent="0.3">
      <c r="A54" s="303"/>
      <c r="J54" s="116" t="s">
        <v>280</v>
      </c>
      <c r="K54" s="115"/>
      <c r="L54" s="116" t="str">
        <f t="shared" si="6"/>
        <v xml:space="preserve"> </v>
      </c>
      <c r="R54" s="2">
        <f t="shared" si="7"/>
        <v>-87</v>
      </c>
      <c r="S54" s="2">
        <v>167</v>
      </c>
      <c r="Z54" s="2" t="s">
        <v>292</v>
      </c>
    </row>
    <row r="55" spans="1:26" x14ac:dyDescent="0.3">
      <c r="A55" s="303"/>
      <c r="B55" s="2" t="str">
        <f>I22</f>
        <v xml:space="preserve"> </v>
      </c>
      <c r="J55" s="116" t="s">
        <v>281</v>
      </c>
      <c r="K55" s="115"/>
      <c r="L55" s="116" t="str">
        <f t="shared" si="6"/>
        <v xml:space="preserve"> </v>
      </c>
      <c r="R55" s="2">
        <f t="shared" si="7"/>
        <v>-87</v>
      </c>
      <c r="S55" s="2">
        <v>199</v>
      </c>
      <c r="Z55" s="2" t="s">
        <v>292</v>
      </c>
    </row>
    <row r="56" spans="1:26" x14ac:dyDescent="0.3">
      <c r="A56" s="303"/>
    </row>
    <row r="57" spans="1:26" x14ac:dyDescent="0.3">
      <c r="A57" s="303"/>
    </row>
    <row r="58" spans="1:26" ht="10.5" customHeight="1" x14ac:dyDescent="0.3">
      <c r="A58" s="303"/>
    </row>
    <row r="59" spans="1:26" x14ac:dyDescent="0.3">
      <c r="A59" s="303"/>
      <c r="B59" s="2" t="str">
        <f>I23</f>
        <v xml:space="preserve"> </v>
      </c>
      <c r="P59" s="137" t="s">
        <v>295</v>
      </c>
      <c r="Q59" s="138">
        <f>IF($C$12=270,SUM($N$30:$N$34), 0)</f>
        <v>0</v>
      </c>
      <c r="R59" s="137" t="s">
        <v>356</v>
      </c>
      <c r="S59" s="138">
        <f>IF($C$12=270,SUM($O$30:$O$34), 0)</f>
        <v>0</v>
      </c>
      <c r="T59" s="137"/>
      <c r="V59" s="137" t="s">
        <v>297</v>
      </c>
    </row>
    <row r="60" spans="1:26" x14ac:dyDescent="0.3">
      <c r="A60" s="303"/>
      <c r="P60" s="137" t="s">
        <v>298</v>
      </c>
      <c r="Q60" s="138">
        <f>IF($C$12=300,SUM($N$30:$N$34), 0)</f>
        <v>0</v>
      </c>
      <c r="R60" s="137" t="s">
        <v>357</v>
      </c>
      <c r="S60" s="138">
        <f>IF($C$12=300,SUM($O$30:$O$34), 0)</f>
        <v>0</v>
      </c>
      <c r="T60" s="137"/>
      <c r="V60" s="137" t="s">
        <v>300</v>
      </c>
    </row>
    <row r="61" spans="1:26" x14ac:dyDescent="0.3">
      <c r="A61" s="303"/>
      <c r="B61" s="2">
        <v>0</v>
      </c>
      <c r="P61" s="137" t="s">
        <v>301</v>
      </c>
      <c r="Q61" s="138">
        <f>IF($C$12=350,SUM($N$30:$N$34), 0)</f>
        <v>0</v>
      </c>
      <c r="R61" s="137" t="s">
        <v>358</v>
      </c>
      <c r="S61" s="138">
        <f>IF($C$12=350,SUM($O$30:$O$34), 0)</f>
        <v>0</v>
      </c>
      <c r="T61" s="137"/>
      <c r="V61" s="137" t="s">
        <v>303</v>
      </c>
    </row>
    <row r="62" spans="1:26" x14ac:dyDescent="0.3">
      <c r="A62" s="303"/>
      <c r="P62" s="137" t="s">
        <v>304</v>
      </c>
      <c r="Q62" s="138">
        <f>IF($C$12=400,SUM($N$30:$N$34), 0)</f>
        <v>0</v>
      </c>
      <c r="R62" s="137" t="s">
        <v>359</v>
      </c>
      <c r="S62" s="138">
        <f>IF($C$12=400,SUM($O$30:$O$34), 0)</f>
        <v>0</v>
      </c>
      <c r="T62" s="137"/>
      <c r="V62" s="137" t="s">
        <v>306</v>
      </c>
    </row>
    <row r="63" spans="1:26" x14ac:dyDescent="0.3">
      <c r="A63" s="303"/>
      <c r="P63" s="137" t="s">
        <v>307</v>
      </c>
      <c r="Q63" s="138">
        <f>IF($C$12=450,SUM($N$30:$N$34), 0)</f>
        <v>0</v>
      </c>
      <c r="R63" s="137" t="s">
        <v>360</v>
      </c>
      <c r="S63" s="138">
        <f>IF($C$12=450,SUM($O$30:$O$34), 0)</f>
        <v>0</v>
      </c>
      <c r="T63" s="137" t="s">
        <v>361</v>
      </c>
      <c r="V63" s="137" t="s">
        <v>310</v>
      </c>
    </row>
    <row r="64" spans="1:26" x14ac:dyDescent="0.3">
      <c r="A64" s="303"/>
      <c r="E64" s="9" t="s">
        <v>362</v>
      </c>
      <c r="P64" s="137" t="s">
        <v>313</v>
      </c>
      <c r="Q64" s="138">
        <f>IF($C$12=500,SUM($N$30:$N$34), 0)</f>
        <v>0</v>
      </c>
      <c r="R64" s="137" t="s">
        <v>363</v>
      </c>
      <c r="S64" s="138">
        <f>IF($C$12=500,SUM($O$30:$O$34), 0)</f>
        <v>0</v>
      </c>
      <c r="T64" s="137" t="s">
        <v>364</v>
      </c>
      <c r="V64" s="137" t="s">
        <v>316</v>
      </c>
      <c r="Z64" s="47" t="s">
        <v>365</v>
      </c>
    </row>
    <row r="65" spans="1:31" ht="9" customHeight="1" x14ac:dyDescent="0.3">
      <c r="A65" s="303"/>
      <c r="P65" s="137" t="s">
        <v>307</v>
      </c>
      <c r="Q65" s="138">
        <f>IF($C$12=550,SUM($N$30:$N$34), 0)</f>
        <v>0</v>
      </c>
      <c r="R65" s="137" t="s">
        <v>366</v>
      </c>
      <c r="S65" s="138">
        <f>IF($C$12=550,SUM($O$30:$O$34), 0)</f>
        <v>0</v>
      </c>
      <c r="T65" s="137" t="s">
        <v>367</v>
      </c>
      <c r="V65" s="137" t="s">
        <v>319</v>
      </c>
    </row>
    <row r="66" spans="1:31" x14ac:dyDescent="0.3">
      <c r="A66" s="303"/>
      <c r="P66" s="137" t="s">
        <v>320</v>
      </c>
      <c r="Q66" s="138">
        <f>IF($C$12=600,SUM($N$30:$N$34), 0)</f>
        <v>0</v>
      </c>
      <c r="R66" s="137" t="s">
        <v>368</v>
      </c>
      <c r="S66" s="138">
        <f>IF($C$12=600,SUM($O$30:$O$34), 0)</f>
        <v>0</v>
      </c>
      <c r="T66" s="137" t="s">
        <v>369</v>
      </c>
      <c r="V66" s="137" t="s">
        <v>323</v>
      </c>
    </row>
    <row r="67" spans="1:31" x14ac:dyDescent="0.3">
      <c r="A67" s="303"/>
      <c r="P67" s="137" t="s">
        <v>324</v>
      </c>
      <c r="Q67" s="138">
        <f>IF($C$12=650,SUM($N$30:$N$34), 0)</f>
        <v>0</v>
      </c>
      <c r="R67" s="137"/>
      <c r="S67" s="141">
        <f>IF($C$12=650,SUM($O$30:$O$34), 0)</f>
        <v>0</v>
      </c>
      <c r="T67" s="142" t="s">
        <v>370</v>
      </c>
      <c r="V67" s="137" t="s">
        <v>326</v>
      </c>
    </row>
    <row r="68" spans="1:31" x14ac:dyDescent="0.3">
      <c r="A68" s="303"/>
    </row>
    <row r="69" spans="1:31" x14ac:dyDescent="0.3">
      <c r="A69" s="303"/>
      <c r="Q69" s="138" t="s">
        <v>371</v>
      </c>
      <c r="R69" s="137" t="s">
        <v>372</v>
      </c>
    </row>
    <row r="70" spans="1:31" x14ac:dyDescent="0.3">
      <c r="A70" s="303"/>
      <c r="Q70" s="138" t="s">
        <v>373</v>
      </c>
      <c r="R70" s="137" t="s">
        <v>374</v>
      </c>
    </row>
    <row r="71" spans="1:31" x14ac:dyDescent="0.3">
      <c r="A71" s="303"/>
      <c r="Q71" s="138" t="s">
        <v>375</v>
      </c>
      <c r="R71" s="137" t="s">
        <v>376</v>
      </c>
    </row>
    <row r="72" spans="1:31" x14ac:dyDescent="0.3">
      <c r="A72" s="303"/>
      <c r="Q72" s="138" t="s">
        <v>377</v>
      </c>
      <c r="R72" s="137" t="s">
        <v>378</v>
      </c>
    </row>
    <row r="73" spans="1:31" x14ac:dyDescent="0.3">
      <c r="A73" s="303"/>
      <c r="Q73" s="138" t="s">
        <v>379</v>
      </c>
      <c r="R73" s="137" t="s">
        <v>380</v>
      </c>
    </row>
    <row r="74" spans="1:31" x14ac:dyDescent="0.3">
      <c r="A74" s="303"/>
      <c r="C74" s="47" t="str">
        <f>F23</f>
        <v xml:space="preserve"> </v>
      </c>
      <c r="J74" s="2" t="str">
        <f>F22</f>
        <v xml:space="preserve"> </v>
      </c>
    </row>
    <row r="75" spans="1:31" x14ac:dyDescent="0.3">
      <c r="A75" s="303"/>
      <c r="R75" s="137" t="s">
        <v>381</v>
      </c>
      <c r="S75" s="138">
        <f>IF($C$5&lt;551,0.25, IF(AND($C$5&gt;550,$C$5&lt;649),0.3,IF(AND($C$5&gt;648,$C$5&lt;835),0.5,1)))</f>
        <v>0.25</v>
      </c>
    </row>
    <row r="76" spans="1:31" x14ac:dyDescent="0.3">
      <c r="A76" s="303"/>
      <c r="R76" s="137" t="s">
        <v>382</v>
      </c>
      <c r="S76" s="138">
        <f>IF($C$5&gt;749, 1, 0)</f>
        <v>0</v>
      </c>
    </row>
    <row r="77" spans="1:31" x14ac:dyDescent="0.3">
      <c r="A77" s="303"/>
      <c r="C77" s="2" t="str">
        <f>H23</f>
        <v xml:space="preserve"> </v>
      </c>
      <c r="G77" s="47" t="str">
        <f>G23</f>
        <v xml:space="preserve"> </v>
      </c>
      <c r="L77" s="5" t="str">
        <f>H22</f>
        <v xml:space="preserve"> </v>
      </c>
      <c r="R77" s="137" t="s">
        <v>383</v>
      </c>
      <c r="S77" s="138">
        <f>IF($C$5&gt;749, 1, 0)</f>
        <v>0</v>
      </c>
      <c r="AB77" s="47" t="str">
        <f>G22</f>
        <v xml:space="preserve"> </v>
      </c>
    </row>
    <row r="78" spans="1:31" x14ac:dyDescent="0.3">
      <c r="A78" s="303"/>
    </row>
    <row r="79" spans="1:31" x14ac:dyDescent="0.3">
      <c r="A79" s="303"/>
      <c r="C79" s="2" t="s">
        <v>327</v>
      </c>
      <c r="AD79" s="341" t="s">
        <v>88</v>
      </c>
      <c r="AE79" s="341"/>
    </row>
    <row r="80" spans="1:31" ht="14.5" thickBot="1" x14ac:dyDescent="0.35">
      <c r="A80" s="303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00"/>
      <c r="AC80" s="100"/>
      <c r="AD80" s="101"/>
      <c r="AE80" s="101"/>
    </row>
    <row r="81" spans="1:29" ht="25" customHeight="1" thickTop="1" x14ac:dyDescent="0.35">
      <c r="A81" s="303"/>
      <c r="AC81" s="103" t="str">
        <f>$B$1</f>
        <v>TANDEMBOX antaro</v>
      </c>
    </row>
    <row r="82" spans="1:29" ht="17.5" x14ac:dyDescent="0.35">
      <c r="A82" s="303"/>
      <c r="B82" s="19" t="s">
        <v>384</v>
      </c>
      <c r="AC82" s="102" t="str">
        <f>$B$2</f>
        <v xml:space="preserve"> s TIP-ON BLUMOTION</v>
      </c>
    </row>
    <row r="83" spans="1:29" ht="14.5" x14ac:dyDescent="0.35">
      <c r="A83" s="303"/>
      <c r="B83" s="5" t="s">
        <v>385</v>
      </c>
    </row>
    <row r="84" spans="1:29" x14ac:dyDescent="0.3">
      <c r="A84" s="303"/>
    </row>
    <row r="85" spans="1:29" ht="15.5" x14ac:dyDescent="0.35">
      <c r="A85" s="303"/>
      <c r="AA85" s="9" t="s">
        <v>330</v>
      </c>
      <c r="AB85" s="99" t="s">
        <v>383</v>
      </c>
    </row>
    <row r="86" spans="1:29" x14ac:dyDescent="0.3">
      <c r="A86" s="303"/>
    </row>
    <row r="87" spans="1:29" x14ac:dyDescent="0.3">
      <c r="A87" s="303"/>
    </row>
    <row r="88" spans="1:29" x14ac:dyDescent="0.3">
      <c r="A88" s="303"/>
    </row>
    <row r="89" spans="1:29" x14ac:dyDescent="0.3">
      <c r="A89" s="303"/>
      <c r="F89" s="9" t="s">
        <v>311</v>
      </c>
      <c r="Z89" s="47" t="s">
        <v>312</v>
      </c>
    </row>
    <row r="90" spans="1:29" x14ac:dyDescent="0.3">
      <c r="A90" s="303"/>
    </row>
    <row r="91" spans="1:29" x14ac:dyDescent="0.3">
      <c r="A91" s="303"/>
    </row>
    <row r="92" spans="1:29" x14ac:dyDescent="0.3">
      <c r="A92" s="303"/>
    </row>
    <row r="93" spans="1:29" x14ac:dyDescent="0.3">
      <c r="A93" s="303"/>
    </row>
    <row r="94" spans="1:29" x14ac:dyDescent="0.3">
      <c r="A94" s="303"/>
    </row>
    <row r="95" spans="1:29" x14ac:dyDescent="0.3">
      <c r="A95" s="303"/>
    </row>
    <row r="96" spans="1:29" x14ac:dyDescent="0.3">
      <c r="A96" s="303"/>
    </row>
    <row r="97" spans="1:31" x14ac:dyDescent="0.3">
      <c r="A97" s="303"/>
    </row>
    <row r="98" spans="1:31" x14ac:dyDescent="0.3">
      <c r="A98" s="303"/>
    </row>
    <row r="99" spans="1:31" x14ac:dyDescent="0.3">
      <c r="A99" s="303"/>
      <c r="C99" s="47">
        <f>SUM(F23, -39.5)</f>
        <v>-39.5</v>
      </c>
      <c r="J99" s="2">
        <f>SUM(J74, -39.5)</f>
        <v>-39.5</v>
      </c>
    </row>
    <row r="100" spans="1:31" x14ac:dyDescent="0.3">
      <c r="A100" s="303"/>
    </row>
    <row r="101" spans="1:31" x14ac:dyDescent="0.3">
      <c r="A101" s="303"/>
    </row>
    <row r="102" spans="1:31" x14ac:dyDescent="0.3">
      <c r="A102" s="303"/>
    </row>
    <row r="103" spans="1:31" x14ac:dyDescent="0.3">
      <c r="A103" s="303"/>
    </row>
    <row r="104" spans="1:31" x14ac:dyDescent="0.3">
      <c r="A104" s="303"/>
      <c r="AD104" s="341" t="s">
        <v>88</v>
      </c>
      <c r="AE104" s="341"/>
    </row>
    <row r="105" spans="1:31" x14ac:dyDescent="0.3">
      <c r="A105" s="303"/>
    </row>
    <row r="106" spans="1:31" x14ac:dyDescent="0.3">
      <c r="A106" s="303"/>
    </row>
    <row r="107" spans="1:31" x14ac:dyDescent="0.3">
      <c r="A107" s="303"/>
    </row>
    <row r="108" spans="1:31" x14ac:dyDescent="0.3">
      <c r="A108" s="303"/>
    </row>
    <row r="109" spans="1:31" ht="14.5" thickBot="1" x14ac:dyDescent="0.35"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</row>
    <row r="110" spans="1:31" ht="25" customHeight="1" thickTop="1" x14ac:dyDescent="0.35">
      <c r="B110" s="139" t="s">
        <v>332</v>
      </c>
      <c r="AB110" s="47"/>
      <c r="AC110" s="103" t="str">
        <f>$B$1</f>
        <v>TANDEMBOX antaro</v>
      </c>
    </row>
    <row r="111" spans="1:31" ht="25" customHeight="1" x14ac:dyDescent="0.3">
      <c r="B111" s="158" t="s">
        <v>92</v>
      </c>
      <c r="C111" s="140"/>
      <c r="D111" s="140"/>
      <c r="E111" s="140" t="s">
        <v>93</v>
      </c>
      <c r="F111" s="140"/>
      <c r="G111" s="140" t="s">
        <v>94</v>
      </c>
      <c r="H111" s="140" t="s">
        <v>95</v>
      </c>
      <c r="I111" s="140"/>
      <c r="J111" s="140"/>
      <c r="K111" s="140"/>
      <c r="L111" s="140"/>
      <c r="M111" s="140"/>
      <c r="N111" s="140"/>
      <c r="P111" s="18"/>
      <c r="AB111" s="47"/>
      <c r="AC111" s="197" t="str">
        <f>$B$2</f>
        <v xml:space="preserve"> s TIP-ON BLUMOTION</v>
      </c>
    </row>
    <row r="112" spans="1:31" x14ac:dyDescent="0.3">
      <c r="B112" s="2" t="s">
        <v>333</v>
      </c>
      <c r="E112" s="2" t="str">
        <f>IF($N$3=1, IF($C$12=270, P59, IF($C$12=300, P60, IF($C$12=350, P61, IF($C$12=400, P62, IF($C$12=450, P63, IF($C$12=500, P64, IF($C$12=550, P65, IF($C$12=600, P66, IF($C$12=650, P67, " "))))))))), " ")</f>
        <v xml:space="preserve"> </v>
      </c>
      <c r="G112" s="47">
        <f>IF($N$3=1,SUM($N$30:$N$34),0)</f>
        <v>0</v>
      </c>
      <c r="H112" s="2" t="s">
        <v>99</v>
      </c>
      <c r="AB112" s="47"/>
      <c r="AC112" s="9"/>
    </row>
    <row r="113" spans="2:29" x14ac:dyDescent="0.3">
      <c r="B113" s="2" t="str">
        <f>IF($C$12=650, "Korpusové lišty 65 kg", "Korpusové lišty 30 kg")</f>
        <v>Korpusové lišty 30 kg</v>
      </c>
      <c r="E113" s="2" t="str">
        <f>IF($N$3=1, IF($C$12=270, R59, IF($C$12=300, R60, IF($C$12=350, R61, IF($C$12=400, R62, IF($C$12=450, R63, IF($C$12=500, R64, IF($C$12=550, R65, IF($C$12=600, R66, IF($C$12=650, T67, " "))))))))), " ")</f>
        <v xml:space="preserve"> </v>
      </c>
      <c r="G113" s="47" t="str">
        <f>IF($N$3=1, SUM($O$30:$O$34), " ")</f>
        <v xml:space="preserve"> </v>
      </c>
      <c r="H113" s="45" t="str">
        <f>IF(AND($N$3=1, $C$5&gt;799, OR($C$12=450, $C$12=500, $C$12=550, $C$12=600)), "lišty 65 kg: "&amp; $T$113&amp;" ***", " ")</f>
        <v xml:space="preserve"> </v>
      </c>
      <c r="T113" s="143">
        <f>IF($C$12=450, $T$63, IF($C$12=500, $T$64, IF($C$12=550, $T$65, IF($C$12=600, $T$66, 0))))</f>
        <v>0</v>
      </c>
      <c r="AB113" s="47"/>
      <c r="AC113" s="9"/>
    </row>
    <row r="114" spans="2:29" x14ac:dyDescent="0.3">
      <c r="B114" s="2" t="s">
        <v>334</v>
      </c>
      <c r="E114" s="2" t="str">
        <f>IF($N$3=1, "Z30M000S", " ")</f>
        <v xml:space="preserve"> </v>
      </c>
      <c r="G114" s="47" t="str">
        <f>IF($N$3=1, SUM($Q$30:$Q$34), " ")</f>
        <v xml:space="preserve"> </v>
      </c>
      <c r="H114" s="2" t="s">
        <v>99</v>
      </c>
      <c r="J114" s="45"/>
      <c r="AB114" s="47"/>
      <c r="AC114" s="9"/>
    </row>
    <row r="115" spans="2:29" x14ac:dyDescent="0.3">
      <c r="B115" s="2" t="s">
        <v>335</v>
      </c>
      <c r="E115" s="2" t="str">
        <f>IF($N$3=1, "Z30C000S", " ")</f>
        <v xml:space="preserve"> </v>
      </c>
      <c r="G115" s="47" t="str">
        <f>IF($N$3=1, SUM($R$30:$R$34), " ")</f>
        <v xml:space="preserve"> </v>
      </c>
      <c r="H115" s="2" t="s">
        <v>99</v>
      </c>
      <c r="AB115" s="47"/>
      <c r="AC115" s="9"/>
    </row>
    <row r="116" spans="2:29" x14ac:dyDescent="0.3">
      <c r="B116" s="2" t="s">
        <v>336</v>
      </c>
      <c r="E116" s="2" t="str">
        <f>IF($N$3=1, "Z30D000S", " ")</f>
        <v xml:space="preserve"> </v>
      </c>
      <c r="G116" s="47" t="str">
        <f>IF($N$3=1, SUM($S$30:$S$34), " ")</f>
        <v xml:space="preserve"> </v>
      </c>
      <c r="H116" s="2" t="s">
        <v>99</v>
      </c>
      <c r="AB116" s="47"/>
      <c r="AC116" s="9"/>
    </row>
    <row r="117" spans="2:29" x14ac:dyDescent="0.3">
      <c r="B117" s="2" t="s">
        <v>337</v>
      </c>
      <c r="E117" s="2" t="str">
        <f>IF($N$3=1, IF($C$12=270, V59, IF($C$12=300, V60, IF($C$12=350, V61, IF($C$12=400, V62, IF($C$12=450, V63, IF($C$12=500, V64, IF($C$12=550, V65, IF($C$12=600, V66, IF($C$12=650, V67, " "))))))))), " ")</f>
        <v xml:space="preserve"> </v>
      </c>
      <c r="G117" s="47" t="str">
        <f>IF($N$3=1, SUM($T$30:$T$34), " ")</f>
        <v xml:space="preserve"> </v>
      </c>
      <c r="H117" s="2" t="s">
        <v>99</v>
      </c>
      <c r="AB117" s="47"/>
      <c r="AC117" s="9"/>
    </row>
    <row r="118" spans="2:29" x14ac:dyDescent="0.3">
      <c r="B118" s="2" t="s">
        <v>338</v>
      </c>
      <c r="E118" s="2" t="str">
        <f>IF($N$3=1, "ZSF.39A2", " ")</f>
        <v xml:space="preserve"> </v>
      </c>
      <c r="G118" s="47" t="str">
        <f>IF($N$3=1, SUM($N$30:$N$34)*2, " ")</f>
        <v xml:space="preserve"> </v>
      </c>
      <c r="H118" s="47" t="str">
        <f>IF(N3=1, "verze na vruty: ZSF.35A2", " ")</f>
        <v xml:space="preserve"> </v>
      </c>
      <c r="AB118" s="47"/>
      <c r="AC118" s="9"/>
    </row>
    <row r="119" spans="2:29" x14ac:dyDescent="0.3">
      <c r="B119" s="2" t="s">
        <v>386</v>
      </c>
      <c r="D119" s="9"/>
      <c r="E119" s="2" t="s">
        <v>387</v>
      </c>
      <c r="G119" s="47">
        <f>G112</f>
        <v>0</v>
      </c>
      <c r="H119" s="2" t="s">
        <v>388</v>
      </c>
      <c r="AB119" s="47"/>
      <c r="AC119" s="9"/>
    </row>
    <row r="120" spans="2:29" x14ac:dyDescent="0.3">
      <c r="B120" s="2" t="s">
        <v>389</v>
      </c>
      <c r="E120" s="2" t="str">
        <f>IF($N$3=1, R75, " ")</f>
        <v xml:space="preserve"> </v>
      </c>
      <c r="G120" s="47" t="str">
        <f>IF($N$3=1,ROUNDUP($S$75*G112, 0.1)," ")</f>
        <v xml:space="preserve"> </v>
      </c>
      <c r="AB120" s="47"/>
      <c r="AC120" s="9"/>
    </row>
    <row r="121" spans="2:29" x14ac:dyDescent="0.3">
      <c r="B121" s="45" t="s">
        <v>390</v>
      </c>
      <c r="E121" s="2" t="str">
        <f>IF(AND($N$3=1, $C$5&gt;749), R76, " ")</f>
        <v xml:space="preserve"> </v>
      </c>
      <c r="G121" s="47">
        <f>$G$112*S76</f>
        <v>0</v>
      </c>
      <c r="H121" s="2" t="str">
        <f>IF(AND($N$3=1, $C$5&gt;749), "nutná pro korpus od šířky 750 mm", " ")</f>
        <v xml:space="preserve"> </v>
      </c>
      <c r="L121" s="143"/>
      <c r="AB121" s="47"/>
      <c r="AC121" s="9"/>
    </row>
    <row r="122" spans="2:29" x14ac:dyDescent="0.3">
      <c r="B122" s="45" t="s">
        <v>391</v>
      </c>
      <c r="E122" s="2" t="str">
        <f>IF(AND($N$3=1, $C$5&gt;749), R77, " ")</f>
        <v xml:space="preserve"> </v>
      </c>
      <c r="G122" s="47">
        <f>$G$112*S77</f>
        <v>0</v>
      </c>
      <c r="H122" s="2" t="str">
        <f>IF(AND($N$3=1, $C$5&gt;749), "nutný pro korpus od šířky 750 mm", " ")</f>
        <v xml:space="preserve"> </v>
      </c>
      <c r="L122" s="143"/>
      <c r="AB122" s="47"/>
      <c r="AC122" s="9"/>
    </row>
    <row r="123" spans="2:29" x14ac:dyDescent="0.3">
      <c r="B123" s="18"/>
      <c r="L123" s="143"/>
      <c r="AB123" s="47"/>
      <c r="AC123" s="9"/>
    </row>
    <row r="124" spans="2:29" x14ac:dyDescent="0.3">
      <c r="B124" s="161" t="s">
        <v>392</v>
      </c>
      <c r="L124" s="143"/>
      <c r="AB124" s="47"/>
      <c r="AC124" s="9"/>
    </row>
    <row r="125" spans="2:29" ht="15" x14ac:dyDescent="0.3">
      <c r="B125" s="160" t="s">
        <v>393</v>
      </c>
      <c r="C125" s="158" t="s">
        <v>394</v>
      </c>
      <c r="D125" s="160" t="s">
        <v>395</v>
      </c>
      <c r="E125" s="158" t="s">
        <v>396</v>
      </c>
      <c r="F125" s="158"/>
      <c r="G125" s="158" t="s">
        <v>95</v>
      </c>
      <c r="H125" s="140"/>
      <c r="I125" s="140"/>
      <c r="J125" s="140"/>
      <c r="L125" s="143"/>
      <c r="AB125" s="47"/>
      <c r="AC125" s="9"/>
    </row>
    <row r="126" spans="2:29" x14ac:dyDescent="0.3">
      <c r="B126" s="159" t="str">
        <f>IF($N$3=1, IF(OR($C$12=270, $C$12=300), "S0", "L1"), " ")</f>
        <v xml:space="preserve"> </v>
      </c>
      <c r="C126" s="45" t="str">
        <f>IF($N$3=1, IF(OR($C$12=270, $C$12=300), "≤ 10 kg", "≤ 20 kg"), " ")</f>
        <v xml:space="preserve"> </v>
      </c>
      <c r="D126" s="159" t="str">
        <f>IF($N$3=1, IF(OR($C$12=270, $C$12=300), "30", "30"), " ")</f>
        <v xml:space="preserve"> </v>
      </c>
      <c r="E126" s="159" t="str">
        <f>IF($N$3=1, IF(OR($C$12=270, $C$12=300), R69, R71), " ")</f>
        <v xml:space="preserve"> </v>
      </c>
      <c r="G126" s="18" t="str">
        <f>IF(AND(N3=1, C12=650), "nelze použít s lištami 65 kg!", " ")</f>
        <v xml:space="preserve"> </v>
      </c>
      <c r="L126" s="143"/>
      <c r="AB126" s="47"/>
      <c r="AC126" s="9"/>
    </row>
    <row r="127" spans="2:29" x14ac:dyDescent="0.3">
      <c r="B127" s="159" t="str">
        <f>IF($N$3=1, IF(OR($C$12=270, $C$12=300), "S1", "L3"), " ")</f>
        <v xml:space="preserve"> </v>
      </c>
      <c r="C127" s="45" t="str">
        <f>IF($N$3=1, IF(OR($C$12=270, $C$12=300), "10-20 kg", "15-40 kg"), " ")</f>
        <v xml:space="preserve"> </v>
      </c>
      <c r="D127" s="159" t="str">
        <f>IF($N$3=1, IF(OR($C$12=270, $C$12=300), "30", "30/65"), " ")</f>
        <v xml:space="preserve"> </v>
      </c>
      <c r="E127" s="159" t="str">
        <f>IF($N$3=1, IF(OR($C$12=270, $C$12=300), R70, R72), " ")</f>
        <v xml:space="preserve"> </v>
      </c>
      <c r="L127" s="143"/>
      <c r="AB127" s="47"/>
      <c r="AC127" s="9"/>
    </row>
    <row r="128" spans="2:29" x14ac:dyDescent="0.3">
      <c r="B128" s="159" t="str">
        <f>IF($N$3=1, IF(OR($C$12=270, $C$12=300), " ", "L5"), " ")</f>
        <v xml:space="preserve"> </v>
      </c>
      <c r="C128" s="45" t="str">
        <f>IF($N$3=1, IF(OR($C$12=270, $C$12=300), " ", "35-65 kg"), " ")</f>
        <v xml:space="preserve"> </v>
      </c>
      <c r="D128" s="159" t="str">
        <f>IF($N$3=1, IF(OR($C$12=270, $C$12=300), " ", "65"), " ")</f>
        <v xml:space="preserve"> </v>
      </c>
      <c r="E128" s="159" t="str">
        <f>IF($N$3=1, IF(OR($C$12=270, $C$12=300)," ", R73), " ")</f>
        <v xml:space="preserve"> </v>
      </c>
      <c r="L128" s="143"/>
      <c r="AB128" s="47"/>
      <c r="AC128" s="9"/>
    </row>
    <row r="129" spans="1:29" x14ac:dyDescent="0.3">
      <c r="B129" s="157" t="s">
        <v>397</v>
      </c>
      <c r="AB129" s="47"/>
      <c r="AC129" s="9"/>
    </row>
    <row r="130" spans="1:29" x14ac:dyDescent="0.3">
      <c r="B130" s="157"/>
      <c r="AB130" s="47"/>
      <c r="AC130" s="9"/>
    </row>
    <row r="131" spans="1:29" x14ac:dyDescent="0.3">
      <c r="B131" s="45" t="str">
        <f>IF(AND($N$3=1, $C$5&gt;799, OR($C$12=450, $C$12=500, $C$12=550, $C$12=600)), "*** vzhledem k šířce korpusu doporučujeme pro výsuvy výšky C a D lišty s nosností 65 kg", " ")</f>
        <v xml:space="preserve"> </v>
      </c>
    </row>
    <row r="132" spans="1:29" x14ac:dyDescent="0.3">
      <c r="B132" s="2" t="s">
        <v>542</v>
      </c>
    </row>
    <row r="141" spans="1:29" ht="14.5" thickBot="1" x14ac:dyDescent="0.35">
      <c r="A141" s="303"/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</row>
    <row r="142" spans="1:29" ht="19.5" customHeight="1" thickTop="1" x14ac:dyDescent="0.35">
      <c r="A142" s="303"/>
      <c r="B142" s="19" t="s">
        <v>340</v>
      </c>
      <c r="AC142" s="103" t="str">
        <f>$B$1</f>
        <v>TANDEMBOX antaro</v>
      </c>
    </row>
    <row r="143" spans="1:29" x14ac:dyDescent="0.3">
      <c r="A143" s="303"/>
      <c r="AC143" s="102" t="str">
        <f>$B$2</f>
        <v xml:space="preserve"> s TIP-ON BLUMOTION</v>
      </c>
    </row>
    <row r="144" spans="1:29" x14ac:dyDescent="0.3">
      <c r="A144" s="303"/>
    </row>
    <row r="145" spans="1:1" x14ac:dyDescent="0.3">
      <c r="A145" s="303"/>
    </row>
    <row r="146" spans="1:1" x14ac:dyDescent="0.3">
      <c r="A146" s="303"/>
    </row>
    <row r="147" spans="1:1" x14ac:dyDescent="0.3">
      <c r="A147" s="303"/>
    </row>
    <row r="148" spans="1:1" x14ac:dyDescent="0.3">
      <c r="A148" s="303"/>
    </row>
    <row r="149" spans="1:1" x14ac:dyDescent="0.3">
      <c r="A149" s="303"/>
    </row>
    <row r="150" spans="1:1" x14ac:dyDescent="0.3">
      <c r="A150" s="303"/>
    </row>
    <row r="151" spans="1:1" x14ac:dyDescent="0.3">
      <c r="A151" s="303"/>
    </row>
    <row r="152" spans="1:1" x14ac:dyDescent="0.3">
      <c r="A152" s="303"/>
    </row>
    <row r="153" spans="1:1" x14ac:dyDescent="0.3">
      <c r="A153" s="303"/>
    </row>
    <row r="154" spans="1:1" x14ac:dyDescent="0.3">
      <c r="A154" s="303"/>
    </row>
    <row r="155" spans="1:1" x14ac:dyDescent="0.3">
      <c r="A155" s="303"/>
    </row>
    <row r="156" spans="1:1" x14ac:dyDescent="0.3">
      <c r="A156" s="303"/>
    </row>
    <row r="157" spans="1:1" x14ac:dyDescent="0.3">
      <c r="A157" s="303"/>
    </row>
    <row r="158" spans="1:1" x14ac:dyDescent="0.3">
      <c r="A158" s="303"/>
    </row>
    <row r="159" spans="1:1" x14ac:dyDescent="0.3">
      <c r="A159" s="303"/>
    </row>
    <row r="160" spans="1:1" x14ac:dyDescent="0.3">
      <c r="A160" s="303"/>
    </row>
    <row r="161" spans="1:53" x14ac:dyDescent="0.3">
      <c r="A161" s="303"/>
    </row>
    <row r="162" spans="1:53" x14ac:dyDescent="0.3">
      <c r="A162" s="303"/>
    </row>
    <row r="163" spans="1:53" x14ac:dyDescent="0.3">
      <c r="A163" s="303"/>
    </row>
    <row r="164" spans="1:53" x14ac:dyDescent="0.3">
      <c r="A164" s="303"/>
      <c r="B164" s="2" t="s">
        <v>341</v>
      </c>
    </row>
    <row r="165" spans="1:53" x14ac:dyDescent="0.3">
      <c r="A165" s="303"/>
      <c r="B165" s="2" t="s">
        <v>342</v>
      </c>
      <c r="Q165" s="2" t="s">
        <v>398</v>
      </c>
    </row>
    <row r="166" spans="1:53" x14ac:dyDescent="0.3">
      <c r="A166" s="303"/>
      <c r="B166" s="2" t="s">
        <v>343</v>
      </c>
    </row>
    <row r="167" spans="1:53" x14ac:dyDescent="0.3">
      <c r="A167" s="303"/>
      <c r="B167" s="2" t="s">
        <v>344</v>
      </c>
      <c r="AD167" s="341" t="s">
        <v>88</v>
      </c>
      <c r="AE167" s="341"/>
    </row>
    <row r="168" spans="1:53" x14ac:dyDescent="0.3">
      <c r="A168" s="303"/>
    </row>
    <row r="169" spans="1:53" x14ac:dyDescent="0.3">
      <c r="A169" s="303"/>
    </row>
    <row r="170" spans="1:53" x14ac:dyDescent="0.3">
      <c r="A170" s="303"/>
    </row>
    <row r="171" spans="1:53" ht="25" customHeight="1" x14ac:dyDescent="0.35">
      <c r="A171" s="303"/>
      <c r="AH171" s="99" t="s">
        <v>105</v>
      </c>
      <c r="AI171" s="17"/>
      <c r="AJ171" s="17"/>
      <c r="AK171" s="17"/>
      <c r="AL171" s="17"/>
      <c r="AM171" s="17"/>
      <c r="AN171" s="17"/>
      <c r="AO171" s="17"/>
      <c r="AP171" s="204" t="str">
        <f>AC41&amp;AC42</f>
        <v>TANDEMBOX antaro s TIP-ON BLUMOTION</v>
      </c>
      <c r="AR171" s="180"/>
      <c r="AS171" s="215" t="str">
        <f t="shared" ref="AS171:AS182" si="8">B111</f>
        <v>popis</v>
      </c>
      <c r="AT171" s="215"/>
      <c r="AU171" s="215"/>
      <c r="AV171" s="215" t="str">
        <f>E111</f>
        <v>označení</v>
      </c>
      <c r="AW171" s="215"/>
      <c r="AX171" s="217" t="str">
        <f>G111</f>
        <v>počet</v>
      </c>
      <c r="AY171" s="218" t="str">
        <f>H111</f>
        <v>poznámka</v>
      </c>
      <c r="AZ171" s="215"/>
      <c r="BA171" s="216" t="s">
        <v>107</v>
      </c>
    </row>
    <row r="172" spans="1:53" x14ac:dyDescent="0.3">
      <c r="A172" s="303"/>
      <c r="AH172" s="90">
        <f>C4</f>
        <v>0</v>
      </c>
      <c r="AI172" s="337" t="s">
        <v>239</v>
      </c>
      <c r="AJ172" s="337"/>
      <c r="AK172" s="337"/>
      <c r="AL172" s="337"/>
      <c r="AM172" s="17"/>
      <c r="AN172" s="17"/>
      <c r="AO172" s="17"/>
      <c r="AR172" s="81"/>
      <c r="AS172" s="2" t="str">
        <f t="shared" si="8"/>
        <v>Bočnice TBX antaro</v>
      </c>
      <c r="AV172" s="2" t="str">
        <f t="shared" ref="AV172:AV182" si="9">E112</f>
        <v xml:space="preserve"> </v>
      </c>
      <c r="AX172" s="63">
        <f t="shared" ref="AX172:AY182" si="10">G112</f>
        <v>0</v>
      </c>
      <c r="AY172" s="47" t="str">
        <f t="shared" si="10"/>
        <v>zvolte barvu</v>
      </c>
      <c r="BA172" s="80"/>
    </row>
    <row r="173" spans="1:53" x14ac:dyDescent="0.3">
      <c r="A173" s="303"/>
      <c r="AH173" s="90">
        <f t="shared" ref="AH173:AH182" si="11">C5</f>
        <v>0</v>
      </c>
      <c r="AI173" s="337" t="s">
        <v>240</v>
      </c>
      <c r="AJ173" s="337"/>
      <c r="AK173" s="337"/>
      <c r="AL173" s="337"/>
      <c r="AM173" s="17"/>
      <c r="AN173" s="17"/>
      <c r="AO173" s="17"/>
      <c r="AR173" s="81"/>
      <c r="AS173" s="2" t="str">
        <f t="shared" si="8"/>
        <v>Korpusové lišty 30 kg</v>
      </c>
      <c r="AV173" s="2" t="str">
        <f t="shared" si="9"/>
        <v xml:space="preserve"> </v>
      </c>
      <c r="AX173" s="63" t="str">
        <f t="shared" si="10"/>
        <v xml:space="preserve"> </v>
      </c>
      <c r="AY173" s="47" t="str">
        <f t="shared" si="10"/>
        <v xml:space="preserve"> </v>
      </c>
      <c r="BA173" s="80"/>
    </row>
    <row r="174" spans="1:53" x14ac:dyDescent="0.3">
      <c r="A174" s="303"/>
      <c r="AH174" s="90">
        <f t="shared" si="11"/>
        <v>0</v>
      </c>
      <c r="AI174" s="337" t="s">
        <v>30</v>
      </c>
      <c r="AJ174" s="337"/>
      <c r="AK174" s="337"/>
      <c r="AL174" s="337"/>
      <c r="AM174" s="17"/>
      <c r="AN174" s="17"/>
      <c r="AO174" s="17"/>
      <c r="AR174" s="81"/>
      <c r="AS174" s="2" t="str">
        <f t="shared" si="8"/>
        <v>Držáky zad M</v>
      </c>
      <c r="AV174" s="2" t="str">
        <f t="shared" si="9"/>
        <v xml:space="preserve"> </v>
      </c>
      <c r="AX174" s="63" t="str">
        <f t="shared" si="10"/>
        <v xml:space="preserve"> </v>
      </c>
      <c r="AY174" s="47" t="str">
        <f t="shared" si="10"/>
        <v>zvolte barvu</v>
      </c>
      <c r="BA174" s="80"/>
    </row>
    <row r="175" spans="1:53" x14ac:dyDescent="0.3">
      <c r="A175" s="303"/>
      <c r="AH175" s="90">
        <f t="shared" si="11"/>
        <v>0</v>
      </c>
      <c r="AI175" s="337" t="s">
        <v>31</v>
      </c>
      <c r="AJ175" s="337"/>
      <c r="AK175" s="337"/>
      <c r="AL175" s="337"/>
      <c r="AM175" s="17"/>
      <c r="AN175" s="17"/>
      <c r="AO175" s="17"/>
      <c r="AR175" s="81"/>
      <c r="AS175" s="2" t="str">
        <f t="shared" si="8"/>
        <v>Držáky zad C</v>
      </c>
      <c r="AV175" s="2" t="str">
        <f t="shared" si="9"/>
        <v xml:space="preserve"> </v>
      </c>
      <c r="AX175" s="63" t="str">
        <f t="shared" si="10"/>
        <v xml:space="preserve"> </v>
      </c>
      <c r="AY175" s="47" t="str">
        <f t="shared" si="10"/>
        <v>zvolte barvu</v>
      </c>
      <c r="BA175" s="80"/>
    </row>
    <row r="176" spans="1:53" x14ac:dyDescent="0.3">
      <c r="A176" s="303"/>
      <c r="AH176" s="90">
        <f t="shared" si="11"/>
        <v>0</v>
      </c>
      <c r="AI176" s="337" t="s">
        <v>109</v>
      </c>
      <c r="AJ176" s="337"/>
      <c r="AK176" s="337"/>
      <c r="AL176" s="337"/>
      <c r="AM176" s="17"/>
      <c r="AN176" s="17"/>
      <c r="AO176" s="17"/>
      <c r="AR176" s="81"/>
      <c r="AS176" s="2" t="str">
        <f t="shared" si="8"/>
        <v>Držáky zad D</v>
      </c>
      <c r="AV176" s="2" t="str">
        <f t="shared" si="9"/>
        <v xml:space="preserve"> </v>
      </c>
      <c r="AX176" s="63" t="str">
        <f t="shared" si="10"/>
        <v xml:space="preserve"> </v>
      </c>
      <c r="AY176" s="47" t="str">
        <f t="shared" si="10"/>
        <v>zvolte barvu</v>
      </c>
      <c r="BA176" s="80"/>
    </row>
    <row r="177" spans="1:53" x14ac:dyDescent="0.3">
      <c r="A177" s="303"/>
      <c r="AH177" s="90">
        <f t="shared" si="11"/>
        <v>0</v>
      </c>
      <c r="AI177" s="337" t="s">
        <v>33</v>
      </c>
      <c r="AJ177" s="337"/>
      <c r="AK177" s="337"/>
      <c r="AL177" s="337"/>
      <c r="AM177" s="17"/>
      <c r="AN177" s="17"/>
      <c r="AO177" s="17"/>
      <c r="AR177" s="81"/>
      <c r="AS177" s="2" t="str">
        <f t="shared" si="8"/>
        <v>Podélný reling</v>
      </c>
      <c r="AV177" s="2" t="str">
        <f t="shared" si="9"/>
        <v xml:space="preserve"> </v>
      </c>
      <c r="AX177" s="63" t="str">
        <f t="shared" si="10"/>
        <v xml:space="preserve"> </v>
      </c>
      <c r="AY177" s="47" t="str">
        <f t="shared" si="10"/>
        <v>zvolte barvu</v>
      </c>
      <c r="BA177" s="80"/>
    </row>
    <row r="178" spans="1:53" x14ac:dyDescent="0.3">
      <c r="A178" s="303"/>
      <c r="AH178" s="90">
        <f t="shared" si="11"/>
        <v>0</v>
      </c>
      <c r="AI178" s="337" t="s">
        <v>34</v>
      </c>
      <c r="AJ178" s="337"/>
      <c r="AK178" s="337"/>
      <c r="AL178" s="337"/>
      <c r="AM178" s="17"/>
      <c r="AN178" s="17"/>
      <c r="AO178" s="17"/>
      <c r="AR178" s="81"/>
      <c r="AS178" s="2" t="str">
        <f t="shared" si="8"/>
        <v>Čelní kování INSERTA</v>
      </c>
      <c r="AV178" s="2" t="str">
        <f t="shared" si="9"/>
        <v xml:space="preserve"> </v>
      </c>
      <c r="AX178" s="63" t="str">
        <f t="shared" si="10"/>
        <v xml:space="preserve"> </v>
      </c>
      <c r="AY178" s="47" t="str">
        <f t="shared" si="10"/>
        <v xml:space="preserve"> </v>
      </c>
      <c r="BA178" s="80"/>
    </row>
    <row r="179" spans="1:53" x14ac:dyDescent="0.3">
      <c r="A179" s="303"/>
      <c r="AH179" s="90">
        <f t="shared" si="11"/>
        <v>0</v>
      </c>
      <c r="AI179" s="337" t="s">
        <v>35</v>
      </c>
      <c r="AJ179" s="337"/>
      <c r="AK179" s="337"/>
      <c r="AL179" s="337"/>
      <c r="AM179" s="17"/>
      <c r="AN179" s="17"/>
      <c r="AO179" s="17"/>
      <c r="AR179" s="81"/>
      <c r="AS179" s="2" t="str">
        <f t="shared" si="8"/>
        <v>Sada TIP-ON BLUMOTION</v>
      </c>
      <c r="AV179" s="2" t="str">
        <f t="shared" si="9"/>
        <v>T60B3xx0</v>
      </c>
      <c r="AX179" s="63">
        <f t="shared" si="10"/>
        <v>0</v>
      </c>
      <c r="AY179" s="2" t="s">
        <v>399</v>
      </c>
      <c r="BA179" s="80"/>
    </row>
    <row r="180" spans="1:53" x14ac:dyDescent="0.3">
      <c r="A180" s="303"/>
      <c r="AH180" s="90">
        <f t="shared" si="11"/>
        <v>0</v>
      </c>
      <c r="AI180" s="337" t="s">
        <v>345</v>
      </c>
      <c r="AJ180" s="337"/>
      <c r="AK180" s="337"/>
      <c r="AL180" s="337"/>
      <c r="AM180" s="17"/>
      <c r="AN180" s="17"/>
      <c r="AO180" s="17"/>
      <c r="AR180" s="81"/>
      <c r="AS180" s="2" t="str">
        <f t="shared" si="8"/>
        <v>Hřídel synchronizace</v>
      </c>
      <c r="AV180" s="2" t="str">
        <f t="shared" si="9"/>
        <v xml:space="preserve"> </v>
      </c>
      <c r="AX180" s="63" t="str">
        <f t="shared" si="10"/>
        <v xml:space="preserve"> </v>
      </c>
      <c r="AY180" s="47"/>
      <c r="BA180" s="80"/>
    </row>
    <row r="181" spans="1:53" ht="14.15" customHeight="1" x14ac:dyDescent="0.3">
      <c r="A181" s="303"/>
      <c r="AH181" s="90">
        <f t="shared" si="11"/>
        <v>0</v>
      </c>
      <c r="AI181" s="337" t="s">
        <v>243</v>
      </c>
      <c r="AJ181" s="337"/>
      <c r="AK181" s="337"/>
      <c r="AL181" s="337"/>
      <c r="AM181" s="17"/>
      <c r="AN181" s="17"/>
      <c r="AO181" s="17"/>
      <c r="AR181" s="81"/>
      <c r="AS181" s="2" t="str">
        <f t="shared" si="8"/>
        <v>Podpěra hřídele synch.</v>
      </c>
      <c r="AT181" s="203"/>
      <c r="AU181" s="203"/>
      <c r="AV181" s="2" t="str">
        <f t="shared" si="9"/>
        <v xml:space="preserve"> </v>
      </c>
      <c r="AW181" s="203"/>
      <c r="AX181" s="63">
        <f t="shared" si="10"/>
        <v>0</v>
      </c>
      <c r="AY181" s="47" t="str">
        <f t="shared" si="10"/>
        <v xml:space="preserve"> </v>
      </c>
      <c r="AZ181" s="203"/>
      <c r="BA181" s="188"/>
    </row>
    <row r="182" spans="1:53" ht="14.5" x14ac:dyDescent="0.3">
      <c r="A182" s="303"/>
      <c r="AH182" s="187" t="str">
        <f t="shared" si="11"/>
        <v>x</v>
      </c>
      <c r="AI182" s="336" t="s">
        <v>246</v>
      </c>
      <c r="AJ182" s="336"/>
      <c r="AK182" s="336"/>
      <c r="AL182" s="336"/>
      <c r="AM182" s="17"/>
      <c r="AN182" s="17"/>
      <c r="AO182" s="17"/>
      <c r="AR182" s="81"/>
      <c r="AS182" s="2" t="str">
        <f t="shared" si="8"/>
        <v>Podpěrný úhelník pro dno</v>
      </c>
      <c r="AT182" s="203"/>
      <c r="AU182" s="203"/>
      <c r="AV182" s="2" t="str">
        <f t="shared" si="9"/>
        <v xml:space="preserve"> </v>
      </c>
      <c r="AW182" s="203"/>
      <c r="AX182" s="63">
        <f t="shared" si="10"/>
        <v>0</v>
      </c>
      <c r="AY182" s="47" t="str">
        <f t="shared" si="10"/>
        <v xml:space="preserve"> </v>
      </c>
      <c r="AZ182" s="203"/>
      <c r="BA182" s="188"/>
    </row>
    <row r="183" spans="1:53" ht="23.15" customHeight="1" x14ac:dyDescent="0.3">
      <c r="A183" s="303"/>
      <c r="AH183" s="140"/>
      <c r="AI183" s="140"/>
      <c r="AJ183" s="140"/>
      <c r="AK183" s="140"/>
      <c r="AL183" s="140"/>
      <c r="AM183" s="140"/>
      <c r="AN183" s="140"/>
      <c r="AO183" s="140"/>
      <c r="AP183" s="140"/>
      <c r="AQ183" s="140"/>
      <c r="AR183" s="178"/>
      <c r="AS183" s="189" t="str">
        <f>B131</f>
        <v xml:space="preserve"> </v>
      </c>
      <c r="AT183" s="140"/>
      <c r="AU183" s="140"/>
      <c r="AV183" s="140"/>
      <c r="AW183" s="140"/>
      <c r="AX183" s="140"/>
      <c r="AY183" s="140"/>
      <c r="AZ183" s="140"/>
      <c r="BA183" s="179"/>
    </row>
    <row r="184" spans="1:53" ht="25.5" customHeight="1" x14ac:dyDescent="0.35">
      <c r="A184" s="303"/>
      <c r="AH184" s="99" t="s">
        <v>106</v>
      </c>
      <c r="AS184" s="11" t="str">
        <f>B132</f>
        <v xml:space="preserve">Barvy: R906 = světle šedá | SW = hedvábně bílá </v>
      </c>
    </row>
    <row r="185" spans="1:53" x14ac:dyDescent="0.3">
      <c r="A185" s="303"/>
      <c r="AH185" s="331" t="s">
        <v>249</v>
      </c>
      <c r="AI185" s="331" t="s">
        <v>250</v>
      </c>
      <c r="AJ185" s="331" t="s">
        <v>251</v>
      </c>
      <c r="AK185" s="332" t="s">
        <v>252</v>
      </c>
      <c r="AL185" s="333" t="s">
        <v>64</v>
      </c>
      <c r="AM185" s="334"/>
      <c r="AN185" s="335"/>
      <c r="AO185" s="333" t="s">
        <v>65</v>
      </c>
      <c r="AP185" s="335"/>
      <c r="AQ185" s="63"/>
      <c r="AR185" s="63"/>
      <c r="AU185" s="9" t="s">
        <v>289</v>
      </c>
    </row>
    <row r="186" spans="1:53" x14ac:dyDescent="0.3">
      <c r="A186" s="303"/>
      <c r="AH186" s="331"/>
      <c r="AI186" s="331"/>
      <c r="AJ186" s="331"/>
      <c r="AK186" s="332"/>
      <c r="AL186" s="62" t="s">
        <v>141</v>
      </c>
      <c r="AM186" s="62" t="s">
        <v>67</v>
      </c>
      <c r="AN186" s="62" t="s">
        <v>68</v>
      </c>
      <c r="AO186" s="62" t="s">
        <v>141</v>
      </c>
      <c r="AP186" s="62" t="s">
        <v>346</v>
      </c>
      <c r="AQ186" s="63"/>
      <c r="AR186" s="63"/>
      <c r="AX186" s="2" t="str">
        <f>$I$19</f>
        <v xml:space="preserve"> </v>
      </c>
    </row>
    <row r="187" spans="1:53" x14ac:dyDescent="0.3">
      <c r="A187" s="303"/>
      <c r="AH187" s="3" t="str">
        <f>B19</f>
        <v xml:space="preserve"> </v>
      </c>
      <c r="AI187" s="3">
        <f t="shared" ref="AI187:AP191" si="12">C19</f>
        <v>0</v>
      </c>
      <c r="AJ187" s="3" t="str">
        <f t="shared" si="12"/>
        <v xml:space="preserve"> </v>
      </c>
      <c r="AK187" s="111" t="str">
        <f t="shared" si="12"/>
        <v xml:space="preserve"> </v>
      </c>
      <c r="AL187" s="3" t="str">
        <f t="shared" si="12"/>
        <v xml:space="preserve"> </v>
      </c>
      <c r="AM187" s="3" t="str">
        <f t="shared" si="12"/>
        <v xml:space="preserve"> </v>
      </c>
      <c r="AN187" s="3" t="str">
        <f t="shared" si="12"/>
        <v xml:space="preserve"> </v>
      </c>
      <c r="AO187" s="3" t="str">
        <f t="shared" si="12"/>
        <v xml:space="preserve"> </v>
      </c>
      <c r="AP187" s="3" t="str">
        <f t="shared" si="12"/>
        <v xml:space="preserve"> </v>
      </c>
      <c r="AQ187" s="4"/>
      <c r="AR187" s="4"/>
      <c r="AU187" s="9" t="str">
        <f>$I$19</f>
        <v xml:space="preserve"> </v>
      </c>
    </row>
    <row r="188" spans="1:53" x14ac:dyDescent="0.3">
      <c r="A188" s="303"/>
      <c r="AH188" s="3" t="str">
        <f t="shared" ref="AH188:AH191" si="13">B20</f>
        <v xml:space="preserve"> </v>
      </c>
      <c r="AI188" s="3">
        <f t="shared" si="12"/>
        <v>0</v>
      </c>
      <c r="AJ188" s="3" t="str">
        <f t="shared" si="12"/>
        <v xml:space="preserve"> </v>
      </c>
      <c r="AK188" s="111" t="str">
        <f t="shared" si="12"/>
        <v xml:space="preserve"> </v>
      </c>
      <c r="AL188" s="3" t="str">
        <f t="shared" si="12"/>
        <v xml:space="preserve"> </v>
      </c>
      <c r="AM188" s="3" t="str">
        <f t="shared" si="12"/>
        <v xml:space="preserve"> </v>
      </c>
      <c r="AN188" s="3" t="str">
        <f t="shared" si="12"/>
        <v xml:space="preserve"> </v>
      </c>
      <c r="AO188" s="3" t="str">
        <f t="shared" si="12"/>
        <v xml:space="preserve"> </v>
      </c>
      <c r="AP188" s="3" t="str">
        <f t="shared" si="12"/>
        <v xml:space="preserve"> </v>
      </c>
      <c r="AQ188" s="4"/>
      <c r="AR188" s="4"/>
      <c r="AX188" s="2" t="str">
        <f>$I$20</f>
        <v xml:space="preserve"> </v>
      </c>
    </row>
    <row r="189" spans="1:53" x14ac:dyDescent="0.3">
      <c r="A189" s="303"/>
      <c r="AH189" s="3" t="str">
        <f t="shared" si="13"/>
        <v xml:space="preserve"> </v>
      </c>
      <c r="AI189" s="3">
        <f t="shared" si="12"/>
        <v>0</v>
      </c>
      <c r="AJ189" s="3" t="str">
        <f t="shared" si="12"/>
        <v xml:space="preserve"> </v>
      </c>
      <c r="AK189" s="111" t="str">
        <f t="shared" si="12"/>
        <v xml:space="preserve"> </v>
      </c>
      <c r="AL189" s="3" t="str">
        <f t="shared" si="12"/>
        <v xml:space="preserve"> </v>
      </c>
      <c r="AM189" s="3" t="str">
        <f t="shared" si="12"/>
        <v xml:space="preserve"> </v>
      </c>
      <c r="AN189" s="3" t="str">
        <f t="shared" si="12"/>
        <v xml:space="preserve"> </v>
      </c>
      <c r="AO189" s="3" t="str">
        <f t="shared" si="12"/>
        <v xml:space="preserve"> </v>
      </c>
      <c r="AP189" s="3" t="str">
        <f t="shared" si="12"/>
        <v xml:space="preserve"> </v>
      </c>
      <c r="AQ189" s="4"/>
      <c r="AR189" s="4"/>
      <c r="AU189" s="9" t="str">
        <f>$I$20</f>
        <v xml:space="preserve"> </v>
      </c>
    </row>
    <row r="190" spans="1:53" x14ac:dyDescent="0.3">
      <c r="A190" s="303"/>
      <c r="AH190" s="3" t="str">
        <f t="shared" si="13"/>
        <v xml:space="preserve"> </v>
      </c>
      <c r="AI190" s="3">
        <f t="shared" si="12"/>
        <v>0</v>
      </c>
      <c r="AJ190" s="3" t="str">
        <f t="shared" si="12"/>
        <v xml:space="preserve"> </v>
      </c>
      <c r="AK190" s="111" t="str">
        <f t="shared" si="12"/>
        <v xml:space="preserve"> </v>
      </c>
      <c r="AL190" s="3" t="str">
        <f t="shared" si="12"/>
        <v xml:space="preserve"> </v>
      </c>
      <c r="AM190" s="3" t="str">
        <f t="shared" si="12"/>
        <v xml:space="preserve"> </v>
      </c>
      <c r="AN190" s="3" t="str">
        <f t="shared" si="12"/>
        <v xml:space="preserve"> </v>
      </c>
      <c r="AO190" s="3" t="str">
        <f t="shared" si="12"/>
        <v xml:space="preserve"> </v>
      </c>
      <c r="AP190" s="3" t="str">
        <f t="shared" si="12"/>
        <v xml:space="preserve"> </v>
      </c>
      <c r="AQ190" s="4"/>
      <c r="AR190" s="4"/>
      <c r="AX190" s="2" t="str">
        <f>$I$21</f>
        <v xml:space="preserve"> </v>
      </c>
    </row>
    <row r="191" spans="1:53" x14ac:dyDescent="0.3">
      <c r="A191" s="303"/>
      <c r="AH191" s="3" t="str">
        <f t="shared" si="13"/>
        <v xml:space="preserve"> </v>
      </c>
      <c r="AI191" s="3">
        <f t="shared" si="12"/>
        <v>0</v>
      </c>
      <c r="AJ191" s="3" t="str">
        <f t="shared" si="12"/>
        <v xml:space="preserve"> </v>
      </c>
      <c r="AK191" s="111" t="str">
        <f t="shared" si="12"/>
        <v xml:space="preserve"> </v>
      </c>
      <c r="AL191" s="3" t="str">
        <f t="shared" si="12"/>
        <v xml:space="preserve"> </v>
      </c>
      <c r="AM191" s="3" t="str">
        <f t="shared" si="12"/>
        <v xml:space="preserve"> </v>
      </c>
      <c r="AN191" s="3" t="str">
        <f t="shared" si="12"/>
        <v xml:space="preserve"> </v>
      </c>
      <c r="AO191" s="3" t="str">
        <f t="shared" si="12"/>
        <v xml:space="preserve"> </v>
      </c>
      <c r="AP191" s="3" t="str">
        <f t="shared" si="12"/>
        <v xml:space="preserve"> </v>
      </c>
      <c r="AQ191" s="4"/>
      <c r="AR191" s="4"/>
      <c r="AU191" s="9" t="str">
        <f>$I$21</f>
        <v xml:space="preserve"> </v>
      </c>
    </row>
    <row r="192" spans="1:53" x14ac:dyDescent="0.3">
      <c r="A192" s="303"/>
      <c r="AX192" s="2" t="str">
        <f>$I$22</f>
        <v xml:space="preserve"> </v>
      </c>
    </row>
    <row r="193" spans="1:67" x14ac:dyDescent="0.3">
      <c r="A193" s="303"/>
      <c r="AH193" s="2" t="s">
        <v>284</v>
      </c>
      <c r="AU193" s="9" t="str">
        <f>$I$22</f>
        <v xml:space="preserve"> </v>
      </c>
    </row>
    <row r="194" spans="1:67" x14ac:dyDescent="0.3">
      <c r="A194" s="303"/>
      <c r="AH194" s="2" t="s">
        <v>285</v>
      </c>
      <c r="AX194" s="2" t="str">
        <f>$I$23</f>
        <v xml:space="preserve"> </v>
      </c>
    </row>
    <row r="195" spans="1:67" x14ac:dyDescent="0.3">
      <c r="A195" s="303"/>
      <c r="AH195" s="2" t="s">
        <v>347</v>
      </c>
      <c r="AU195" s="9" t="str">
        <f>$I$23</f>
        <v xml:space="preserve"> </v>
      </c>
      <c r="AX195" s="307">
        <v>0</v>
      </c>
    </row>
    <row r="196" spans="1:67" x14ac:dyDescent="0.3">
      <c r="A196" s="303"/>
      <c r="AH196" s="2" t="s">
        <v>287</v>
      </c>
      <c r="AX196" s="307"/>
    </row>
    <row r="197" spans="1:67" x14ac:dyDescent="0.3">
      <c r="A197" s="303"/>
    </row>
    <row r="198" spans="1:67" x14ac:dyDescent="0.3">
      <c r="A198" s="303"/>
    </row>
    <row r="199" spans="1:67" x14ac:dyDescent="0.3">
      <c r="A199" s="303"/>
      <c r="AI199" s="9" t="s">
        <v>43</v>
      </c>
      <c r="AN199" s="9" t="s">
        <v>311</v>
      </c>
      <c r="AT199" s="47" t="s">
        <v>312</v>
      </c>
      <c r="AY199" s="2" t="s">
        <v>290</v>
      </c>
    </row>
    <row r="200" spans="1:67" x14ac:dyDescent="0.3">
      <c r="A200" s="303"/>
      <c r="AI200" s="63" t="str">
        <f>$G$23</f>
        <v xml:space="preserve"> </v>
      </c>
    </row>
    <row r="201" spans="1:67" x14ac:dyDescent="0.3">
      <c r="A201" s="303"/>
      <c r="AY201" s="104" t="s">
        <v>291</v>
      </c>
      <c r="AZ201" s="31" t="str">
        <f>L49</f>
        <v xml:space="preserve"> </v>
      </c>
      <c r="BA201" s="104" t="s">
        <v>292</v>
      </c>
      <c r="BH201" s="112"/>
      <c r="BO201" s="2" t="s">
        <v>292</v>
      </c>
    </row>
    <row r="202" spans="1:67" x14ac:dyDescent="0.3">
      <c r="A202" s="303"/>
      <c r="AY202" s="63"/>
    </row>
    <row r="203" spans="1:67" x14ac:dyDescent="0.3">
      <c r="A203" s="303"/>
      <c r="AI203" s="15" t="str">
        <f>$G$23</f>
        <v xml:space="preserve"> </v>
      </c>
      <c r="AY203" s="104" t="s">
        <v>293</v>
      </c>
      <c r="AZ203" s="31"/>
      <c r="BA203" s="31"/>
    </row>
    <row r="204" spans="1:67" x14ac:dyDescent="0.3">
      <c r="A204" s="303"/>
      <c r="AY204" s="104" t="s">
        <v>279</v>
      </c>
      <c r="AZ204" s="31" t="str">
        <f>L52</f>
        <v xml:space="preserve"> </v>
      </c>
      <c r="BA204" s="104" t="s">
        <v>292</v>
      </c>
      <c r="BO204" s="2" t="s">
        <v>292</v>
      </c>
    </row>
    <row r="205" spans="1:67" x14ac:dyDescent="0.3">
      <c r="A205" s="303"/>
      <c r="AI205" s="15" t="str">
        <f>$G$23</f>
        <v xml:space="preserve"> </v>
      </c>
      <c r="AY205" s="104" t="s">
        <v>294</v>
      </c>
      <c r="AZ205" s="31" t="str">
        <f t="shared" ref="AZ205:AZ207" si="14">L53</f>
        <v xml:space="preserve"> </v>
      </c>
      <c r="BA205" s="104" t="s">
        <v>292</v>
      </c>
      <c r="BO205" s="2" t="s">
        <v>292</v>
      </c>
    </row>
    <row r="206" spans="1:67" x14ac:dyDescent="0.3">
      <c r="A206" s="303"/>
      <c r="AY206" s="104" t="s">
        <v>280</v>
      </c>
      <c r="AZ206" s="31" t="str">
        <f t="shared" si="14"/>
        <v xml:space="preserve"> </v>
      </c>
      <c r="BA206" s="104" t="s">
        <v>292</v>
      </c>
      <c r="BO206" s="2" t="s">
        <v>292</v>
      </c>
    </row>
    <row r="207" spans="1:67" x14ac:dyDescent="0.3">
      <c r="A207" s="303"/>
      <c r="AL207" s="47" t="str">
        <f>$F$23</f>
        <v xml:space="preserve"> </v>
      </c>
      <c r="AS207" s="63" t="str">
        <f>$F$22</f>
        <v xml:space="preserve"> </v>
      </c>
      <c r="AY207" s="104" t="s">
        <v>281</v>
      </c>
      <c r="AZ207" s="31" t="str">
        <f t="shared" si="14"/>
        <v xml:space="preserve"> </v>
      </c>
      <c r="BA207" s="104" t="s">
        <v>292</v>
      </c>
      <c r="BO207" s="2" t="s">
        <v>292</v>
      </c>
    </row>
    <row r="208" spans="1:67" x14ac:dyDescent="0.3">
      <c r="A208" s="303"/>
      <c r="AI208" s="9" t="s">
        <v>269</v>
      </c>
      <c r="AJ208" s="5" t="str">
        <f>$F$22</f>
        <v xml:space="preserve"> </v>
      </c>
    </row>
    <row r="209" spans="1:48" x14ac:dyDescent="0.3">
      <c r="A209" s="303"/>
      <c r="AI209" s="9" t="s">
        <v>270</v>
      </c>
      <c r="AJ209" s="5" t="str">
        <f>$F$23</f>
        <v xml:space="preserve"> </v>
      </c>
      <c r="AM209" s="47" t="str">
        <f>$H$23</f>
        <v xml:space="preserve"> </v>
      </c>
      <c r="AP209" s="9" t="str">
        <f>$G$23</f>
        <v xml:space="preserve"> </v>
      </c>
      <c r="AT209" s="47" t="str">
        <f>$G$22</f>
        <v xml:space="preserve"> </v>
      </c>
      <c r="AV209" s="2" t="str">
        <f>$G$23</f>
        <v xml:space="preserve"> </v>
      </c>
    </row>
    <row r="210" spans="1:48" x14ac:dyDescent="0.3">
      <c r="A210" s="303"/>
    </row>
    <row r="211" spans="1:48" x14ac:dyDescent="0.3">
      <c r="A211" s="303"/>
    </row>
    <row r="212" spans="1:48" x14ac:dyDescent="0.3">
      <c r="A212" s="303"/>
    </row>
    <row r="213" spans="1:48" x14ac:dyDescent="0.3">
      <c r="A213" s="303"/>
    </row>
    <row r="214" spans="1:48" x14ac:dyDescent="0.3">
      <c r="A214" s="303"/>
    </row>
    <row r="215" spans="1:48" x14ac:dyDescent="0.3">
      <c r="A215" s="303"/>
    </row>
    <row r="216" spans="1:48" x14ac:dyDescent="0.3">
      <c r="A216" s="303"/>
    </row>
    <row r="217" spans="1:48" x14ac:dyDescent="0.3">
      <c r="A217" s="303"/>
    </row>
    <row r="218" spans="1:48" x14ac:dyDescent="0.3">
      <c r="A218" s="303"/>
    </row>
    <row r="219" spans="1:48" x14ac:dyDescent="0.3">
      <c r="A219" s="303"/>
    </row>
    <row r="220" spans="1:48" x14ac:dyDescent="0.3">
      <c r="A220" s="303"/>
    </row>
    <row r="221" spans="1:48" x14ac:dyDescent="0.3">
      <c r="A221" s="303"/>
    </row>
    <row r="222" spans="1:48" x14ac:dyDescent="0.3">
      <c r="A222" s="303"/>
    </row>
  </sheetData>
  <sheetProtection algorithmName="SHA-512" hashValue="Ojd5xfdcENnL0+9xW1uTwOORGL1mRnokJJ025mY4OhY+XtYdi78+kwmV6iYWnooUxywS9eRUkFzbMSqnPDgu+w==" saltValue="49++94jsI6PiFMUNdRQiAQ==" spinCount="100000" sheet="1" objects="1" scenarios="1"/>
  <mergeCells count="44">
    <mergeCell ref="D8:J8"/>
    <mergeCell ref="D14:J14"/>
    <mergeCell ref="D9:J9"/>
    <mergeCell ref="D10:J10"/>
    <mergeCell ref="D11:J11"/>
    <mergeCell ref="D12:J12"/>
    <mergeCell ref="D13:J13"/>
    <mergeCell ref="AD167:AE167"/>
    <mergeCell ref="B17:B18"/>
    <mergeCell ref="C17:C18"/>
    <mergeCell ref="Y19:Y23"/>
    <mergeCell ref="A41:A108"/>
    <mergeCell ref="AD79:AE79"/>
    <mergeCell ref="AD104:AE104"/>
    <mergeCell ref="F17:H17"/>
    <mergeCell ref="I17:J17"/>
    <mergeCell ref="D17:D18"/>
    <mergeCell ref="E17:E18"/>
    <mergeCell ref="A141:A222"/>
    <mergeCell ref="O28:P28"/>
    <mergeCell ref="Q28:S28"/>
    <mergeCell ref="D6:J6"/>
    <mergeCell ref="D7:J7"/>
    <mergeCell ref="D4:J4"/>
    <mergeCell ref="D5:J5"/>
    <mergeCell ref="AF1:AG1"/>
    <mergeCell ref="AI172:AL172"/>
    <mergeCell ref="AI173:AL173"/>
    <mergeCell ref="AI174:AL174"/>
    <mergeCell ref="AI175:AL175"/>
    <mergeCell ref="AI176:AL176"/>
    <mergeCell ref="AI177:AL177"/>
    <mergeCell ref="AI178:AL178"/>
    <mergeCell ref="AI179:AL179"/>
    <mergeCell ref="AI180:AL180"/>
    <mergeCell ref="AI181:AL181"/>
    <mergeCell ref="AX195:AX196"/>
    <mergeCell ref="AI182:AL182"/>
    <mergeCell ref="AH185:AH186"/>
    <mergeCell ref="AI185:AI186"/>
    <mergeCell ref="AJ185:AJ186"/>
    <mergeCell ref="AK185:AK186"/>
    <mergeCell ref="AL185:AN185"/>
    <mergeCell ref="AO185:AP185"/>
  </mergeCells>
  <phoneticPr fontId="43" type="noConversion"/>
  <conditionalFormatting sqref="C14">
    <cfRule type="colorScale" priority="8">
      <colorScale>
        <cfvo type="num" val="-0.1"/>
        <cfvo type="num" val="0"/>
        <cfvo type="num" val="1"/>
        <color rgb="FFFF0000"/>
        <color theme="9"/>
        <color rgb="FFFFFF00"/>
      </colorScale>
    </cfRule>
  </conditionalFormatting>
  <conditionalFormatting sqref="C19">
    <cfRule type="expression" dxfId="14" priority="2">
      <formula>AND($C$13&gt;4, $C$13&lt;6)</formula>
    </cfRule>
  </conditionalFormatting>
  <conditionalFormatting sqref="C20">
    <cfRule type="expression" dxfId="13" priority="3">
      <formula>AND($C$13&gt;3, $C$13&lt;6)</formula>
    </cfRule>
  </conditionalFormatting>
  <conditionalFormatting sqref="C21">
    <cfRule type="expression" dxfId="12" priority="4">
      <formula>AND($C$13&gt;2, $C$13&lt;6)</formula>
    </cfRule>
  </conditionalFormatting>
  <conditionalFormatting sqref="C22">
    <cfRule type="expression" dxfId="11" priority="5">
      <formula>AND($C$13&gt;1, $C$13&lt;6)</formula>
    </cfRule>
  </conditionalFormatting>
  <conditionalFormatting sqref="C23">
    <cfRule type="expression" dxfId="10" priority="1">
      <formula>AND($C$13&gt;0, $C$13&lt;6)</formula>
    </cfRule>
  </conditionalFormatting>
  <hyperlinks>
    <hyperlink ref="AD167:AE167" location="TBX_T!A1" tooltip="Zpět na plánování" display="Zpět" xr:uid="{00000000-0004-0000-0B00-000000000000}"/>
    <hyperlink ref="AD79:AE79" location="TBX_T!A1" tooltip="Zpět na plánování" display="Zpět" xr:uid="{00000000-0004-0000-0B00-000004000000}"/>
    <hyperlink ref="AD104:AE104" location="TBX_T!A1" tooltip="Zpět na plánování" display="Zpět" xr:uid="{00000000-0004-0000-0B00-000007000000}"/>
    <hyperlink ref="AF1" location="AVS!A1" tooltip="Úvodní strana AVENTOS" display="Úvod AVENTOS" xr:uid="{73956940-5814-4B04-8A00-0CBD6D6AB7E3}"/>
    <hyperlink ref="AF1:AG1" location="BOX!A1" tooltip="Úvodní strana AVENTOS" display="► Úvod - box systémy" xr:uid="{C80445CF-6568-4029-B57C-0EA27D50E70B}"/>
  </hyperlinks>
  <pageMargins left="0.23622047244094491" right="0.23622047244094491" top="0.55118110236220474" bottom="0.74803149606299213" header="0.31496062992125984" footer="0.31496062992125984"/>
  <pageSetup paperSize="9" scale="85" orientation="landscape" verticalDpi="599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EEF53AA-A778-4DAF-8491-042524BF5BCC}">
            <x14:iconSet showValue="0" custom="1">
              <x14:cfvo type="percent">
                <xm:f>0</xm:f>
              </x14:cfvo>
              <x14:cfvo type="num">
                <xm:f>1</xm:f>
              </x14:cfvo>
              <x14:cfvo type="num">
                <xm:f>6</xm:f>
              </x14:cfvo>
              <x14:cfIcon iconSet="NoIcons" iconId="0"/>
              <x14:cfIcon iconSet="3Symbols2" iconId="2"/>
              <x14:cfIcon iconSet="3Symbols2" iconId="0"/>
            </x14:iconSet>
          </x14:cfRule>
          <xm:sqref>B13</xm:sqref>
        </x14:conditionalFormatting>
        <x14:conditionalFormatting xmlns:xm="http://schemas.microsoft.com/office/excel/2006/main">
          <x14:cfRule type="iconSet" priority="7" id="{79D1B985-4A2C-45A4-96EA-07EFDBEFC86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2"/>
              <x14:cfIcon iconSet="NoIcons" iconId="0"/>
            </x14:iconSet>
          </x14:cfRule>
          <xm:sqref>B14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7B82-9C98-49BF-88B8-9ACAD9C7DF41}">
  <dimension ref="A1:BH222"/>
  <sheetViews>
    <sheetView showGridLines="0" showRowColHeaders="0" zoomScaleNormal="100" workbookViewId="0">
      <selection activeCell="AH31" sqref="AH31"/>
    </sheetView>
  </sheetViews>
  <sheetFormatPr defaultColWidth="8.9140625" defaultRowHeight="14" x14ac:dyDescent="0.3"/>
  <cols>
    <col min="1" max="1" width="1" style="2" customWidth="1"/>
    <col min="2" max="2" width="6.25" style="2" customWidth="1"/>
    <col min="3" max="3" width="8.9140625" style="2" customWidth="1"/>
    <col min="4" max="8" width="8.9140625" style="2"/>
    <col min="9" max="9" width="8.9140625" style="2" customWidth="1"/>
    <col min="10" max="10" width="8.9140625" style="2"/>
    <col min="11" max="11" width="0.83203125" style="2" customWidth="1"/>
    <col min="12" max="12" width="12.5" style="2" customWidth="1"/>
    <col min="13" max="13" width="9.1640625" style="2" hidden="1" customWidth="1"/>
    <col min="14" max="23" width="8.9140625" style="2" hidden="1" customWidth="1"/>
    <col min="24" max="24" width="18.9140625" style="2" hidden="1" customWidth="1"/>
    <col min="25" max="25" width="3.08203125" style="2" hidden="1" customWidth="1"/>
    <col min="26" max="26" width="7.5" style="2" customWidth="1"/>
    <col min="27" max="27" width="13.08203125" style="2" customWidth="1"/>
    <col min="28" max="29" width="7.5" style="2" customWidth="1"/>
    <col min="30" max="30" width="12.5" style="2" customWidth="1"/>
    <col min="31" max="31" width="1.25" style="2" customWidth="1"/>
    <col min="32" max="33" width="10.75" style="2" customWidth="1"/>
    <col min="34" max="34" width="7.33203125" style="2" customWidth="1"/>
    <col min="35" max="35" width="6.58203125" style="2" customWidth="1"/>
    <col min="36" max="36" width="8.9140625" style="2"/>
    <col min="37" max="42" width="6.58203125" style="2" customWidth="1"/>
    <col min="43" max="43" width="4.25" style="2" customWidth="1"/>
    <col min="44" max="44" width="1" style="2" customWidth="1"/>
    <col min="45" max="45" width="7.33203125" style="2" customWidth="1"/>
    <col min="46" max="48" width="8.9140625" style="2"/>
    <col min="49" max="49" width="4.1640625" style="2" customWidth="1"/>
    <col min="50" max="50" width="6.25" style="2" customWidth="1"/>
    <col min="51" max="53" width="9.4140625" style="2" customWidth="1"/>
    <col min="54" max="16384" width="8.9140625" style="2"/>
  </cols>
  <sheetData>
    <row r="1" spans="2:33" ht="25" customHeight="1" x14ac:dyDescent="0.5">
      <c r="B1" s="1" t="s">
        <v>483</v>
      </c>
      <c r="AF1" s="330" t="s">
        <v>237</v>
      </c>
      <c r="AG1" s="330"/>
    </row>
    <row r="2" spans="2:33" ht="20.149999999999999" customHeight="1" x14ac:dyDescent="0.4">
      <c r="B2" s="22"/>
      <c r="AB2" s="234"/>
      <c r="AC2" s="234"/>
      <c r="AD2" s="234"/>
    </row>
    <row r="3" spans="2:33" ht="16.5" customHeight="1" x14ac:dyDescent="0.3">
      <c r="B3" s="6"/>
      <c r="C3" s="17" t="s">
        <v>108</v>
      </c>
      <c r="D3" s="17"/>
      <c r="E3" s="17"/>
      <c r="F3" s="17"/>
      <c r="G3" s="17"/>
      <c r="H3" s="17"/>
      <c r="I3" s="17"/>
      <c r="J3" s="17"/>
      <c r="M3" s="9" t="s">
        <v>24</v>
      </c>
      <c r="N3" s="63">
        <f>IF(AND(C4&gt;0, C5&gt;274, C5&lt;1201, C9&gt;=2,C6&gt;=14, C7&gt;=14, N12=1, N13=1),1,2)</f>
        <v>2</v>
      </c>
      <c r="O3" s="2" t="s">
        <v>25</v>
      </c>
      <c r="AB3" s="234"/>
      <c r="AC3" s="234"/>
      <c r="AD3" s="234"/>
    </row>
    <row r="4" spans="2:33" ht="16.5" customHeight="1" x14ac:dyDescent="0.3">
      <c r="B4" s="6"/>
      <c r="C4" s="78"/>
      <c r="D4" s="337" t="s">
        <v>239</v>
      </c>
      <c r="E4" s="337"/>
      <c r="F4" s="337"/>
      <c r="G4" s="337"/>
      <c r="H4" s="337"/>
      <c r="I4" s="337"/>
      <c r="J4" s="337"/>
      <c r="M4" s="9"/>
      <c r="N4" s="63"/>
      <c r="O4" s="2" t="s">
        <v>27</v>
      </c>
      <c r="AB4" s="234"/>
      <c r="AC4" s="234"/>
      <c r="AD4" s="234"/>
    </row>
    <row r="5" spans="2:33" ht="16.5" customHeight="1" x14ac:dyDescent="0.3">
      <c r="B5" s="6"/>
      <c r="C5" s="78"/>
      <c r="D5" s="337" t="s">
        <v>240</v>
      </c>
      <c r="E5" s="337"/>
      <c r="F5" s="337"/>
      <c r="G5" s="337"/>
      <c r="H5" s="337"/>
      <c r="I5" s="337"/>
      <c r="J5" s="337"/>
      <c r="L5" s="18" t="str">
        <f>IF(OR(C5&lt;275,C5&gt;1200),"min.275, max.1200"," ")</f>
        <v>min.275, max.1200</v>
      </c>
      <c r="M5" s="9"/>
      <c r="N5" s="63"/>
      <c r="AB5" s="234"/>
      <c r="AC5" s="234"/>
      <c r="AD5" s="234"/>
    </row>
    <row r="6" spans="2:33" ht="16.5" customHeight="1" x14ac:dyDescent="0.3">
      <c r="B6" s="6"/>
      <c r="C6" s="78"/>
      <c r="D6" s="337" t="s">
        <v>30</v>
      </c>
      <c r="E6" s="337"/>
      <c r="F6" s="337"/>
      <c r="G6" s="337"/>
      <c r="H6" s="337"/>
      <c r="I6" s="337"/>
      <c r="J6" s="337"/>
      <c r="L6" s="12" t="str">
        <f>IF(C6&lt;14,"Minimálně 14 mm!"," ")</f>
        <v>Minimálně 14 mm!</v>
      </c>
      <c r="AC6" s="224"/>
      <c r="AD6" s="224"/>
    </row>
    <row r="7" spans="2:33" ht="16.5" customHeight="1" x14ac:dyDescent="0.3">
      <c r="B7" s="6"/>
      <c r="C7" s="78"/>
      <c r="D7" s="337" t="s">
        <v>31</v>
      </c>
      <c r="E7" s="337"/>
      <c r="F7" s="337"/>
      <c r="G7" s="337"/>
      <c r="H7" s="337"/>
      <c r="I7" s="337"/>
      <c r="J7" s="337"/>
      <c r="L7" s="12" t="str">
        <f>IF(C7&lt;14,"Minimálně 14 mm!"," ")</f>
        <v>Minimálně 14 mm!</v>
      </c>
      <c r="AC7" s="46"/>
      <c r="AD7" s="46"/>
    </row>
    <row r="8" spans="2:33" ht="16.5" customHeight="1" x14ac:dyDescent="0.3">
      <c r="B8" s="6"/>
      <c r="C8" s="78"/>
      <c r="D8" s="337" t="s">
        <v>109</v>
      </c>
      <c r="E8" s="337"/>
      <c r="F8" s="337"/>
      <c r="G8" s="337"/>
      <c r="H8" s="337"/>
      <c r="I8" s="337"/>
      <c r="J8" s="337"/>
      <c r="L8" s="12"/>
      <c r="AC8" s="46"/>
      <c r="AD8" s="46"/>
    </row>
    <row r="9" spans="2:33" ht="16.5" customHeight="1" x14ac:dyDescent="0.3">
      <c r="B9" s="6"/>
      <c r="C9" s="78"/>
      <c r="D9" s="337" t="s">
        <v>33</v>
      </c>
      <c r="E9" s="337"/>
      <c r="F9" s="337"/>
      <c r="G9" s="337"/>
      <c r="H9" s="337"/>
      <c r="I9" s="337"/>
      <c r="J9" s="337"/>
      <c r="L9" s="12" t="str">
        <f>IF(C9&lt;2,"Minimálně 2 mm!"," ")</f>
        <v>Minimálně 2 mm!</v>
      </c>
      <c r="AC9" s="224"/>
      <c r="AD9" s="224"/>
    </row>
    <row r="10" spans="2:33" ht="16.5" customHeight="1" x14ac:dyDescent="0.3">
      <c r="B10" s="6"/>
      <c r="C10" s="78"/>
      <c r="D10" s="337" t="s">
        <v>34</v>
      </c>
      <c r="E10" s="337"/>
      <c r="F10" s="337"/>
      <c r="G10" s="337"/>
      <c r="H10" s="337"/>
      <c r="I10" s="337"/>
      <c r="J10" s="337"/>
    </row>
    <row r="11" spans="2:33" ht="16.5" customHeight="1" x14ac:dyDescent="0.3">
      <c r="B11" s="6"/>
      <c r="C11" s="78"/>
      <c r="D11" s="337" t="s">
        <v>35</v>
      </c>
      <c r="E11" s="337"/>
      <c r="F11" s="337"/>
      <c r="G11" s="337"/>
      <c r="H11" s="337"/>
      <c r="I11" s="337"/>
      <c r="J11" s="337"/>
      <c r="AC11" s="224"/>
      <c r="AD11" s="224"/>
    </row>
    <row r="12" spans="2:33" customFormat="1" ht="16.5" customHeight="1" x14ac:dyDescent="0.3">
      <c r="C12" s="79"/>
      <c r="D12" s="337" t="s">
        <v>485</v>
      </c>
      <c r="E12" s="337"/>
      <c r="F12" s="337"/>
      <c r="G12" s="337"/>
      <c r="H12" s="337"/>
      <c r="I12" s="337"/>
      <c r="J12" s="337"/>
      <c r="L12" s="14" t="str">
        <f>IF((OR($C$12=0, $N$12=1)), " ", "Nesprávná hodnota***")</f>
        <v xml:space="preserve"> </v>
      </c>
      <c r="M12" s="114" t="s">
        <v>242</v>
      </c>
      <c r="N12" s="20">
        <f>IF(OR(C12=270, C12=300, C12=350, C12=400, C12=450, C12=500, C12=550, C12=600), 1, 2)</f>
        <v>2</v>
      </c>
    </row>
    <row r="13" spans="2:33" customFormat="1" ht="16.5" customHeight="1" thickBot="1" x14ac:dyDescent="0.35">
      <c r="B13" s="124"/>
      <c r="C13" s="119"/>
      <c r="D13" s="344" t="s">
        <v>243</v>
      </c>
      <c r="E13" s="344"/>
      <c r="F13" s="344"/>
      <c r="G13" s="344"/>
      <c r="H13" s="344"/>
      <c r="I13" s="344"/>
      <c r="J13" s="344"/>
      <c r="L13" s="18" t="str">
        <f>IF(OR(C13&lt;1,C13&gt;5),"min.1, max.5"," ")</f>
        <v>min.1, max.5</v>
      </c>
      <c r="M13" s="114" t="s">
        <v>244</v>
      </c>
      <c r="N13" s="20">
        <f>IF(OR(C13&lt;1, C13&gt;5), 2, 1)</f>
        <v>2</v>
      </c>
      <c r="O13" s="114" t="s">
        <v>245</v>
      </c>
    </row>
    <row r="14" spans="2:33" ht="16.5" customHeight="1" thickBot="1" x14ac:dyDescent="0.35">
      <c r="B14" s="125" t="str">
        <f>C14</f>
        <v>x</v>
      </c>
      <c r="C14" s="121" t="str">
        <f>IF(N3=1, C4-O14, "x")</f>
        <v>x</v>
      </c>
      <c r="D14" s="338" t="s">
        <v>246</v>
      </c>
      <c r="E14" s="339"/>
      <c r="F14" s="339"/>
      <c r="G14" s="339"/>
      <c r="H14" s="339"/>
      <c r="I14" s="339"/>
      <c r="J14" s="340"/>
      <c r="M14" s="9" t="s">
        <v>247</v>
      </c>
      <c r="N14" s="63">
        <f>IF(C14&gt;=0, 1, 2)</f>
        <v>1</v>
      </c>
      <c r="O14" s="75">
        <f>IF($C13&gt;0, $V18, 0)</f>
        <v>0</v>
      </c>
      <c r="P14" s="113" t="s">
        <v>248</v>
      </c>
      <c r="AC14" s="224"/>
      <c r="AD14" s="224"/>
    </row>
    <row r="15" spans="2:33" ht="16.5" customHeight="1" x14ac:dyDescent="0.3">
      <c r="B15" s="6"/>
      <c r="C15" s="14" t="str">
        <f>IF(N3=2, "Vyplňte správně všechny parametry!", IF(C14&lt;0, "Součet výšek čel je větší než výška korpusu!", " "))</f>
        <v>Vyplňte správně všechny parametry!</v>
      </c>
      <c r="D15" s="5"/>
      <c r="E15" s="5"/>
      <c r="F15" s="5"/>
      <c r="G15" s="5"/>
      <c r="H15" s="5"/>
      <c r="I15" s="5"/>
      <c r="J15" s="5"/>
    </row>
    <row r="16" spans="2:33" x14ac:dyDescent="0.3">
      <c r="N16" s="63"/>
      <c r="O16" s="63"/>
      <c r="P16" s="63"/>
      <c r="Q16" s="63"/>
      <c r="R16" s="63"/>
      <c r="S16" s="63"/>
      <c r="T16" s="63"/>
      <c r="U16" s="63"/>
      <c r="V16" s="63"/>
      <c r="W16" s="63"/>
    </row>
    <row r="17" spans="2:30" ht="15" customHeight="1" x14ac:dyDescent="0.3">
      <c r="B17" s="331" t="s">
        <v>249</v>
      </c>
      <c r="C17" s="331" t="s">
        <v>250</v>
      </c>
      <c r="D17" s="331" t="s">
        <v>251</v>
      </c>
      <c r="E17" s="332" t="s">
        <v>252</v>
      </c>
      <c r="F17" s="333" t="s">
        <v>64</v>
      </c>
      <c r="G17" s="334"/>
      <c r="H17" s="335"/>
      <c r="I17" s="333" t="s">
        <v>65</v>
      </c>
      <c r="J17" s="335"/>
      <c r="N17" s="13"/>
      <c r="O17" s="13"/>
      <c r="P17" s="13"/>
      <c r="Q17" s="13"/>
      <c r="R17" s="13"/>
      <c r="S17" s="109" t="s">
        <v>253</v>
      </c>
      <c r="T17" s="106" t="s">
        <v>254</v>
      </c>
      <c r="U17" s="104" t="s">
        <v>255</v>
      </c>
      <c r="V17" s="63"/>
    </row>
    <row r="18" spans="2:30" ht="15" customHeight="1" x14ac:dyDescent="0.35">
      <c r="B18" s="331"/>
      <c r="C18" s="331"/>
      <c r="D18" s="331"/>
      <c r="E18" s="332"/>
      <c r="F18" s="62" t="s">
        <v>141</v>
      </c>
      <c r="G18" s="62" t="s">
        <v>67</v>
      </c>
      <c r="H18" s="62" t="s">
        <v>68</v>
      </c>
      <c r="I18" s="62" t="s">
        <v>141</v>
      </c>
      <c r="J18" s="62" t="s">
        <v>256</v>
      </c>
      <c r="N18" s="63"/>
      <c r="O18" s="63"/>
      <c r="P18" s="63"/>
      <c r="Q18" s="63"/>
      <c r="R18" s="63"/>
      <c r="S18" s="109" t="s">
        <v>257</v>
      </c>
      <c r="T18" s="106" t="s">
        <v>257</v>
      </c>
      <c r="U18" s="104" t="s">
        <v>258</v>
      </c>
      <c r="V18" s="108">
        <f>SUM(V19:V23)</f>
        <v>0</v>
      </c>
      <c r="W18" s="2" t="s">
        <v>259</v>
      </c>
      <c r="X18" s="2" t="s">
        <v>260</v>
      </c>
      <c r="AC18" s="2" t="s">
        <v>43</v>
      </c>
    </row>
    <row r="19" spans="2:30" ht="27" customHeight="1" x14ac:dyDescent="0.3">
      <c r="B19" s="3" t="str">
        <f>IF(AND($C$13&gt;4, $C$13&lt;6), 5, " ")</f>
        <v xml:space="preserve"> </v>
      </c>
      <c r="C19" s="117"/>
      <c r="D19" s="3" t="str">
        <f>IF(OR($C19=0,$N$3=2,$N$14=2,$C$13&lt;5)," ",$U19)</f>
        <v xml:space="preserve"> </v>
      </c>
      <c r="E19" s="111" t="str">
        <f>IF(OR(C19=0,$N$3=2, $N$14=2, U19="nelze",$C$13&lt;5), " ", S19)</f>
        <v xml:space="preserve"> </v>
      </c>
      <c r="F19" s="3" t="str">
        <f>IF(OR($C$19=0,$N$3=2,$N$14=2,U19="nelze",$C$13&lt;5)," ",$N$22)</f>
        <v xml:space="preserve"> </v>
      </c>
      <c r="G19" s="3" t="str">
        <f>IF(OR($C$19=0,$N$3=2,$N$14=2,U19="nelze",$C$13&lt;5)," ",$O$22+$C$7-$C$11)</f>
        <v xml:space="preserve"> </v>
      </c>
      <c r="H19" s="3" t="str">
        <f>G19</f>
        <v xml:space="preserve"> </v>
      </c>
      <c r="I19" s="3" t="str">
        <f>IF(OR($C$19=0,$N$3=2,$N$14=2,$U$19="nelze",$C$13&lt;5)," ",$C$23+$C$22+$C$21+$C$20+$C$10+$C$9*4+$Q$22)</f>
        <v xml:space="preserve"> </v>
      </c>
      <c r="J19" s="3" t="str">
        <f>IF(OR($N$3=2,$C$19=0,$N$14=2,U19="nelze",$C$13&lt;5)," ",$R$22)</f>
        <v xml:space="preserve"> </v>
      </c>
      <c r="L19" s="126" t="str">
        <f>IF(AND($C$13&lt;5,C19&gt;0),"◄nevyplňovat!"," ")</f>
        <v xml:space="preserve"> </v>
      </c>
      <c r="S19" s="110">
        <f>SUM(T19, -20, -16)</f>
        <v>-36</v>
      </c>
      <c r="T19" s="107">
        <f>SUM(C19,-C6,C8)</f>
        <v>0</v>
      </c>
      <c r="U19" s="105" t="str">
        <f t="shared" ref="U19:U22" si="0">IF(T19&gt;209,"N/M/K/E",IF(T19&gt;146,"N/M/K",IF(T19&gt;108,"N/M", IF(T19&gt;85.5,"N", "nelze"))))</f>
        <v>nelze</v>
      </c>
      <c r="V19" s="58">
        <f>IF(C13=5, SUM(C19, $C$8), 0)</f>
        <v>0</v>
      </c>
      <c r="W19" s="9" t="str">
        <f>$I$19</f>
        <v xml:space="preserve"> </v>
      </c>
      <c r="X19" s="10" t="s">
        <v>262</v>
      </c>
      <c r="Y19" s="342" t="str">
        <f>M17&amp;" "&amp;IF(C19&gt;0,R17,IF(C20&gt;0,Q17,IF(C21&gt;0,P17,IF(C22&gt;0,O17,IF(C23&gt;0,N17,0)))))</f>
        <v xml:space="preserve"> 0</v>
      </c>
      <c r="Z19" s="9" t="str">
        <f>$I$19</f>
        <v xml:space="preserve"> </v>
      </c>
      <c r="AC19" s="63" t="str">
        <f>$G$23</f>
        <v xml:space="preserve"> </v>
      </c>
    </row>
    <row r="20" spans="2:30" ht="27" customHeight="1" x14ac:dyDescent="0.3">
      <c r="B20" s="3" t="str">
        <f>IF(AND($C$13&gt;3, $C$13&lt;6), 4, " ")</f>
        <v xml:space="preserve"> </v>
      </c>
      <c r="C20" s="117"/>
      <c r="D20" s="3" t="str">
        <f>IF(OR($C20=0,$N$3=2,$N$14=2,$C$13&lt;4)," ",$U20)</f>
        <v xml:space="preserve"> </v>
      </c>
      <c r="E20" s="111" t="str">
        <f>IF(OR(C20=0,$N$3=2, $N$14=2, U20="nelze",$C$13&lt;4), " ", S20)</f>
        <v xml:space="preserve"> </v>
      </c>
      <c r="F20" s="3" t="str">
        <f>IF(OR($C$20=0,$N$3=2,$N$14=2,U20="nelze",$C$13&lt;4)," ",$N$22)</f>
        <v xml:space="preserve"> </v>
      </c>
      <c r="G20" s="3" t="str">
        <f>IF(OR($C$20=0,$N$3=2,$N$14=2,U20="nelze",$C$13&lt;4)," ",$O$22+$C$7-$C$11)</f>
        <v xml:space="preserve"> </v>
      </c>
      <c r="H20" s="3" t="str">
        <f>G20</f>
        <v xml:space="preserve"> </v>
      </c>
      <c r="I20" s="3" t="str">
        <f>IF(OR($C$20=0,$N$3=2,$N$14=2,$U$20="nelze", C13&lt;4)," ",$C$23+$C$22+$C$21+$C$10+$C$9*3+$Q$22)</f>
        <v xml:space="preserve"> </v>
      </c>
      <c r="J20" s="3" t="str">
        <f>IF(OR($N$3=2,$C$20=0,$N$14=2,U20="nelze",$C$13&lt;4)," ",$R$22)</f>
        <v xml:space="preserve"> </v>
      </c>
      <c r="L20" s="126" t="str">
        <f>IF(AND($C$13&lt;4,C20&gt;0),"◄nevyplňovat!"," ")</f>
        <v xml:space="preserve"> </v>
      </c>
      <c r="S20" s="110">
        <f>SUM(T20, -20, -16)</f>
        <v>-36</v>
      </c>
      <c r="T20" s="107">
        <f>IF($C$13=4, SUM(C20, -$C$6, $C$8), C20)</f>
        <v>0</v>
      </c>
      <c r="U20" s="105" t="str">
        <f t="shared" si="0"/>
        <v>nelze</v>
      </c>
      <c r="V20" s="58">
        <f>IF($C$13&gt;4, SUM(C20, $C$9), IF($C$13=4, SUM(C20, $C$8), 0))</f>
        <v>0</v>
      </c>
      <c r="W20" s="9" t="str">
        <f>$I$20</f>
        <v xml:space="preserve"> </v>
      </c>
      <c r="X20" s="8" t="s">
        <v>263</v>
      </c>
      <c r="Y20" s="343"/>
      <c r="Z20" s="9" t="str">
        <f>$I$20</f>
        <v xml:space="preserve"> </v>
      </c>
    </row>
    <row r="21" spans="2:30" ht="27" customHeight="1" x14ac:dyDescent="0.3">
      <c r="B21" s="3" t="str">
        <f>IF(AND($C$13&gt;2, $C$13&lt;6), 3, " ")</f>
        <v xml:space="preserve"> </v>
      </c>
      <c r="C21" s="117"/>
      <c r="D21" s="3" t="str">
        <f>IF(OR($C21=0,$N$3=2,$N$14=2,$C$13&lt;3)," ",$U21)</f>
        <v xml:space="preserve"> </v>
      </c>
      <c r="E21" s="111" t="str">
        <f>IF(OR(C21=0,$N$3=2, $N$14=2, U21="nelze",$C$13&lt;3), " ", S21)</f>
        <v xml:space="preserve"> </v>
      </c>
      <c r="F21" s="3" t="str">
        <f>IF(OR($C$21=0,$N$3=2,$N$14=2,U21="nelze",$C$13&lt;3)," ",$N$22)</f>
        <v xml:space="preserve"> </v>
      </c>
      <c r="G21" s="3" t="str">
        <f>IF(OR($C$21=0,$N$3=2,$N$14=2,U21="nelze",$C$13&lt;3)," ",$O$22+$C$7-$C$11)</f>
        <v xml:space="preserve"> </v>
      </c>
      <c r="H21" s="3" t="str">
        <f>G21</f>
        <v xml:space="preserve"> </v>
      </c>
      <c r="I21" s="3" t="str">
        <f>IF(OR($C$21=0,$N$3=2,$N$14=2,$U$21="nelze",C13&lt;3)," ",$C$23+$C$22+$C$10+$C$9*2+$Q$22)</f>
        <v xml:space="preserve"> </v>
      </c>
      <c r="J21" s="3" t="str">
        <f>IF(OR($N$3=2,$C$21=0,$N$14=2,U21="nelze",$C$13&lt;3)," ",$R$22)</f>
        <v xml:space="preserve"> </v>
      </c>
      <c r="L21" s="126" t="str">
        <f>IF(AND($C$13&lt;3,C21&gt;0),"◄nevyplňovat!"," ")</f>
        <v xml:space="preserve"> </v>
      </c>
      <c r="S21" s="110">
        <f>SUM(T21, -20, -16)</f>
        <v>-36</v>
      </c>
      <c r="T21" s="107">
        <f>IF($C$13=3, SUM(C21, -$C$6, $C$8), C21)</f>
        <v>0</v>
      </c>
      <c r="U21" s="105" t="str">
        <f t="shared" si="0"/>
        <v>nelze</v>
      </c>
      <c r="V21" s="58">
        <f>IF($C$13&gt;3, SUM(C21, $C$9), IF($C$13=3, SUM(C21, $C$8), 0))</f>
        <v>0</v>
      </c>
      <c r="W21" s="9" t="str">
        <f>$I$21</f>
        <v xml:space="preserve"> </v>
      </c>
      <c r="X21" s="8" t="s">
        <v>264</v>
      </c>
      <c r="Y21" s="343"/>
      <c r="Z21" s="9" t="str">
        <f>$I$21</f>
        <v xml:space="preserve"> </v>
      </c>
      <c r="AC21" s="15" t="str">
        <f>$G$23</f>
        <v xml:space="preserve"> </v>
      </c>
    </row>
    <row r="22" spans="2:30" ht="27" customHeight="1" x14ac:dyDescent="0.3">
      <c r="B22" s="3" t="str">
        <f>IF(AND($C$13&gt;1, $C$13&lt;6), 2, " ")</f>
        <v xml:space="preserve"> </v>
      </c>
      <c r="C22" s="117"/>
      <c r="D22" s="3" t="str">
        <f>IF(OR($C22=0,$N$3=2,$N$14=2,$C$13&lt;2)," ",$U22)</f>
        <v xml:space="preserve"> </v>
      </c>
      <c r="E22" s="111" t="str">
        <f>IF(OR(C22=0,$N$3=2, $N$14=2, U22="nelze",$C$13&lt;2), " ", S22)</f>
        <v xml:space="preserve"> </v>
      </c>
      <c r="F22" s="3" t="str">
        <f>IF(OR($C$22=0,$N$3=2,$N$14=2,U22="nelze",$C$13&lt;2)," ",$N$22)</f>
        <v xml:space="preserve"> </v>
      </c>
      <c r="G22" s="3" t="str">
        <f>IF(OR($C$22=0,$N$3=2,$N$14=2,U22="nelze",$C$13&lt;2)," ",$O$22+$C$7-$C$11)</f>
        <v xml:space="preserve"> </v>
      </c>
      <c r="H22" s="3" t="str">
        <f>G22</f>
        <v xml:space="preserve"> </v>
      </c>
      <c r="I22" s="3" t="str">
        <f>IF(OR($C$22=0,$N$3=2,$N$14=2,$U$22="nelze",C13&lt;2)," ",$C$23+$C$10+$C$9+$Q$22)</f>
        <v xml:space="preserve"> </v>
      </c>
      <c r="J22" s="3" t="str">
        <f>IF(OR($N$3=2,$C$22=0,$N$14=2,U22="nelze",$C$13&lt;2)," ",$R$22)</f>
        <v xml:space="preserve"> </v>
      </c>
      <c r="L22" s="126" t="str">
        <f>IF(AND($C$13&lt;2,C22&gt;0),"◄nevyplňovat!"," ")</f>
        <v xml:space="preserve"> </v>
      </c>
      <c r="M22" s="4" t="s">
        <v>265</v>
      </c>
      <c r="N22" s="4">
        <v>33.5</v>
      </c>
      <c r="O22" s="4">
        <v>20.5</v>
      </c>
      <c r="P22" s="4">
        <v>20.5</v>
      </c>
      <c r="Q22" s="4">
        <v>54</v>
      </c>
      <c r="R22" s="4">
        <v>37</v>
      </c>
      <c r="S22" s="110">
        <f>SUM(T22, -20, -16)</f>
        <v>-36</v>
      </c>
      <c r="T22" s="107">
        <f>IF($C$13=2, SUM(C22, -$C$6, $C$8), C22)</f>
        <v>0</v>
      </c>
      <c r="U22" s="105" t="str">
        <f t="shared" si="0"/>
        <v>nelze</v>
      </c>
      <c r="V22" s="58">
        <f>IF($C$13&gt;2, SUM(C22, $C$9), IF($C$13=2, SUM(C22, $C$8), 0))</f>
        <v>0</v>
      </c>
      <c r="W22" s="9" t="str">
        <f>$I$22</f>
        <v xml:space="preserve"> </v>
      </c>
      <c r="X22" s="8" t="s">
        <v>266</v>
      </c>
      <c r="Y22" s="343"/>
      <c r="Z22" s="9" t="str">
        <f>$I$22</f>
        <v xml:space="preserve"> </v>
      </c>
      <c r="AC22" s="15" t="str">
        <f>$G$23</f>
        <v xml:space="preserve"> </v>
      </c>
    </row>
    <row r="23" spans="2:30" ht="27" customHeight="1" x14ac:dyDescent="0.3">
      <c r="B23" s="3" t="str">
        <f>IF(AND($C$13&gt;0, C13&lt;6), "Dole", " ")</f>
        <v xml:space="preserve"> </v>
      </c>
      <c r="C23" s="117"/>
      <c r="D23" s="3" t="str">
        <f>IF(OR($C23=0,$N$3=2,$N$14=2,$C$13&lt;1)," ",$U23)</f>
        <v xml:space="preserve"> </v>
      </c>
      <c r="E23" s="111" t="str">
        <f>IF(OR(C23=0,$N$3=2, $N$14=2, U23="nelze",$C$13&lt;1), " ", S23)</f>
        <v xml:space="preserve"> </v>
      </c>
      <c r="F23" s="3" t="str">
        <f>IF(OR($C$23=0,$N$3=2,$N$14=2,U23="nelze",$C$13&lt;1)," ",SUM($N$23, $C$6, -$C$10))</f>
        <v xml:space="preserve"> </v>
      </c>
      <c r="G23" s="3" t="str">
        <f>IF(OR($C$23=0,$N$3=2,$N$14=2,U23="nelze",$C$13&lt;1)," ",$O$23+$C$7-$C$11)</f>
        <v xml:space="preserve"> </v>
      </c>
      <c r="H23" s="3" t="str">
        <f>G23</f>
        <v xml:space="preserve"> </v>
      </c>
      <c r="I23" s="3" t="str">
        <f>IF(OR($C$23=0,$N$3=2,$N$14=2,$U$23="nelze",C13&lt;1)," ",$Q$23+$C$6)</f>
        <v xml:space="preserve"> </v>
      </c>
      <c r="J23" s="3" t="str">
        <f>IF(OR($N$3=2,$C$23=0,$N$14=2,U23="nelze",$C$13&lt;1)," ",$R$23)</f>
        <v xml:space="preserve"> </v>
      </c>
      <c r="L23" s="126" t="str">
        <f>IF(AND($C$13&lt;1,C23&gt;0),"◄nevyplňovat!"," ")</f>
        <v xml:space="preserve"> </v>
      </c>
      <c r="M23" s="96" t="s">
        <v>267</v>
      </c>
      <c r="N23" s="96">
        <v>35.5</v>
      </c>
      <c r="O23" s="96">
        <v>20.5</v>
      </c>
      <c r="P23" s="96">
        <v>20.5</v>
      </c>
      <c r="Q23" s="96">
        <v>56</v>
      </c>
      <c r="R23" s="96">
        <v>37</v>
      </c>
      <c r="S23" s="110">
        <f>SUM(T23, -22, -16)</f>
        <v>-38</v>
      </c>
      <c r="T23" s="107">
        <f>IF(C13=1, SUM(C23, -C6*2, C10, C8), SUM(C23, -C6, C10))</f>
        <v>0</v>
      </c>
      <c r="U23" s="105" t="str">
        <f>IF(T23&gt;211,"N/M/K/E",IF(T23&gt;148,"N/M/K",IF(T23&gt;110,"N/M", IF(T23&gt;87.5,"N", "nelze"))))</f>
        <v>nelze</v>
      </c>
      <c r="V23" s="58">
        <f>IF($C$13&gt;1, SUM(C23, $C$9, $C$10), IF($C$13=1, SUM(C23, $C$8, $C$10), 0))</f>
        <v>0</v>
      </c>
      <c r="W23" s="9" t="str">
        <f>$I$23</f>
        <v xml:space="preserve"> </v>
      </c>
      <c r="X23" s="7" t="s">
        <v>268</v>
      </c>
      <c r="Y23" s="343"/>
      <c r="Z23" s="9" t="str">
        <f>IF(OR($C$23=0,$N$3=2)," ",$Q$23+$C$6)</f>
        <v xml:space="preserve"> </v>
      </c>
      <c r="AC23" s="9" t="s">
        <v>269</v>
      </c>
      <c r="AD23" s="5" t="str">
        <f>$F$22</f>
        <v xml:space="preserve"> </v>
      </c>
    </row>
    <row r="24" spans="2:30" ht="14.5" x14ac:dyDescent="0.35">
      <c r="M24" s="97" t="s">
        <v>350</v>
      </c>
      <c r="N24" s="98" t="s">
        <v>351</v>
      </c>
      <c r="O24" s="98"/>
      <c r="P24" s="98"/>
      <c r="Q24" s="98"/>
      <c r="R24" s="98"/>
      <c r="S24" s="98"/>
      <c r="T24" s="98"/>
      <c r="U24" s="98"/>
      <c r="V24" s="98"/>
      <c r="AC24" s="9" t="s">
        <v>270</v>
      </c>
      <c r="AD24" s="5" t="str">
        <f>$F$23</f>
        <v xml:space="preserve"> </v>
      </c>
    </row>
    <row r="25" spans="2:30" x14ac:dyDescent="0.3">
      <c r="B25" s="2" t="s">
        <v>271</v>
      </c>
    </row>
    <row r="26" spans="2:30" x14ac:dyDescent="0.3">
      <c r="B26" s="2" t="s">
        <v>112</v>
      </c>
      <c r="Z26" s="11" t="s">
        <v>272</v>
      </c>
    </row>
    <row r="28" spans="2:30" x14ac:dyDescent="0.3">
      <c r="B28" s="18"/>
      <c r="C28" s="18" t="s">
        <v>529</v>
      </c>
      <c r="O28" s="303" t="s">
        <v>274</v>
      </c>
      <c r="P28" s="303"/>
      <c r="Q28" s="303" t="s">
        <v>275</v>
      </c>
      <c r="R28" s="303"/>
      <c r="S28" s="303"/>
    </row>
    <row r="29" spans="2:30" x14ac:dyDescent="0.3">
      <c r="N29" s="63" t="s">
        <v>276</v>
      </c>
      <c r="O29" s="63" t="s">
        <v>277</v>
      </c>
      <c r="P29" s="63" t="s">
        <v>278</v>
      </c>
      <c r="Q29" s="63" t="s">
        <v>279</v>
      </c>
      <c r="R29" s="63"/>
      <c r="S29" s="63" t="s">
        <v>490</v>
      </c>
      <c r="T29" s="63" t="s">
        <v>282</v>
      </c>
      <c r="U29" s="63" t="s">
        <v>283</v>
      </c>
    </row>
    <row r="30" spans="2:30" x14ac:dyDescent="0.3">
      <c r="B30" s="2" t="s">
        <v>491</v>
      </c>
      <c r="M30" s="63">
        <v>5</v>
      </c>
      <c r="N30" s="63">
        <f>IF(AND($N$3=1, $W30&lt;&gt;"nelze"), 1, 0)</f>
        <v>0</v>
      </c>
      <c r="O30" s="63">
        <f>IF(AND($N$3=1, $W30&lt;&gt;"nelze"), 1, 0)</f>
        <v>0</v>
      </c>
      <c r="P30" s="63"/>
      <c r="Q30" s="63">
        <f>IF(AND($N$3=1, $W30="M"), 1, 0)</f>
        <v>0</v>
      </c>
      <c r="R30" s="63"/>
      <c r="S30" s="63">
        <f>IF(AND($N$3=1, $W30="D"), 1, 0)</f>
        <v>0</v>
      </c>
      <c r="T30" s="63">
        <f>IF(AND($N$3=1, OR($W30="C", $W30="D")), 1, 0)</f>
        <v>0</v>
      </c>
      <c r="V30" s="92">
        <f>T19</f>
        <v>0</v>
      </c>
      <c r="W30" s="105" t="str">
        <f t="shared" ref="W30:W33" si="1">IF(V30&gt;226,"D",IF(V30&gt;192,"C",IF(V30&gt;98.5,"M", "nelze")))</f>
        <v>nelze</v>
      </c>
    </row>
    <row r="31" spans="2:30" x14ac:dyDescent="0.3">
      <c r="B31" s="2" t="s">
        <v>285</v>
      </c>
      <c r="M31" s="63">
        <v>4</v>
      </c>
      <c r="N31" s="63">
        <f>IF(AND($N$3=1, $W31&lt;&gt;"nelze"), 1, 0)</f>
        <v>0</v>
      </c>
      <c r="O31" s="63">
        <f t="shared" ref="O31:O34" si="2">IF(AND($N$3=1, $W31&lt;&gt;"nelze"), 1, 0)</f>
        <v>0</v>
      </c>
      <c r="P31" s="63"/>
      <c r="Q31" s="63">
        <f t="shared" ref="Q31:Q34" si="3">IF(AND($N$3=1, $W31="M"), 1, 0)</f>
        <v>0</v>
      </c>
      <c r="R31" s="63"/>
      <c r="S31" s="63">
        <f t="shared" ref="S31:S34" si="4">IF(AND($N$3=1, $W31="D"), 1, 0)</f>
        <v>0</v>
      </c>
      <c r="T31" s="63">
        <f t="shared" ref="T31:T34" si="5">IF(AND($N$3=1, OR($W31="C", $W31="D")), 1, 0)</f>
        <v>0</v>
      </c>
      <c r="V31" s="92">
        <f>T20</f>
        <v>0</v>
      </c>
      <c r="W31" s="105" t="str">
        <f t="shared" si="1"/>
        <v>nelze</v>
      </c>
    </row>
    <row r="32" spans="2:30" x14ac:dyDescent="0.3">
      <c r="B32" s="2" t="s">
        <v>353</v>
      </c>
      <c r="M32" s="63">
        <v>3</v>
      </c>
      <c r="N32" s="63">
        <f>IF(AND($N$3=1, $W32&lt;&gt;"nelze"), 1, 0)</f>
        <v>0</v>
      </c>
      <c r="O32" s="63">
        <f t="shared" si="2"/>
        <v>0</v>
      </c>
      <c r="P32" s="63"/>
      <c r="Q32" s="63">
        <f t="shared" si="3"/>
        <v>0</v>
      </c>
      <c r="R32" s="63"/>
      <c r="S32" s="63">
        <f t="shared" si="4"/>
        <v>0</v>
      </c>
      <c r="T32" s="63">
        <f t="shared" si="5"/>
        <v>0</v>
      </c>
      <c r="V32" s="92">
        <f>T21</f>
        <v>0</v>
      </c>
      <c r="W32" s="105" t="str">
        <f t="shared" si="1"/>
        <v>nelze</v>
      </c>
    </row>
    <row r="33" spans="1:29" x14ac:dyDescent="0.3">
      <c r="B33" s="2" t="s">
        <v>543</v>
      </c>
      <c r="M33" s="63">
        <v>2</v>
      </c>
      <c r="N33" s="63">
        <f>IF(AND($N$3=1, $W33&lt;&gt;"nelze"), 1, 0)</f>
        <v>0</v>
      </c>
      <c r="O33" s="63">
        <f t="shared" si="2"/>
        <v>0</v>
      </c>
      <c r="P33" s="63"/>
      <c r="Q33" s="63">
        <f t="shared" si="3"/>
        <v>0</v>
      </c>
      <c r="R33" s="63"/>
      <c r="S33" s="63">
        <f t="shared" si="4"/>
        <v>0</v>
      </c>
      <c r="T33" s="63">
        <f t="shared" si="5"/>
        <v>0</v>
      </c>
      <c r="V33" s="92">
        <f>T22</f>
        <v>0</v>
      </c>
      <c r="W33" s="105" t="str">
        <f t="shared" si="1"/>
        <v>nelze</v>
      </c>
    </row>
    <row r="34" spans="1:29" x14ac:dyDescent="0.3">
      <c r="B34" s="2" t="s">
        <v>287</v>
      </c>
      <c r="M34" s="63" t="s">
        <v>267</v>
      </c>
      <c r="N34" s="63">
        <f>IF(AND($N$3=1, $W34&lt;&gt;"nelze"), 1, 0)</f>
        <v>0</v>
      </c>
      <c r="O34" s="63">
        <f t="shared" si="2"/>
        <v>0</v>
      </c>
      <c r="P34" s="63"/>
      <c r="Q34" s="63">
        <f t="shared" si="3"/>
        <v>0</v>
      </c>
      <c r="R34" s="63"/>
      <c r="S34" s="63">
        <f t="shared" si="4"/>
        <v>0</v>
      </c>
      <c r="T34" s="63">
        <f t="shared" si="5"/>
        <v>0</v>
      </c>
      <c r="V34" s="92">
        <f>T23</f>
        <v>0</v>
      </c>
      <c r="W34" s="105" t="str">
        <f>IF(V34&gt;226,"D",IF(V34&gt;192,"C",IF(V34&gt;98.5,"M", "nelze")))</f>
        <v>nelze</v>
      </c>
    </row>
    <row r="35" spans="1:29" x14ac:dyDescent="0.3">
      <c r="B35" s="2" t="s">
        <v>486</v>
      </c>
    </row>
    <row r="40" spans="1:29" ht="14.5" thickBot="1" x14ac:dyDescent="0.35"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</row>
    <row r="41" spans="1:29" ht="25" customHeight="1" thickTop="1" x14ac:dyDescent="0.35">
      <c r="A41" s="303"/>
      <c r="B41" s="19" t="s">
        <v>355</v>
      </c>
      <c r="AC41" s="103" t="str">
        <f>$B$1</f>
        <v>MERIVOBOX</v>
      </c>
    </row>
    <row r="42" spans="1:29" ht="20.149999999999999" customHeight="1" x14ac:dyDescent="0.3">
      <c r="A42" s="303"/>
      <c r="E42" s="9" t="s">
        <v>289</v>
      </c>
      <c r="AC42" s="102"/>
    </row>
    <row r="43" spans="1:29" ht="6.75" customHeight="1" x14ac:dyDescent="0.3">
      <c r="A43" s="303"/>
    </row>
    <row r="44" spans="1:29" x14ac:dyDescent="0.3">
      <c r="A44" s="303"/>
    </row>
    <row r="45" spans="1:29" x14ac:dyDescent="0.3">
      <c r="A45" s="303"/>
    </row>
    <row r="46" spans="1:29" x14ac:dyDescent="0.3">
      <c r="A46" s="303"/>
      <c r="B46" s="2" t="str">
        <f>I19</f>
        <v xml:space="preserve"> </v>
      </c>
    </row>
    <row r="47" spans="1:29" x14ac:dyDescent="0.3">
      <c r="A47" s="303"/>
      <c r="J47" s="2" t="s">
        <v>290</v>
      </c>
    </row>
    <row r="48" spans="1:29" ht="9" customHeight="1" x14ac:dyDescent="0.3">
      <c r="A48" s="303"/>
    </row>
    <row r="49" spans="1:26" x14ac:dyDescent="0.3">
      <c r="A49" s="303"/>
      <c r="B49" s="2" t="str">
        <f>I20</f>
        <v xml:space="preserve"> </v>
      </c>
      <c r="J49" s="116" t="s">
        <v>291</v>
      </c>
      <c r="K49" s="115"/>
      <c r="L49" s="116" t="str">
        <f>IF($N$3=1, R49&amp;" x "&amp;S49, " ")</f>
        <v xml:space="preserve"> </v>
      </c>
      <c r="R49" s="2">
        <f>$C$5-2*$C$7-51</f>
        <v>-51</v>
      </c>
      <c r="S49" s="112">
        <f>C12-26</f>
        <v>-26</v>
      </c>
      <c r="Z49" s="2" t="s">
        <v>292</v>
      </c>
    </row>
    <row r="50" spans="1:26" x14ac:dyDescent="0.3">
      <c r="A50" s="303"/>
      <c r="J50" s="63"/>
    </row>
    <row r="51" spans="1:26" x14ac:dyDescent="0.3">
      <c r="A51" s="303"/>
      <c r="J51" s="135" t="s">
        <v>293</v>
      </c>
      <c r="K51" s="136"/>
      <c r="L51" s="136"/>
    </row>
    <row r="52" spans="1:26" x14ac:dyDescent="0.3">
      <c r="A52" s="303"/>
      <c r="B52" s="2" t="str">
        <f>I21</f>
        <v xml:space="preserve"> </v>
      </c>
      <c r="J52" s="116" t="s">
        <v>489</v>
      </c>
      <c r="K52" s="115"/>
      <c r="L52" s="116" t="str">
        <f>IF($N$3=1, R52&amp;" x  "&amp;S52, " ")</f>
        <v xml:space="preserve"> </v>
      </c>
      <c r="R52" s="2">
        <f>$C$5-2*$C$7-51</f>
        <v>-51</v>
      </c>
      <c r="S52" s="2">
        <v>60.5</v>
      </c>
      <c r="Z52" s="2" t="s">
        <v>292</v>
      </c>
    </row>
    <row r="53" spans="1:26" x14ac:dyDescent="0.3">
      <c r="A53" s="303"/>
      <c r="J53" s="116" t="s">
        <v>279</v>
      </c>
      <c r="K53" s="115"/>
      <c r="L53" s="116" t="str">
        <f>IF($N$3=1, R53&amp;" x "&amp;S53, " ")</f>
        <v xml:space="preserve"> </v>
      </c>
      <c r="R53" s="2">
        <f>$C$5-2*$C$7-51</f>
        <v>-51</v>
      </c>
      <c r="S53" s="2">
        <v>83</v>
      </c>
      <c r="Z53" s="2" t="s">
        <v>292</v>
      </c>
    </row>
    <row r="54" spans="1:26" x14ac:dyDescent="0.3">
      <c r="A54" s="303"/>
      <c r="J54" s="116" t="s">
        <v>294</v>
      </c>
      <c r="K54" s="115"/>
      <c r="L54" s="116" t="str">
        <f>IF($N$3=1, R54&amp;" x "&amp;S54, " ")</f>
        <v xml:space="preserve"> </v>
      </c>
      <c r="R54" s="2">
        <f>$C$5-2*$C$7-51</f>
        <v>-51</v>
      </c>
      <c r="S54" s="2">
        <v>121</v>
      </c>
      <c r="Z54" s="2" t="s">
        <v>292</v>
      </c>
    </row>
    <row r="55" spans="1:26" x14ac:dyDescent="0.3">
      <c r="A55" s="303"/>
      <c r="B55" s="2" t="str">
        <f>I22</f>
        <v xml:space="preserve"> </v>
      </c>
      <c r="J55" s="116" t="s">
        <v>490</v>
      </c>
      <c r="K55" s="115"/>
      <c r="L55" s="116" t="str">
        <f>IF($N$3=1, R55&amp;" x "&amp;S55, " ")</f>
        <v xml:space="preserve"> </v>
      </c>
      <c r="R55" s="2">
        <f>$C$5-2*$C$7-51</f>
        <v>-51</v>
      </c>
      <c r="S55" s="2">
        <v>184</v>
      </c>
      <c r="Z55" s="2" t="s">
        <v>292</v>
      </c>
    </row>
    <row r="56" spans="1:26" x14ac:dyDescent="0.3">
      <c r="A56" s="303"/>
    </row>
    <row r="57" spans="1:26" x14ac:dyDescent="0.3">
      <c r="A57" s="303"/>
    </row>
    <row r="58" spans="1:26" ht="10.5" customHeight="1" x14ac:dyDescent="0.3">
      <c r="A58" s="303"/>
    </row>
    <row r="59" spans="1:26" x14ac:dyDescent="0.3">
      <c r="A59" s="303"/>
      <c r="B59" s="2" t="str">
        <f>I23</f>
        <v xml:space="preserve"> </v>
      </c>
      <c r="P59" s="137" t="s">
        <v>497</v>
      </c>
      <c r="Q59" s="138">
        <f>IF($C$12=270,SUM($N$30:$N$34), 0)</f>
        <v>0</v>
      </c>
      <c r="R59" s="137" t="s">
        <v>506</v>
      </c>
      <c r="S59" s="138">
        <f>IF($C$12=270,SUM($O$30:$O$34), 0)</f>
        <v>0</v>
      </c>
      <c r="T59" s="137"/>
      <c r="V59" s="137" t="s">
        <v>519</v>
      </c>
    </row>
    <row r="60" spans="1:26" x14ac:dyDescent="0.3">
      <c r="A60" s="303"/>
      <c r="P60" s="137" t="s">
        <v>498</v>
      </c>
      <c r="Q60" s="138">
        <f>IF($C$12=300,SUM($N$30:$N$34), 0)</f>
        <v>0</v>
      </c>
      <c r="R60" s="137" t="s">
        <v>507</v>
      </c>
      <c r="S60" s="138">
        <f>IF($C$12=300,SUM($O$30:$O$34), 0)</f>
        <v>0</v>
      </c>
      <c r="T60" s="137"/>
      <c r="V60" s="137" t="s">
        <v>520</v>
      </c>
    </row>
    <row r="61" spans="1:26" x14ac:dyDescent="0.3">
      <c r="A61" s="303"/>
      <c r="B61" s="2">
        <v>0</v>
      </c>
      <c r="P61" s="137" t="s">
        <v>499</v>
      </c>
      <c r="Q61" s="138">
        <f>IF($C$12=350,SUM($N$30:$N$34), 0)</f>
        <v>0</v>
      </c>
      <c r="R61" s="137" t="s">
        <v>508</v>
      </c>
      <c r="S61" s="138">
        <f>IF($C$12=350,SUM($O$30:$O$34), 0)</f>
        <v>0</v>
      </c>
      <c r="T61" s="137"/>
      <c r="V61" s="137" t="s">
        <v>521</v>
      </c>
    </row>
    <row r="62" spans="1:26" x14ac:dyDescent="0.3">
      <c r="A62" s="303"/>
      <c r="D62" s="2" t="str">
        <f>IF(OR(C12=270, C12=300, C12=350), 160, IF(OR(C12=400, C12=450, C12=500, C12=550, C12=600), 224, " "))</f>
        <v xml:space="preserve"> </v>
      </c>
      <c r="P62" s="137" t="s">
        <v>500</v>
      </c>
      <c r="Q62" s="138">
        <f>IF($C$12=400,SUM($N$30:$N$34), 0)</f>
        <v>0</v>
      </c>
      <c r="R62" s="137" t="s">
        <v>509</v>
      </c>
      <c r="S62" s="138">
        <f>IF($C$12=400,SUM($O$30:$O$34), 0)</f>
        <v>0</v>
      </c>
      <c r="T62" s="137"/>
      <c r="V62" s="137" t="s">
        <v>522</v>
      </c>
    </row>
    <row r="63" spans="1:26" x14ac:dyDescent="0.3">
      <c r="A63" s="303"/>
      <c r="P63" s="137" t="s">
        <v>501</v>
      </c>
      <c r="Q63" s="138">
        <f>IF($C$12=450,SUM($N$30:$N$34), 0)</f>
        <v>0</v>
      </c>
      <c r="R63" s="137" t="s">
        <v>510</v>
      </c>
      <c r="S63" s="138">
        <f>IF($C$12=450,SUM($O$30:$O$34), 0)</f>
        <v>0</v>
      </c>
      <c r="T63" s="137" t="s">
        <v>514</v>
      </c>
      <c r="V63" s="137" t="s">
        <v>523</v>
      </c>
    </row>
    <row r="64" spans="1:26" x14ac:dyDescent="0.3">
      <c r="A64" s="303"/>
      <c r="E64" s="9" t="s">
        <v>362</v>
      </c>
      <c r="M64" s="47" t="s">
        <v>365</v>
      </c>
      <c r="P64" s="137" t="s">
        <v>502</v>
      </c>
      <c r="Q64" s="138">
        <f>IF($C$12=500,SUM($N$30:$N$34), 0)</f>
        <v>0</v>
      </c>
      <c r="R64" s="137" t="s">
        <v>511</v>
      </c>
      <c r="S64" s="138">
        <f>IF($C$12=500,SUM($O$30:$O$34), 0)</f>
        <v>0</v>
      </c>
      <c r="T64" s="137" t="s">
        <v>515</v>
      </c>
      <c r="V64" s="137" t="s">
        <v>524</v>
      </c>
    </row>
    <row r="65" spans="1:31" ht="9" customHeight="1" x14ac:dyDescent="0.3">
      <c r="A65" s="303"/>
      <c r="P65" s="137" t="s">
        <v>501</v>
      </c>
      <c r="Q65" s="138">
        <f>IF($C$12=550,SUM($N$30:$N$34), 0)</f>
        <v>0</v>
      </c>
      <c r="R65" s="137" t="s">
        <v>512</v>
      </c>
      <c r="S65" s="138">
        <f>IF($C$12=550,SUM($O$30:$O$34), 0)</f>
        <v>0</v>
      </c>
      <c r="T65" s="137" t="s">
        <v>516</v>
      </c>
      <c r="V65" s="137" t="s">
        <v>525</v>
      </c>
    </row>
    <row r="66" spans="1:31" x14ac:dyDescent="0.3">
      <c r="A66" s="303"/>
      <c r="P66" s="137" t="s">
        <v>503</v>
      </c>
      <c r="Q66" s="138">
        <f>IF($C$12=600,SUM($N$30:$N$34), 0)</f>
        <v>0</v>
      </c>
      <c r="R66" s="137" t="s">
        <v>513</v>
      </c>
      <c r="S66" s="138">
        <f>IF($C$12=600,SUM($O$30:$O$34), 0)</f>
        <v>0</v>
      </c>
      <c r="T66" s="137" t="s">
        <v>517</v>
      </c>
      <c r="V66" s="137" t="s">
        <v>526</v>
      </c>
    </row>
    <row r="67" spans="1:31" x14ac:dyDescent="0.3">
      <c r="A67" s="303"/>
      <c r="P67" s="137" t="s">
        <v>504</v>
      </c>
      <c r="Q67" s="141">
        <f>IF($C$12=650,SUM($N$30:$N$34), 0)</f>
        <v>0</v>
      </c>
      <c r="R67" s="137"/>
      <c r="S67" s="141">
        <f>IF($C$12=650,SUM($O$30:$O$34), 0)</f>
        <v>0</v>
      </c>
      <c r="T67" s="137" t="s">
        <v>518</v>
      </c>
      <c r="V67" s="137" t="s">
        <v>527</v>
      </c>
    </row>
    <row r="68" spans="1:31" x14ac:dyDescent="0.3">
      <c r="A68" s="303"/>
    </row>
    <row r="69" spans="1:31" x14ac:dyDescent="0.3">
      <c r="A69" s="303"/>
      <c r="Q69" s="138" t="s">
        <v>371</v>
      </c>
      <c r="R69" s="137" t="s">
        <v>531</v>
      </c>
    </row>
    <row r="70" spans="1:31" x14ac:dyDescent="0.3">
      <c r="A70" s="303"/>
      <c r="Q70" s="138" t="s">
        <v>373</v>
      </c>
      <c r="R70" s="137" t="s">
        <v>532</v>
      </c>
    </row>
    <row r="71" spans="1:31" x14ac:dyDescent="0.3">
      <c r="A71" s="303"/>
      <c r="Q71" s="138" t="s">
        <v>375</v>
      </c>
      <c r="R71" s="137" t="s">
        <v>533</v>
      </c>
    </row>
    <row r="72" spans="1:31" x14ac:dyDescent="0.3">
      <c r="A72" s="303"/>
      <c r="Q72" s="138" t="s">
        <v>377</v>
      </c>
      <c r="R72" s="137" t="s">
        <v>534</v>
      </c>
    </row>
    <row r="73" spans="1:31" x14ac:dyDescent="0.3">
      <c r="A73" s="303"/>
      <c r="Q73" s="138" t="s">
        <v>379</v>
      </c>
      <c r="R73" s="137" t="s">
        <v>535</v>
      </c>
    </row>
    <row r="74" spans="1:31" x14ac:dyDescent="0.3">
      <c r="A74" s="303"/>
      <c r="C74" s="47" t="str">
        <f>F23</f>
        <v xml:space="preserve"> </v>
      </c>
      <c r="J74" s="2" t="str">
        <f>F22</f>
        <v xml:space="preserve"> </v>
      </c>
    </row>
    <row r="75" spans="1:31" x14ac:dyDescent="0.3">
      <c r="A75" s="303"/>
      <c r="R75" s="137" t="s">
        <v>381</v>
      </c>
      <c r="S75" s="138">
        <f>IF($C$5&lt;551,0.25, IF(AND($C$5&gt;550,$C$5&lt;649),0.3,IF(AND($C$5&gt;648,$C$5&lt;835),0.5,1)))</f>
        <v>0.25</v>
      </c>
    </row>
    <row r="76" spans="1:31" x14ac:dyDescent="0.3">
      <c r="A76" s="303"/>
      <c r="R76" s="137" t="s">
        <v>382</v>
      </c>
      <c r="S76" s="138">
        <f>IF($C$5&gt;749, 1, 0)</f>
        <v>0</v>
      </c>
    </row>
    <row r="77" spans="1:31" x14ac:dyDescent="0.3">
      <c r="A77" s="303"/>
      <c r="C77" s="2" t="str">
        <f>H23</f>
        <v xml:space="preserve"> </v>
      </c>
      <c r="G77" s="47" t="str">
        <f>G23</f>
        <v xml:space="preserve"> </v>
      </c>
      <c r="L77" s="5" t="str">
        <f>H22</f>
        <v xml:space="preserve"> </v>
      </c>
      <c r="R77" s="137" t="s">
        <v>383</v>
      </c>
      <c r="S77" s="138">
        <f>IF($C$5&gt;749, 1, 0)</f>
        <v>0</v>
      </c>
      <c r="AB77" s="47" t="str">
        <f>G22</f>
        <v xml:space="preserve"> </v>
      </c>
    </row>
    <row r="78" spans="1:31" x14ac:dyDescent="0.3">
      <c r="A78" s="303"/>
    </row>
    <row r="79" spans="1:31" x14ac:dyDescent="0.3">
      <c r="A79" s="303"/>
      <c r="C79" s="2" t="s">
        <v>327</v>
      </c>
    </row>
    <row r="80" spans="1:31" ht="14.5" thickBot="1" x14ac:dyDescent="0.35">
      <c r="A80" s="303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00"/>
      <c r="AC80" s="100"/>
      <c r="AD80" s="101"/>
      <c r="AE80" s="101"/>
    </row>
    <row r="81" spans="1:31" ht="25" customHeight="1" thickTop="1" x14ac:dyDescent="0.35">
      <c r="A81" s="303"/>
      <c r="AC81" s="103" t="str">
        <f>$B$1</f>
        <v>MERIVOBOX</v>
      </c>
    </row>
    <row r="82" spans="1:31" ht="17.5" x14ac:dyDescent="0.35">
      <c r="A82" s="303"/>
      <c r="B82" s="19" t="s">
        <v>328</v>
      </c>
      <c r="AC82" s="102"/>
      <c r="AD82" s="341" t="s">
        <v>88</v>
      </c>
      <c r="AE82" s="341"/>
    </row>
    <row r="83" spans="1:31" ht="14.5" x14ac:dyDescent="0.35">
      <c r="A83" s="303"/>
      <c r="B83" s="5" t="s">
        <v>329</v>
      </c>
    </row>
    <row r="84" spans="1:31" x14ac:dyDescent="0.3">
      <c r="A84" s="303"/>
    </row>
    <row r="85" spans="1:31" ht="15.5" x14ac:dyDescent="0.35">
      <c r="A85" s="303"/>
      <c r="AA85" s="9" t="s">
        <v>330</v>
      </c>
      <c r="AB85" s="99" t="s">
        <v>331</v>
      </c>
    </row>
    <row r="86" spans="1:31" x14ac:dyDescent="0.3">
      <c r="A86" s="303"/>
    </row>
    <row r="87" spans="1:31" x14ac:dyDescent="0.3">
      <c r="A87" s="303"/>
    </row>
    <row r="88" spans="1:31" x14ac:dyDescent="0.3">
      <c r="A88" s="303"/>
    </row>
    <row r="89" spans="1:31" x14ac:dyDescent="0.3">
      <c r="A89" s="303"/>
      <c r="F89" s="9" t="s">
        <v>311</v>
      </c>
      <c r="M89" s="47" t="s">
        <v>312</v>
      </c>
    </row>
    <row r="90" spans="1:31" x14ac:dyDescent="0.3">
      <c r="A90" s="303"/>
    </row>
    <row r="91" spans="1:31" x14ac:dyDescent="0.3">
      <c r="A91" s="303"/>
    </row>
    <row r="92" spans="1:31" x14ac:dyDescent="0.3">
      <c r="A92" s="303"/>
    </row>
    <row r="93" spans="1:31" x14ac:dyDescent="0.3">
      <c r="A93" s="303"/>
    </row>
    <row r="94" spans="1:31" x14ac:dyDescent="0.3">
      <c r="A94" s="303"/>
    </row>
    <row r="95" spans="1:31" x14ac:dyDescent="0.3">
      <c r="A95" s="303"/>
    </row>
    <row r="96" spans="1:31" x14ac:dyDescent="0.3">
      <c r="A96" s="303"/>
    </row>
    <row r="97" spans="1:31" x14ac:dyDescent="0.3">
      <c r="A97" s="303"/>
    </row>
    <row r="98" spans="1:31" x14ac:dyDescent="0.3">
      <c r="A98" s="303"/>
    </row>
    <row r="99" spans="1:31" x14ac:dyDescent="0.3">
      <c r="A99" s="303"/>
      <c r="C99" s="47">
        <f>SUM(F23, -15)</f>
        <v>-15</v>
      </c>
      <c r="J99" s="2">
        <f>SUM(J74, -15)</f>
        <v>-15</v>
      </c>
    </row>
    <row r="100" spans="1:31" x14ac:dyDescent="0.3">
      <c r="A100" s="303"/>
    </row>
    <row r="101" spans="1:31" x14ac:dyDescent="0.3">
      <c r="A101" s="303"/>
    </row>
    <row r="102" spans="1:31" x14ac:dyDescent="0.3">
      <c r="A102" s="303"/>
    </row>
    <row r="103" spans="1:31" x14ac:dyDescent="0.3">
      <c r="A103" s="303"/>
    </row>
    <row r="104" spans="1:31" x14ac:dyDescent="0.3">
      <c r="A104" s="303"/>
    </row>
    <row r="105" spans="1:31" x14ac:dyDescent="0.3">
      <c r="A105" s="303"/>
    </row>
    <row r="106" spans="1:31" x14ac:dyDescent="0.3">
      <c r="A106" s="303"/>
    </row>
    <row r="107" spans="1:31" x14ac:dyDescent="0.3">
      <c r="A107" s="303"/>
    </row>
    <row r="108" spans="1:31" x14ac:dyDescent="0.3">
      <c r="A108" s="303"/>
    </row>
    <row r="109" spans="1:31" ht="14.5" thickBot="1" x14ac:dyDescent="0.35"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</row>
    <row r="110" spans="1:31" ht="25" customHeight="1" thickTop="1" x14ac:dyDescent="0.35">
      <c r="B110" s="139" t="s">
        <v>332</v>
      </c>
      <c r="AB110" s="47"/>
      <c r="AC110" s="103" t="str">
        <f>$B$1</f>
        <v>MERIVOBOX</v>
      </c>
    </row>
    <row r="111" spans="1:31" ht="25" customHeight="1" x14ac:dyDescent="0.3">
      <c r="B111" s="158" t="s">
        <v>92</v>
      </c>
      <c r="C111" s="140"/>
      <c r="D111" s="140"/>
      <c r="E111" s="140" t="s">
        <v>93</v>
      </c>
      <c r="F111" s="140"/>
      <c r="G111" s="140" t="s">
        <v>94</v>
      </c>
      <c r="H111" s="140" t="s">
        <v>95</v>
      </c>
      <c r="I111" s="140"/>
      <c r="J111" s="140"/>
      <c r="K111" s="140"/>
      <c r="L111" s="140"/>
      <c r="M111" s="140"/>
      <c r="N111" s="140"/>
      <c r="P111" s="18"/>
      <c r="AB111" s="47"/>
      <c r="AC111" s="197"/>
    </row>
    <row r="112" spans="1:31" x14ac:dyDescent="0.3">
      <c r="B112" s="2" t="s">
        <v>493</v>
      </c>
      <c r="E112" s="2" t="str">
        <f>IF($N$3=1, IF($C$12=270, P59, IF($C$12=300, P60, IF($C$12=350, P61, IF($C$12=400, P62, IF($C$12=450, P63, IF($C$12=500, P64, IF($C$12=550, P65, IF($C$12=600, P66, IF($C$12=650, P67, " "))))))))), " ")</f>
        <v xml:space="preserve"> </v>
      </c>
      <c r="G112" s="47">
        <f>IF($N$3=1,SUM($N$30:$N$34),0)</f>
        <v>0</v>
      </c>
      <c r="H112" s="2" t="s">
        <v>99</v>
      </c>
      <c r="AB112" s="47"/>
      <c r="AC112" s="9"/>
      <c r="AD112" s="341" t="s">
        <v>88</v>
      </c>
      <c r="AE112" s="341"/>
    </row>
    <row r="113" spans="2:29" x14ac:dyDescent="0.3">
      <c r="B113" s="2" t="str">
        <f>IF($C$12=650, "Korpusové lišty 65 kg", "Korpusové lišty 40 kg")</f>
        <v>Korpusové lišty 40 kg</v>
      </c>
      <c r="E113" s="2" t="str">
        <f>IF($N$3=1, IF($C$12=270, R59, IF($C$12=300, R60, IF($C$12=350, R61, IF($C$12=400, R62, IF($C$12=450, R63, IF($C$12=500, R64, IF($C$12=550, R65, IF($C$12=600, R66, IF($C$12=650, T67, " "))))))))), " ")</f>
        <v xml:space="preserve"> </v>
      </c>
      <c r="G113" s="47" t="str">
        <f>IF($N$3=1, SUM($O$30:$O$34), " ")</f>
        <v xml:space="preserve"> </v>
      </c>
      <c r="H113" s="45" t="str">
        <f>IF(AND($N$3=1, $C$5&gt;799, OR($C$12=450, $C$12=500, $C$12=550, $C$12=600)), "lišty 70 kg: "&amp; $T$113&amp;" ***", " ")</f>
        <v xml:space="preserve"> </v>
      </c>
      <c r="T113" s="143">
        <f>IF($C$12=450, $T$63, IF($C$12=500, $T$64, IF($C$12=550, $T$65, IF($C$12=600, $T$66, 0))))</f>
        <v>0</v>
      </c>
      <c r="AB113" s="47"/>
      <c r="AC113" s="9"/>
    </row>
    <row r="114" spans="2:29" x14ac:dyDescent="0.3">
      <c r="B114" s="2" t="s">
        <v>334</v>
      </c>
      <c r="E114" s="2" t="str">
        <f>IF($N$3=1, "ZB4M000S", " ")</f>
        <v xml:space="preserve"> </v>
      </c>
      <c r="G114" s="47" t="str">
        <f>IF($N$3=1, SUM($Q$30:$Q$34), " ")</f>
        <v xml:space="preserve"> </v>
      </c>
      <c r="H114" s="2" t="s">
        <v>99</v>
      </c>
      <c r="J114" s="45"/>
      <c r="AB114" s="47"/>
      <c r="AC114" s="9"/>
    </row>
    <row r="115" spans="2:29" x14ac:dyDescent="0.3">
      <c r="B115" s="2" t="s">
        <v>494</v>
      </c>
      <c r="E115" s="2" t="str">
        <f>IF($N$3=1, "ZB4E000S", " ")</f>
        <v xml:space="preserve"> </v>
      </c>
      <c r="G115" s="47" t="str">
        <f>IF($N$3=1, SUM($S$30:$S$34), " ")</f>
        <v xml:space="preserve"> </v>
      </c>
      <c r="H115" s="2" t="s">
        <v>99</v>
      </c>
      <c r="AB115" s="47"/>
      <c r="AC115" s="9"/>
    </row>
    <row r="116" spans="2:29" x14ac:dyDescent="0.3">
      <c r="B116" s="2" t="s">
        <v>337</v>
      </c>
      <c r="E116" s="2" t="str">
        <f>IF($N$3=1, IF($C$12=270, V59, IF($C$12=300, V60, IF($C$12=350, V61, IF($C$12=400, V62, IF($C$12=450, V63, IF($C$12=500, V64, IF($C$12=550, V65, IF($C$12=600, V66, IF($C$12=650, V67, " "))))))))), " ")</f>
        <v xml:space="preserve"> </v>
      </c>
      <c r="G116" s="47" t="str">
        <f>IF($N$3=1, SUM($T$30:$T$34), " ")</f>
        <v xml:space="preserve"> </v>
      </c>
      <c r="H116" s="2" t="s">
        <v>99</v>
      </c>
      <c r="AB116" s="47"/>
      <c r="AC116" s="9"/>
    </row>
    <row r="117" spans="2:29" x14ac:dyDescent="0.3">
      <c r="B117" s="2" t="s">
        <v>338</v>
      </c>
      <c r="E117" s="2" t="str">
        <f>IF($N$3=1, "ZF4.10I2", " ")</f>
        <v xml:space="preserve"> </v>
      </c>
      <c r="G117" s="47" t="str">
        <f>IF($N$3=1, SUM($N$30:$N$34)*2, " ")</f>
        <v xml:space="preserve"> </v>
      </c>
      <c r="H117" s="47" t="str">
        <f>IF($N$3=1, "verze na vruty: ZF4.1002", " ")</f>
        <v xml:space="preserve"> </v>
      </c>
      <c r="AB117" s="47"/>
      <c r="AC117" s="9"/>
    </row>
    <row r="118" spans="2:29" x14ac:dyDescent="0.3">
      <c r="B118" s="2" t="s">
        <v>530</v>
      </c>
      <c r="E118" s="2" t="str">
        <f>IF($N$3=1, "ZF4.50I2", " ")</f>
        <v xml:space="preserve"> </v>
      </c>
      <c r="G118" s="47" t="str">
        <f>IF($N$3=1, SUM($S$30:$S$34)*2, " ")</f>
        <v xml:space="preserve"> </v>
      </c>
      <c r="H118" s="47" t="str">
        <f>IF($N$3=1, "verze s vruty: ZF4.5012", " ")</f>
        <v xml:space="preserve"> </v>
      </c>
      <c r="AB118" s="47"/>
      <c r="AC118" s="9"/>
    </row>
    <row r="119" spans="2:29" x14ac:dyDescent="0.3">
      <c r="AB119" s="47"/>
      <c r="AC119" s="9"/>
    </row>
    <row r="120" spans="2:29" ht="14.5" x14ac:dyDescent="0.35">
      <c r="B120" s="98" t="s">
        <v>545</v>
      </c>
      <c r="AB120" s="47"/>
      <c r="AC120" s="9"/>
    </row>
    <row r="121" spans="2:29" x14ac:dyDescent="0.3">
      <c r="B121" s="2" t="s">
        <v>386</v>
      </c>
      <c r="D121" s="9"/>
      <c r="E121" s="2" t="s">
        <v>540</v>
      </c>
      <c r="G121" s="47">
        <f>G112</f>
        <v>0</v>
      </c>
      <c r="H121" s="2" t="s">
        <v>388</v>
      </c>
      <c r="L121" s="143"/>
      <c r="AB121" s="47"/>
      <c r="AC121" s="9"/>
    </row>
    <row r="122" spans="2:29" x14ac:dyDescent="0.3">
      <c r="B122" s="2" t="s">
        <v>389</v>
      </c>
      <c r="E122" s="2" t="str">
        <f>IF($N$3=1, R75, " ")</f>
        <v xml:space="preserve"> </v>
      </c>
      <c r="G122" s="47" t="str">
        <f>IF($N$3=1,ROUNDUP($S$75*G112, 0.1)," ")</f>
        <v xml:space="preserve"> </v>
      </c>
      <c r="L122" s="143"/>
      <c r="AB122" s="47"/>
      <c r="AC122" s="9"/>
    </row>
    <row r="123" spans="2:29" x14ac:dyDescent="0.3">
      <c r="B123" s="18"/>
      <c r="L123" s="143"/>
      <c r="AB123" s="47"/>
      <c r="AC123" s="9"/>
    </row>
    <row r="124" spans="2:29" x14ac:dyDescent="0.3">
      <c r="B124" s="161" t="s">
        <v>392</v>
      </c>
      <c r="L124" s="143"/>
      <c r="AB124" s="47"/>
      <c r="AC124" s="9"/>
    </row>
    <row r="125" spans="2:29" ht="15" x14ac:dyDescent="0.3">
      <c r="B125" s="160" t="s">
        <v>393</v>
      </c>
      <c r="C125" s="158" t="s">
        <v>394</v>
      </c>
      <c r="D125" s="160" t="s">
        <v>395</v>
      </c>
      <c r="E125" s="158" t="s">
        <v>396</v>
      </c>
      <c r="F125" s="158"/>
      <c r="G125" s="160" t="s">
        <v>393</v>
      </c>
      <c r="H125" s="158" t="s">
        <v>394</v>
      </c>
      <c r="I125" s="160" t="s">
        <v>395</v>
      </c>
      <c r="J125" s="158" t="s">
        <v>396</v>
      </c>
      <c r="L125" s="143"/>
      <c r="AB125" s="47"/>
      <c r="AC125" s="9"/>
    </row>
    <row r="126" spans="2:29" x14ac:dyDescent="0.3">
      <c r="B126" s="159" t="str">
        <f>IF($N$3=1, IF(OR($C$12=270, $C$12=300), "S0", "L1"), " ")</f>
        <v xml:space="preserve"> </v>
      </c>
      <c r="C126" s="45" t="str">
        <f>IF($N$3=1, IF(OR($C$12=270, $C$12=300), "≤ 10 kg", "≤ 20 kg"), " ")</f>
        <v xml:space="preserve"> </v>
      </c>
      <c r="D126" s="159" t="str">
        <f>IF($N$3=1, IF(OR($C$12=270, $C$12=300), "40", "40"), " ")</f>
        <v xml:space="preserve"> </v>
      </c>
      <c r="E126" s="159" t="str">
        <f>IF($N$3=1, IF(OR($C$12=270, $C$12=300), R69, R71), " ")</f>
        <v xml:space="preserve"> </v>
      </c>
      <c r="G126" s="18" t="str">
        <f>IF(AND(N3=1, C12=650), "nelze použít s lištami 65 kg!", " ")</f>
        <v xml:space="preserve"> </v>
      </c>
      <c r="L126" s="143"/>
      <c r="AB126" s="47"/>
      <c r="AC126" s="9"/>
    </row>
    <row r="127" spans="2:29" x14ac:dyDescent="0.3">
      <c r="B127" s="159" t="str">
        <f>IF($N$3=1, IF(OR($C$12=270, $C$12=300), "S1", "L3"), " ")</f>
        <v xml:space="preserve"> </v>
      </c>
      <c r="C127" s="45" t="str">
        <f>IF($N$3=1, IF(OR($C$12=270, $C$12=300), "10-20 kg", "15-40 kg"), " ")</f>
        <v xml:space="preserve"> </v>
      </c>
      <c r="D127" s="159" t="str">
        <f>IF($N$3=1, IF(OR($C$12=270, $C$12=300), "40", "40/70"), " ")</f>
        <v xml:space="preserve"> </v>
      </c>
      <c r="E127" s="159" t="str">
        <f>IF($N$3=1, IF(OR($C$12=270, $C$12=300), R70, R72), " ")</f>
        <v xml:space="preserve"> </v>
      </c>
      <c r="L127" s="143"/>
      <c r="AB127" s="47"/>
      <c r="AC127" s="9"/>
    </row>
    <row r="128" spans="2:29" x14ac:dyDescent="0.3">
      <c r="B128" s="159" t="str">
        <f>IF($N$3=1, IF(OR($C$12=270, $C$12=300), " ", "L5"), " ")</f>
        <v xml:space="preserve"> </v>
      </c>
      <c r="C128" s="45" t="str">
        <f>IF($N$3=1, IF(OR($C$12=270, $C$12=300), " ", "35-65 kg"), " ")</f>
        <v xml:space="preserve"> </v>
      </c>
      <c r="D128" s="159" t="str">
        <f>IF($N$3=1, IF(OR($C$12=270, $C$12=300), " ", "70"), " ")</f>
        <v xml:space="preserve"> </v>
      </c>
      <c r="E128" s="159" t="str">
        <f>IF($N$3=1, IF(OR($C$12=270, $C$12=300)," ", R73), " ")</f>
        <v xml:space="preserve"> </v>
      </c>
      <c r="L128" s="143"/>
      <c r="AB128" s="47"/>
      <c r="AC128" s="9"/>
    </row>
    <row r="129" spans="1:29" x14ac:dyDescent="0.3">
      <c r="B129" s="157" t="s">
        <v>397</v>
      </c>
      <c r="AB129" s="47"/>
      <c r="AC129" s="9"/>
    </row>
    <row r="130" spans="1:29" x14ac:dyDescent="0.3">
      <c r="B130" s="157"/>
      <c r="AB130" s="47"/>
      <c r="AC130" s="9"/>
    </row>
    <row r="131" spans="1:29" x14ac:dyDescent="0.3">
      <c r="B131" s="2" t="s">
        <v>555</v>
      </c>
      <c r="AB131" s="47"/>
      <c r="AC131" s="9"/>
    </row>
    <row r="132" spans="1:29" x14ac:dyDescent="0.3">
      <c r="B132" s="2" t="s">
        <v>556</v>
      </c>
      <c r="AB132" s="47"/>
      <c r="AC132" s="9"/>
    </row>
    <row r="133" spans="1:29" x14ac:dyDescent="0.3">
      <c r="B133" s="45" t="str">
        <f>IF(AND($N$3=1, $C$5&gt;799, OR($C$12=450, $C$12=500, $C$12=550, $C$12=600)), "*** vzhledem k šířce korpusu doporučujeme pro výsuvy výšky E lišty s nosností 70 kg", " ")</f>
        <v xml:space="preserve"> </v>
      </c>
    </row>
    <row r="134" spans="1:29" x14ac:dyDescent="0.3">
      <c r="B134" s="2" t="s">
        <v>544</v>
      </c>
    </row>
    <row r="141" spans="1:29" ht="14.5" thickBot="1" x14ac:dyDescent="0.35">
      <c r="A141" s="303"/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</row>
    <row r="142" spans="1:29" ht="19.5" customHeight="1" thickTop="1" x14ac:dyDescent="0.35">
      <c r="A142" s="303"/>
      <c r="B142" s="19" t="s">
        <v>340</v>
      </c>
      <c r="AC142" s="103" t="str">
        <f>$B$1</f>
        <v>MERIVOBOX</v>
      </c>
    </row>
    <row r="143" spans="1:29" x14ac:dyDescent="0.3">
      <c r="A143" s="303"/>
      <c r="AC143" s="102"/>
    </row>
    <row r="144" spans="1:29" x14ac:dyDescent="0.3">
      <c r="A144" s="303"/>
    </row>
    <row r="145" spans="1:1" x14ac:dyDescent="0.3">
      <c r="A145" s="303"/>
    </row>
    <row r="146" spans="1:1" x14ac:dyDescent="0.3">
      <c r="A146" s="303"/>
    </row>
    <row r="147" spans="1:1" x14ac:dyDescent="0.3">
      <c r="A147" s="303"/>
    </row>
    <row r="148" spans="1:1" x14ac:dyDescent="0.3">
      <c r="A148" s="303"/>
    </row>
    <row r="149" spans="1:1" x14ac:dyDescent="0.3">
      <c r="A149" s="303"/>
    </row>
    <row r="150" spans="1:1" x14ac:dyDescent="0.3">
      <c r="A150" s="303"/>
    </row>
    <row r="151" spans="1:1" x14ac:dyDescent="0.3">
      <c r="A151" s="303"/>
    </row>
    <row r="152" spans="1:1" x14ac:dyDescent="0.3">
      <c r="A152" s="303"/>
    </row>
    <row r="153" spans="1:1" x14ac:dyDescent="0.3">
      <c r="A153" s="303"/>
    </row>
    <row r="154" spans="1:1" x14ac:dyDescent="0.3">
      <c r="A154" s="303"/>
    </row>
    <row r="155" spans="1:1" x14ac:dyDescent="0.3">
      <c r="A155" s="303"/>
    </row>
    <row r="156" spans="1:1" x14ac:dyDescent="0.3">
      <c r="A156" s="303"/>
    </row>
    <row r="157" spans="1:1" x14ac:dyDescent="0.3">
      <c r="A157" s="303"/>
    </row>
    <row r="158" spans="1:1" x14ac:dyDescent="0.3">
      <c r="A158" s="303"/>
    </row>
    <row r="159" spans="1:1" x14ac:dyDescent="0.3">
      <c r="A159" s="303"/>
    </row>
    <row r="160" spans="1:1" x14ac:dyDescent="0.3">
      <c r="A160" s="303"/>
    </row>
    <row r="161" spans="1:53" x14ac:dyDescent="0.3">
      <c r="A161" s="303"/>
    </row>
    <row r="162" spans="1:53" x14ac:dyDescent="0.3">
      <c r="A162" s="303"/>
    </row>
    <row r="163" spans="1:53" x14ac:dyDescent="0.3">
      <c r="A163" s="303"/>
    </row>
    <row r="164" spans="1:53" x14ac:dyDescent="0.3">
      <c r="A164" s="303"/>
      <c r="B164" s="2" t="s">
        <v>341</v>
      </c>
    </row>
    <row r="165" spans="1:53" x14ac:dyDescent="0.3">
      <c r="A165" s="303"/>
      <c r="B165" s="2" t="s">
        <v>342</v>
      </c>
      <c r="Q165" s="2" t="s">
        <v>398</v>
      </c>
    </row>
    <row r="166" spans="1:53" x14ac:dyDescent="0.3">
      <c r="A166" s="303"/>
      <c r="B166" s="2" t="s">
        <v>343</v>
      </c>
    </row>
    <row r="167" spans="1:53" x14ac:dyDescent="0.3">
      <c r="A167" s="303"/>
      <c r="B167" s="2" t="s">
        <v>344</v>
      </c>
      <c r="AD167" s="341" t="s">
        <v>88</v>
      </c>
      <c r="AE167" s="341"/>
    </row>
    <row r="168" spans="1:53" x14ac:dyDescent="0.3">
      <c r="A168" s="303"/>
    </row>
    <row r="169" spans="1:53" x14ac:dyDescent="0.3">
      <c r="A169" s="303"/>
    </row>
    <row r="170" spans="1:53" x14ac:dyDescent="0.3">
      <c r="A170" s="303"/>
    </row>
    <row r="171" spans="1:53" ht="25" customHeight="1" x14ac:dyDescent="0.35">
      <c r="A171" s="303"/>
      <c r="AH171" s="99" t="s">
        <v>105</v>
      </c>
      <c r="AI171" s="17"/>
      <c r="AJ171" s="17"/>
      <c r="AK171" s="17"/>
      <c r="AL171" s="17"/>
      <c r="AM171" s="17"/>
      <c r="AN171" s="17"/>
      <c r="AO171" s="17"/>
      <c r="AP171" s="238" t="str">
        <f>AC41&amp;AC42</f>
        <v>MERIVOBOX</v>
      </c>
      <c r="AR171" s="180"/>
      <c r="AS171" s="215" t="str">
        <f t="shared" ref="AS171:AS178" si="6">B111</f>
        <v>popis</v>
      </c>
      <c r="AT171" s="215"/>
      <c r="AU171" s="215"/>
      <c r="AV171" s="215" t="str">
        <f t="shared" ref="AV171:AV178" si="7">E111</f>
        <v>označení</v>
      </c>
      <c r="AW171" s="215"/>
      <c r="AX171" s="217" t="str">
        <f t="shared" ref="AX171:AY178" si="8">G111</f>
        <v>počet</v>
      </c>
      <c r="AY171" s="218" t="str">
        <f t="shared" si="8"/>
        <v>poznámka</v>
      </c>
      <c r="AZ171" s="215"/>
      <c r="BA171" s="216" t="s">
        <v>107</v>
      </c>
    </row>
    <row r="172" spans="1:53" x14ac:dyDescent="0.3">
      <c r="A172" s="303"/>
      <c r="AH172" s="90">
        <f>C4</f>
        <v>0</v>
      </c>
      <c r="AI172" s="337" t="s">
        <v>239</v>
      </c>
      <c r="AJ172" s="337"/>
      <c r="AK172" s="337"/>
      <c r="AL172" s="337"/>
      <c r="AM172" s="17"/>
      <c r="AN172" s="17"/>
      <c r="AO172" s="17"/>
      <c r="AR172" s="81"/>
      <c r="AS172" s="2" t="str">
        <f t="shared" si="6"/>
        <v>Bočnice MERIVOBOX M</v>
      </c>
      <c r="AV172" s="2" t="str">
        <f t="shared" si="7"/>
        <v xml:space="preserve"> </v>
      </c>
      <c r="AX172" s="63">
        <f t="shared" si="8"/>
        <v>0</v>
      </c>
      <c r="AY172" s="47" t="str">
        <f t="shared" si="8"/>
        <v>zvolte barvu</v>
      </c>
      <c r="BA172" s="80"/>
    </row>
    <row r="173" spans="1:53" x14ac:dyDescent="0.3">
      <c r="A173" s="303"/>
      <c r="AH173" s="90">
        <f t="shared" ref="AH173:AH182" si="9">C5</f>
        <v>0</v>
      </c>
      <c r="AI173" s="337" t="s">
        <v>240</v>
      </c>
      <c r="AJ173" s="337"/>
      <c r="AK173" s="337"/>
      <c r="AL173" s="337"/>
      <c r="AM173" s="17"/>
      <c r="AN173" s="17"/>
      <c r="AO173" s="17"/>
      <c r="AR173" s="81"/>
      <c r="AS173" s="2" t="str">
        <f t="shared" si="6"/>
        <v>Korpusové lišty 40 kg</v>
      </c>
      <c r="AV173" s="2" t="str">
        <f t="shared" si="7"/>
        <v xml:space="preserve"> </v>
      </c>
      <c r="AX173" s="63" t="str">
        <f t="shared" si="8"/>
        <v xml:space="preserve"> </v>
      </c>
      <c r="AY173" s="47" t="str">
        <f t="shared" si="8"/>
        <v xml:space="preserve"> </v>
      </c>
      <c r="BA173" s="80"/>
    </row>
    <row r="174" spans="1:53" x14ac:dyDescent="0.3">
      <c r="A174" s="303"/>
      <c r="AH174" s="90">
        <f t="shared" si="9"/>
        <v>0</v>
      </c>
      <c r="AI174" s="337" t="s">
        <v>30</v>
      </c>
      <c r="AJ174" s="337"/>
      <c r="AK174" s="337"/>
      <c r="AL174" s="337"/>
      <c r="AM174" s="17"/>
      <c r="AN174" s="17"/>
      <c r="AO174" s="17"/>
      <c r="AR174" s="81"/>
      <c r="AS174" s="2" t="str">
        <f t="shared" si="6"/>
        <v>Držáky zad M</v>
      </c>
      <c r="AV174" s="2" t="str">
        <f t="shared" si="7"/>
        <v xml:space="preserve"> </v>
      </c>
      <c r="AX174" s="63" t="str">
        <f t="shared" si="8"/>
        <v xml:space="preserve"> </v>
      </c>
      <c r="AY174" s="47" t="str">
        <f t="shared" si="8"/>
        <v>zvolte barvu</v>
      </c>
      <c r="BA174" s="80"/>
    </row>
    <row r="175" spans="1:53" x14ac:dyDescent="0.3">
      <c r="A175" s="303"/>
      <c r="AH175" s="90">
        <f t="shared" si="9"/>
        <v>0</v>
      </c>
      <c r="AI175" s="337" t="s">
        <v>31</v>
      </c>
      <c r="AJ175" s="337"/>
      <c r="AK175" s="337"/>
      <c r="AL175" s="337"/>
      <c r="AM175" s="17"/>
      <c r="AN175" s="17"/>
      <c r="AO175" s="17"/>
      <c r="AR175" s="81"/>
      <c r="AS175" s="2" t="str">
        <f t="shared" si="6"/>
        <v>Držáky zad E</v>
      </c>
      <c r="AV175" s="2" t="str">
        <f t="shared" si="7"/>
        <v xml:space="preserve"> </v>
      </c>
      <c r="AX175" s="63" t="str">
        <f t="shared" si="8"/>
        <v xml:space="preserve"> </v>
      </c>
      <c r="AY175" s="47" t="str">
        <f t="shared" si="8"/>
        <v>zvolte barvu</v>
      </c>
      <c r="BA175" s="80"/>
    </row>
    <row r="176" spans="1:53" x14ac:dyDescent="0.3">
      <c r="A176" s="303"/>
      <c r="AH176" s="90">
        <f t="shared" si="9"/>
        <v>0</v>
      </c>
      <c r="AI176" s="337" t="s">
        <v>109</v>
      </c>
      <c r="AJ176" s="337"/>
      <c r="AK176" s="337"/>
      <c r="AL176" s="337"/>
      <c r="AM176" s="17"/>
      <c r="AN176" s="17"/>
      <c r="AO176" s="17"/>
      <c r="AR176" s="81"/>
      <c r="AS176" s="2" t="str">
        <f t="shared" si="6"/>
        <v>Podélný reling</v>
      </c>
      <c r="AV176" s="2" t="str">
        <f t="shared" si="7"/>
        <v xml:space="preserve"> </v>
      </c>
      <c r="AX176" s="63" t="str">
        <f t="shared" si="8"/>
        <v xml:space="preserve"> </v>
      </c>
      <c r="AY176" s="47" t="str">
        <f t="shared" si="8"/>
        <v>zvolte barvu</v>
      </c>
      <c r="BA176" s="80"/>
    </row>
    <row r="177" spans="1:53" x14ac:dyDescent="0.3">
      <c r="A177" s="303"/>
      <c r="AH177" s="90">
        <f t="shared" si="9"/>
        <v>0</v>
      </c>
      <c r="AI177" s="337" t="s">
        <v>33</v>
      </c>
      <c r="AJ177" s="337"/>
      <c r="AK177" s="337"/>
      <c r="AL177" s="337"/>
      <c r="AM177" s="17"/>
      <c r="AN177" s="17"/>
      <c r="AO177" s="17"/>
      <c r="AR177" s="81"/>
      <c r="AS177" s="2" t="str">
        <f t="shared" si="6"/>
        <v>Čelní kování INSERTA</v>
      </c>
      <c r="AV177" s="2" t="str">
        <f t="shared" si="7"/>
        <v xml:space="preserve"> </v>
      </c>
      <c r="AX177" s="63" t="str">
        <f t="shared" si="8"/>
        <v xml:space="preserve"> </v>
      </c>
      <c r="AY177" s="47" t="str">
        <f t="shared" si="8"/>
        <v xml:space="preserve"> </v>
      </c>
      <c r="BA177" s="80"/>
    </row>
    <row r="178" spans="1:53" x14ac:dyDescent="0.3">
      <c r="A178" s="303"/>
      <c r="AH178" s="90">
        <f t="shared" si="9"/>
        <v>0</v>
      </c>
      <c r="AI178" s="337" t="s">
        <v>34</v>
      </c>
      <c r="AJ178" s="337"/>
      <c r="AK178" s="337"/>
      <c r="AL178" s="337"/>
      <c r="AM178" s="17"/>
      <c r="AN178" s="17"/>
      <c r="AO178" s="17"/>
      <c r="AR178" s="81"/>
      <c r="AS178" s="2" t="str">
        <f t="shared" si="6"/>
        <v>Čelní úchyt nahoře, INSERTA</v>
      </c>
      <c r="AV178" s="2" t="str">
        <f t="shared" si="7"/>
        <v xml:space="preserve"> </v>
      </c>
      <c r="AX178" s="63" t="str">
        <f t="shared" si="8"/>
        <v xml:space="preserve"> </v>
      </c>
      <c r="AY178" s="47" t="str">
        <f t="shared" si="8"/>
        <v xml:space="preserve"> </v>
      </c>
      <c r="BA178" s="80"/>
    </row>
    <row r="179" spans="1:53" ht="14.5" x14ac:dyDescent="0.35">
      <c r="A179" s="303"/>
      <c r="AH179" s="90">
        <f t="shared" si="9"/>
        <v>0</v>
      </c>
      <c r="AI179" s="337" t="s">
        <v>35</v>
      </c>
      <c r="AJ179" s="337"/>
      <c r="AK179" s="337"/>
      <c r="AL179" s="337"/>
      <c r="AM179" s="17"/>
      <c r="AN179" s="17"/>
      <c r="AO179" s="17"/>
      <c r="AR179" s="81"/>
      <c r="AS179" s="98" t="str">
        <f>B120</f>
        <v>Volitelně - pokud TIP-ON BLUMOTION nechcete, následující položky neobjednávejte:</v>
      </c>
      <c r="AX179" s="63"/>
      <c r="BA179" s="80"/>
    </row>
    <row r="180" spans="1:53" x14ac:dyDescent="0.3">
      <c r="A180" s="303"/>
      <c r="AH180" s="90">
        <f t="shared" si="9"/>
        <v>0</v>
      </c>
      <c r="AI180" s="337" t="s">
        <v>345</v>
      </c>
      <c r="AJ180" s="337"/>
      <c r="AK180" s="337"/>
      <c r="AL180" s="337"/>
      <c r="AM180" s="17"/>
      <c r="AN180" s="17"/>
      <c r="AO180" s="17"/>
      <c r="AR180" s="81"/>
      <c r="AS180" s="2" t="str">
        <f>B121</f>
        <v>Sada TIP-ON BLUMOTION</v>
      </c>
      <c r="AV180" s="2" t="str">
        <f>E121</f>
        <v>T60H4xx0</v>
      </c>
      <c r="AX180" s="63">
        <f>G121</f>
        <v>0</v>
      </c>
      <c r="AY180" s="2" t="s">
        <v>399</v>
      </c>
      <c r="BA180" s="80"/>
    </row>
    <row r="181" spans="1:53" ht="14.15" customHeight="1" x14ac:dyDescent="0.3">
      <c r="A181" s="303"/>
      <c r="AH181" s="90">
        <f t="shared" si="9"/>
        <v>0</v>
      </c>
      <c r="AI181" s="337" t="s">
        <v>243</v>
      </c>
      <c r="AJ181" s="337"/>
      <c r="AK181" s="337"/>
      <c r="AL181" s="337"/>
      <c r="AM181" s="17"/>
      <c r="AN181" s="17"/>
      <c r="AO181" s="17"/>
      <c r="AR181" s="81"/>
      <c r="AS181" s="2" t="str">
        <f>B122</f>
        <v>Hřídel synchronizace</v>
      </c>
      <c r="AV181" s="2" t="str">
        <f>E122</f>
        <v xml:space="preserve"> </v>
      </c>
      <c r="AX181" s="63" t="str">
        <f>G122</f>
        <v xml:space="preserve"> </v>
      </c>
      <c r="AY181" s="47"/>
      <c r="BA181" s="80"/>
    </row>
    <row r="182" spans="1:53" ht="14.5" x14ac:dyDescent="0.35">
      <c r="A182" s="303"/>
      <c r="AH182" s="187" t="str">
        <f t="shared" si="9"/>
        <v>x</v>
      </c>
      <c r="AI182" s="336" t="s">
        <v>246</v>
      </c>
      <c r="AJ182" s="336"/>
      <c r="AK182" s="336"/>
      <c r="AL182" s="336"/>
      <c r="AM182" s="17"/>
      <c r="AN182" s="17"/>
      <c r="AO182" s="17"/>
      <c r="AR182" s="81"/>
      <c r="AS182" s="98" t="s">
        <v>557</v>
      </c>
      <c r="AT182" s="203"/>
      <c r="AU182" s="203"/>
      <c r="AW182" s="203"/>
      <c r="AX182" s="63"/>
      <c r="AY182" s="47"/>
      <c r="AZ182" s="203"/>
      <c r="BA182" s="188"/>
    </row>
    <row r="183" spans="1:53" ht="23.15" customHeight="1" x14ac:dyDescent="0.3">
      <c r="A183" s="303"/>
      <c r="AH183" s="140"/>
      <c r="AI183" s="140"/>
      <c r="AJ183" s="140"/>
      <c r="AK183" s="140"/>
      <c r="AL183" s="140"/>
      <c r="AM183" s="140"/>
      <c r="AN183" s="140"/>
      <c r="AO183" s="140"/>
      <c r="AP183" s="140"/>
      <c r="AQ183" s="140"/>
      <c r="AR183" s="178"/>
      <c r="AS183" s="239" t="str">
        <f>B132</f>
        <v>použijte brožuru nebo E-SERVICES. Hodnoty vrtání jsou shodné pro všechny varianty.</v>
      </c>
      <c r="AT183" s="140"/>
      <c r="AU183" s="140"/>
      <c r="AV183" s="140"/>
      <c r="AW183" s="140"/>
      <c r="AX183" s="140"/>
      <c r="AY183" s="140"/>
      <c r="AZ183" s="140"/>
      <c r="BA183" s="179"/>
    </row>
    <row r="184" spans="1:53" ht="25.5" customHeight="1" x14ac:dyDescent="0.35">
      <c r="A184" s="303"/>
      <c r="AH184" s="99" t="s">
        <v>106</v>
      </c>
      <c r="AQ184" s="11" t="str">
        <f>B134</f>
        <v>Barvy: IG-M = světle šedá | OG-M = tmavě šedá | SW-M = hedvábně bílá</v>
      </c>
    </row>
    <row r="185" spans="1:53" x14ac:dyDescent="0.3">
      <c r="A185" s="303"/>
      <c r="AH185" s="331" t="s">
        <v>249</v>
      </c>
      <c r="AI185" s="331" t="s">
        <v>250</v>
      </c>
      <c r="AJ185" s="331" t="s">
        <v>251</v>
      </c>
      <c r="AK185" s="332" t="s">
        <v>252</v>
      </c>
      <c r="AL185" s="333" t="s">
        <v>64</v>
      </c>
      <c r="AM185" s="334"/>
      <c r="AN185" s="335"/>
      <c r="AO185" s="333" t="s">
        <v>65</v>
      </c>
      <c r="AP185" s="335"/>
      <c r="AQ185" s="63"/>
      <c r="AR185" s="63"/>
      <c r="AU185" s="9" t="s">
        <v>289</v>
      </c>
    </row>
    <row r="186" spans="1:53" x14ac:dyDescent="0.3">
      <c r="A186" s="303"/>
      <c r="AH186" s="331"/>
      <c r="AI186" s="331"/>
      <c r="AJ186" s="331"/>
      <c r="AK186" s="332"/>
      <c r="AL186" s="62" t="s">
        <v>141</v>
      </c>
      <c r="AM186" s="62" t="s">
        <v>67</v>
      </c>
      <c r="AN186" s="62" t="s">
        <v>68</v>
      </c>
      <c r="AO186" s="62" t="s">
        <v>141</v>
      </c>
      <c r="AP186" s="62" t="s">
        <v>346</v>
      </c>
      <c r="AQ186" s="63"/>
      <c r="AR186" s="63"/>
      <c r="AX186" s="2" t="str">
        <f>$I$19</f>
        <v xml:space="preserve"> </v>
      </c>
    </row>
    <row r="187" spans="1:53" x14ac:dyDescent="0.3">
      <c r="A187" s="303"/>
      <c r="AH187" s="3" t="str">
        <f>B19</f>
        <v xml:space="preserve"> </v>
      </c>
      <c r="AI187" s="3">
        <f t="shared" ref="AI187:AP191" si="10">C19</f>
        <v>0</v>
      </c>
      <c r="AJ187" s="3" t="str">
        <f t="shared" si="10"/>
        <v xml:space="preserve"> </v>
      </c>
      <c r="AK187" s="111" t="str">
        <f t="shared" si="10"/>
        <v xml:space="preserve"> </v>
      </c>
      <c r="AL187" s="3" t="str">
        <f t="shared" si="10"/>
        <v xml:space="preserve"> </v>
      </c>
      <c r="AM187" s="3" t="str">
        <f t="shared" si="10"/>
        <v xml:space="preserve"> </v>
      </c>
      <c r="AN187" s="3" t="str">
        <f t="shared" si="10"/>
        <v xml:space="preserve"> </v>
      </c>
      <c r="AO187" s="3" t="str">
        <f t="shared" si="10"/>
        <v xml:space="preserve"> </v>
      </c>
      <c r="AP187" s="3" t="str">
        <f t="shared" si="10"/>
        <v xml:space="preserve"> </v>
      </c>
      <c r="AQ187" s="4"/>
      <c r="AR187" s="4"/>
      <c r="AU187" s="9" t="str">
        <f>$I$19</f>
        <v xml:space="preserve"> </v>
      </c>
    </row>
    <row r="188" spans="1:53" x14ac:dyDescent="0.3">
      <c r="A188" s="303"/>
      <c r="AH188" s="3" t="str">
        <f t="shared" ref="AH188:AH191" si="11">B20</f>
        <v xml:space="preserve"> </v>
      </c>
      <c r="AI188" s="3">
        <f t="shared" si="10"/>
        <v>0</v>
      </c>
      <c r="AJ188" s="3" t="str">
        <f t="shared" si="10"/>
        <v xml:space="preserve"> </v>
      </c>
      <c r="AK188" s="111" t="str">
        <f t="shared" si="10"/>
        <v xml:space="preserve"> </v>
      </c>
      <c r="AL188" s="3" t="str">
        <f t="shared" si="10"/>
        <v xml:space="preserve"> </v>
      </c>
      <c r="AM188" s="3" t="str">
        <f t="shared" si="10"/>
        <v xml:space="preserve"> </v>
      </c>
      <c r="AN188" s="3" t="str">
        <f t="shared" si="10"/>
        <v xml:space="preserve"> </v>
      </c>
      <c r="AO188" s="3" t="str">
        <f t="shared" si="10"/>
        <v xml:space="preserve"> </v>
      </c>
      <c r="AP188" s="3" t="str">
        <f t="shared" si="10"/>
        <v xml:space="preserve"> </v>
      </c>
      <c r="AQ188" s="4"/>
      <c r="AR188" s="4"/>
      <c r="AX188" s="2" t="str">
        <f>$I$20</f>
        <v xml:space="preserve"> </v>
      </c>
    </row>
    <row r="189" spans="1:53" x14ac:dyDescent="0.3">
      <c r="A189" s="303"/>
      <c r="AH189" s="3" t="str">
        <f t="shared" si="11"/>
        <v xml:space="preserve"> </v>
      </c>
      <c r="AI189" s="3">
        <f t="shared" si="10"/>
        <v>0</v>
      </c>
      <c r="AJ189" s="3" t="str">
        <f t="shared" si="10"/>
        <v xml:space="preserve"> </v>
      </c>
      <c r="AK189" s="111" t="str">
        <f t="shared" si="10"/>
        <v xml:space="preserve"> </v>
      </c>
      <c r="AL189" s="3" t="str">
        <f t="shared" si="10"/>
        <v xml:space="preserve"> </v>
      </c>
      <c r="AM189" s="3" t="str">
        <f t="shared" si="10"/>
        <v xml:space="preserve"> </v>
      </c>
      <c r="AN189" s="3" t="str">
        <f t="shared" si="10"/>
        <v xml:space="preserve"> </v>
      </c>
      <c r="AO189" s="3" t="str">
        <f t="shared" si="10"/>
        <v xml:space="preserve"> </v>
      </c>
      <c r="AP189" s="3" t="str">
        <f t="shared" si="10"/>
        <v xml:space="preserve"> </v>
      </c>
      <c r="AQ189" s="4"/>
      <c r="AR189" s="4"/>
      <c r="AU189" s="9" t="str">
        <f>$I$20</f>
        <v xml:space="preserve"> </v>
      </c>
    </row>
    <row r="190" spans="1:53" x14ac:dyDescent="0.3">
      <c r="A190" s="303"/>
      <c r="AH190" s="3" t="str">
        <f t="shared" si="11"/>
        <v xml:space="preserve"> </v>
      </c>
      <c r="AI190" s="3">
        <f t="shared" si="10"/>
        <v>0</v>
      </c>
      <c r="AJ190" s="3" t="str">
        <f t="shared" si="10"/>
        <v xml:space="preserve"> </v>
      </c>
      <c r="AK190" s="111" t="str">
        <f t="shared" si="10"/>
        <v xml:space="preserve"> </v>
      </c>
      <c r="AL190" s="3" t="str">
        <f t="shared" si="10"/>
        <v xml:space="preserve"> </v>
      </c>
      <c r="AM190" s="3" t="str">
        <f t="shared" si="10"/>
        <v xml:space="preserve"> </v>
      </c>
      <c r="AN190" s="3" t="str">
        <f t="shared" si="10"/>
        <v xml:space="preserve"> </v>
      </c>
      <c r="AO190" s="3" t="str">
        <f t="shared" si="10"/>
        <v xml:space="preserve"> </v>
      </c>
      <c r="AP190" s="3" t="str">
        <f t="shared" si="10"/>
        <v xml:space="preserve"> </v>
      </c>
      <c r="AQ190" s="4"/>
      <c r="AR190" s="4"/>
      <c r="AX190" s="2" t="str">
        <f>$I$21</f>
        <v xml:space="preserve"> </v>
      </c>
    </row>
    <row r="191" spans="1:53" x14ac:dyDescent="0.3">
      <c r="A191" s="303"/>
      <c r="AH191" s="3" t="str">
        <f t="shared" si="11"/>
        <v xml:space="preserve"> </v>
      </c>
      <c r="AI191" s="3">
        <f t="shared" si="10"/>
        <v>0</v>
      </c>
      <c r="AJ191" s="3" t="str">
        <f t="shared" si="10"/>
        <v xml:space="preserve"> </v>
      </c>
      <c r="AK191" s="111" t="str">
        <f t="shared" si="10"/>
        <v xml:space="preserve"> </v>
      </c>
      <c r="AL191" s="3" t="str">
        <f t="shared" si="10"/>
        <v xml:space="preserve"> </v>
      </c>
      <c r="AM191" s="3" t="str">
        <f t="shared" si="10"/>
        <v xml:space="preserve"> </v>
      </c>
      <c r="AN191" s="3" t="str">
        <f t="shared" si="10"/>
        <v xml:space="preserve"> </v>
      </c>
      <c r="AO191" s="3" t="str">
        <f t="shared" si="10"/>
        <v xml:space="preserve"> </v>
      </c>
      <c r="AP191" s="3" t="str">
        <f t="shared" si="10"/>
        <v xml:space="preserve"> </v>
      </c>
      <c r="AQ191" s="4"/>
      <c r="AR191" s="4"/>
      <c r="AU191" s="9" t="str">
        <f>$I$21</f>
        <v xml:space="preserve"> </v>
      </c>
    </row>
    <row r="192" spans="1:53" x14ac:dyDescent="0.3">
      <c r="A192" s="303"/>
      <c r="AX192" s="2" t="str">
        <f>$I$22</f>
        <v xml:space="preserve"> </v>
      </c>
    </row>
    <row r="193" spans="1:60" x14ac:dyDescent="0.3">
      <c r="A193" s="303"/>
      <c r="AH193" s="2" t="s">
        <v>284</v>
      </c>
      <c r="AU193" s="9" t="str">
        <f>$I$22</f>
        <v xml:space="preserve"> </v>
      </c>
    </row>
    <row r="194" spans="1:60" x14ac:dyDescent="0.3">
      <c r="A194" s="303"/>
      <c r="AH194" s="2" t="s">
        <v>285</v>
      </c>
      <c r="AX194" s="2" t="str">
        <f>$I$23</f>
        <v xml:space="preserve"> </v>
      </c>
    </row>
    <row r="195" spans="1:60" x14ac:dyDescent="0.3">
      <c r="A195" s="303"/>
      <c r="AH195" s="2" t="s">
        <v>546</v>
      </c>
      <c r="AU195" s="9" t="str">
        <f>$I$23</f>
        <v xml:space="preserve"> </v>
      </c>
      <c r="AX195" s="307">
        <v>0</v>
      </c>
    </row>
    <row r="196" spans="1:60" x14ac:dyDescent="0.3">
      <c r="A196" s="303"/>
      <c r="AH196" s="2" t="s">
        <v>287</v>
      </c>
      <c r="AX196" s="307"/>
    </row>
    <row r="197" spans="1:60" x14ac:dyDescent="0.3">
      <c r="A197" s="303"/>
    </row>
    <row r="198" spans="1:60" x14ac:dyDescent="0.3">
      <c r="A198" s="303"/>
    </row>
    <row r="199" spans="1:60" x14ac:dyDescent="0.3">
      <c r="A199" s="303"/>
      <c r="AI199" s="9" t="s">
        <v>43</v>
      </c>
      <c r="AN199" s="9" t="s">
        <v>311</v>
      </c>
      <c r="AT199" s="47" t="s">
        <v>312</v>
      </c>
      <c r="AY199" s="2" t="s">
        <v>290</v>
      </c>
    </row>
    <row r="200" spans="1:60" x14ac:dyDescent="0.3">
      <c r="A200" s="303"/>
      <c r="AI200" s="63" t="str">
        <f>$G$23</f>
        <v xml:space="preserve"> </v>
      </c>
    </row>
    <row r="201" spans="1:60" x14ac:dyDescent="0.3">
      <c r="A201" s="303"/>
      <c r="AY201" s="104" t="s">
        <v>291</v>
      </c>
      <c r="AZ201" s="31" t="str">
        <f>L49</f>
        <v xml:space="preserve"> </v>
      </c>
      <c r="BA201" s="104" t="s">
        <v>292</v>
      </c>
      <c r="BH201" s="112"/>
    </row>
    <row r="202" spans="1:60" x14ac:dyDescent="0.3">
      <c r="A202" s="303"/>
      <c r="AY202" s="63"/>
    </row>
    <row r="203" spans="1:60" x14ac:dyDescent="0.3">
      <c r="A203" s="303"/>
      <c r="AI203" s="15" t="str">
        <f>$G$23</f>
        <v xml:space="preserve"> </v>
      </c>
      <c r="AY203" s="104" t="s">
        <v>293</v>
      </c>
      <c r="AZ203" s="31"/>
      <c r="BA203" s="31"/>
    </row>
    <row r="204" spans="1:60" x14ac:dyDescent="0.3">
      <c r="A204" s="303"/>
      <c r="AY204" s="104" t="s">
        <v>489</v>
      </c>
      <c r="AZ204" s="31" t="str">
        <f>L52</f>
        <v xml:space="preserve"> </v>
      </c>
      <c r="BA204" s="104" t="s">
        <v>292</v>
      </c>
    </row>
    <row r="205" spans="1:60" x14ac:dyDescent="0.3">
      <c r="A205" s="303"/>
      <c r="AI205" s="15" t="str">
        <f>$G$23</f>
        <v xml:space="preserve"> </v>
      </c>
      <c r="AY205" s="104" t="s">
        <v>279</v>
      </c>
      <c r="AZ205" s="31" t="str">
        <f>L53</f>
        <v xml:space="preserve"> </v>
      </c>
      <c r="BA205" s="104" t="s">
        <v>292</v>
      </c>
    </row>
    <row r="206" spans="1:60" x14ac:dyDescent="0.3">
      <c r="A206" s="303"/>
      <c r="AY206" s="104" t="s">
        <v>294</v>
      </c>
      <c r="AZ206" s="31" t="str">
        <f>L54</f>
        <v xml:space="preserve"> </v>
      </c>
      <c r="BA206" s="104" t="s">
        <v>292</v>
      </c>
    </row>
    <row r="207" spans="1:60" x14ac:dyDescent="0.3">
      <c r="A207" s="303"/>
      <c r="AL207" s="47" t="str">
        <f>$F$23</f>
        <v xml:space="preserve"> </v>
      </c>
      <c r="AS207" s="63" t="str">
        <f>$F$22</f>
        <v xml:space="preserve"> </v>
      </c>
      <c r="AY207" s="104" t="s">
        <v>490</v>
      </c>
      <c r="AZ207" s="31" t="str">
        <f>L55</f>
        <v xml:space="preserve"> </v>
      </c>
      <c r="BA207" s="104" t="s">
        <v>292</v>
      </c>
    </row>
    <row r="208" spans="1:60" x14ac:dyDescent="0.3">
      <c r="A208" s="303"/>
      <c r="AI208" s="9" t="s">
        <v>269</v>
      </c>
      <c r="AJ208" s="5" t="str">
        <f>$F$22</f>
        <v xml:space="preserve"> </v>
      </c>
    </row>
    <row r="209" spans="1:48" x14ac:dyDescent="0.3">
      <c r="A209" s="303"/>
      <c r="AI209" s="9" t="s">
        <v>270</v>
      </c>
      <c r="AJ209" s="5" t="str">
        <f>$F$23</f>
        <v xml:space="preserve"> </v>
      </c>
      <c r="AM209" s="47" t="str">
        <f>$H$23</f>
        <v xml:space="preserve"> </v>
      </c>
      <c r="AP209" s="9" t="str">
        <f>$G$23</f>
        <v xml:space="preserve"> </v>
      </c>
      <c r="AT209" s="47" t="str">
        <f>$G$22</f>
        <v xml:space="preserve"> </v>
      </c>
      <c r="AV209" s="2" t="str">
        <f>$G$23</f>
        <v xml:space="preserve"> </v>
      </c>
    </row>
    <row r="210" spans="1:48" x14ac:dyDescent="0.3">
      <c r="A210" s="303"/>
    </row>
    <row r="211" spans="1:48" x14ac:dyDescent="0.3">
      <c r="A211" s="303"/>
    </row>
    <row r="212" spans="1:48" x14ac:dyDescent="0.3">
      <c r="A212" s="303"/>
    </row>
    <row r="213" spans="1:48" x14ac:dyDescent="0.3">
      <c r="A213" s="303"/>
    </row>
    <row r="214" spans="1:48" x14ac:dyDescent="0.3">
      <c r="A214" s="303"/>
    </row>
    <row r="215" spans="1:48" x14ac:dyDescent="0.3">
      <c r="A215" s="303"/>
    </row>
    <row r="216" spans="1:48" x14ac:dyDescent="0.3">
      <c r="A216" s="303"/>
    </row>
    <row r="217" spans="1:48" x14ac:dyDescent="0.3">
      <c r="A217" s="303"/>
    </row>
    <row r="218" spans="1:48" x14ac:dyDescent="0.3">
      <c r="A218" s="303"/>
    </row>
    <row r="219" spans="1:48" x14ac:dyDescent="0.3">
      <c r="A219" s="303"/>
    </row>
    <row r="220" spans="1:48" x14ac:dyDescent="0.3">
      <c r="A220" s="303"/>
    </row>
    <row r="221" spans="1:48" x14ac:dyDescent="0.3">
      <c r="A221" s="303"/>
    </row>
    <row r="222" spans="1:48" x14ac:dyDescent="0.3">
      <c r="A222" s="303"/>
    </row>
  </sheetData>
  <sheetProtection algorithmName="SHA-512" hashValue="zp0ld3e8R5c1MyAbssEXh1q/ont+VfNS7kBUwlIlcljzpEu8E5Iaj1iEKhcyxZOUyeVFjWgU5i12w7COvGeajA==" saltValue="6EUhnspeOnV7Xg+tjgOvrQ==" spinCount="100000" sheet="1" objects="1" scenarios="1"/>
  <mergeCells count="44">
    <mergeCell ref="D8:J8"/>
    <mergeCell ref="AF1:AG1"/>
    <mergeCell ref="D4:J4"/>
    <mergeCell ref="D5:J5"/>
    <mergeCell ref="D6:J6"/>
    <mergeCell ref="D7:J7"/>
    <mergeCell ref="I17:J17"/>
    <mergeCell ref="D9:J9"/>
    <mergeCell ref="D10:J10"/>
    <mergeCell ref="D11:J11"/>
    <mergeCell ref="D12:J12"/>
    <mergeCell ref="D13:J13"/>
    <mergeCell ref="D14:J14"/>
    <mergeCell ref="B17:B18"/>
    <mergeCell ref="C17:C18"/>
    <mergeCell ref="D17:D18"/>
    <mergeCell ref="E17:E18"/>
    <mergeCell ref="F17:H17"/>
    <mergeCell ref="Y19:Y23"/>
    <mergeCell ref="O28:P28"/>
    <mergeCell ref="Q28:S28"/>
    <mergeCell ref="A41:A108"/>
    <mergeCell ref="AD82:AE82"/>
    <mergeCell ref="AD112:AE112"/>
    <mergeCell ref="A141:A222"/>
    <mergeCell ref="AD167:AE167"/>
    <mergeCell ref="AI172:AL172"/>
    <mergeCell ref="AI173:AL173"/>
    <mergeCell ref="AI174:AL174"/>
    <mergeCell ref="AI175:AL175"/>
    <mergeCell ref="AI176:AL176"/>
    <mergeCell ref="AI177:AL177"/>
    <mergeCell ref="AI178:AL178"/>
    <mergeCell ref="AI179:AL179"/>
    <mergeCell ref="AH185:AH186"/>
    <mergeCell ref="AI185:AI186"/>
    <mergeCell ref="AJ185:AJ186"/>
    <mergeCell ref="AK185:AK186"/>
    <mergeCell ref="AL185:AN185"/>
    <mergeCell ref="AO185:AP185"/>
    <mergeCell ref="AX195:AX196"/>
    <mergeCell ref="AI180:AL180"/>
    <mergeCell ref="AI181:AL181"/>
    <mergeCell ref="AI182:AL182"/>
  </mergeCells>
  <conditionalFormatting sqref="C14">
    <cfRule type="colorScale" priority="8">
      <colorScale>
        <cfvo type="num" val="-0.1"/>
        <cfvo type="num" val="0"/>
        <cfvo type="num" val="1"/>
        <color rgb="FFFF0000"/>
        <color theme="9"/>
        <color rgb="FFFFFF00"/>
      </colorScale>
    </cfRule>
  </conditionalFormatting>
  <conditionalFormatting sqref="C19">
    <cfRule type="expression" dxfId="9" priority="2">
      <formula>AND($C$13&gt;4, $C$13&lt;6)</formula>
    </cfRule>
  </conditionalFormatting>
  <conditionalFormatting sqref="C20">
    <cfRule type="expression" dxfId="8" priority="3">
      <formula>AND($C$13&gt;3, $C$13&lt;6)</formula>
    </cfRule>
  </conditionalFormatting>
  <conditionalFormatting sqref="C21">
    <cfRule type="expression" dxfId="7" priority="4">
      <formula>AND($C$13&gt;2, $C$13&lt;6)</formula>
    </cfRule>
  </conditionalFormatting>
  <conditionalFormatting sqref="C22">
    <cfRule type="expression" dxfId="6" priority="5">
      <formula>AND($C$13&gt;1, $C$13&lt;6)</formula>
    </cfRule>
  </conditionalFormatting>
  <conditionalFormatting sqref="C23">
    <cfRule type="expression" dxfId="5" priority="1">
      <formula>AND($C$13&gt;0, $C$13&lt;6)</formula>
    </cfRule>
  </conditionalFormatting>
  <hyperlinks>
    <hyperlink ref="AD167:AE167" location="MVX!A1" tooltip="Zpět na plánování" display="Zpět" xr:uid="{C87DE8AB-8321-48AB-B731-BEDA692A5390}"/>
    <hyperlink ref="AF1" location="AVS!A1" tooltip="Úvodní strana AVENTOS" display="Úvod AVENTOS" xr:uid="{02040237-BD2B-41C7-B367-9D3C001F416F}"/>
    <hyperlink ref="AF1:AG1" location="BOX!A1" tooltip="Úvodní strana AVENTOS" display="► Úvod - box systémy" xr:uid="{DA065724-68FB-4707-A808-BAF303C7B8CB}"/>
    <hyperlink ref="AD112:AE112" location="MVX!A1" tooltip="Zpět na plánování" display="Zpět" xr:uid="{5C7EA81C-14BF-477A-9FA1-298D0D768549}"/>
    <hyperlink ref="AD82:AE82" location="MVX!A1" tooltip="Zpět na plánování" display="Zpět" xr:uid="{0A58E3E3-3246-4328-943D-4152D5A026FB}"/>
  </hyperlinks>
  <pageMargins left="0.23622047244094491" right="0.23622047244094491" top="0.55118110236220474" bottom="0.74803149606299213" header="0.31496062992125984" footer="0.31496062992125984"/>
  <pageSetup paperSize="9" scale="85" orientation="landscape" verticalDpi="599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64B543BB-3D64-456E-AF5A-9DF12801CA33}">
            <x14:iconSet showValue="0" custom="1">
              <x14:cfvo type="percent">
                <xm:f>0</xm:f>
              </x14:cfvo>
              <x14:cfvo type="num">
                <xm:f>1</xm:f>
              </x14:cfvo>
              <x14:cfvo type="num">
                <xm:f>6</xm:f>
              </x14:cfvo>
              <x14:cfIcon iconSet="NoIcons" iconId="0"/>
              <x14:cfIcon iconSet="3Symbols2" iconId="2"/>
              <x14:cfIcon iconSet="3Symbols2" iconId="0"/>
            </x14:iconSet>
          </x14:cfRule>
          <xm:sqref>B13</xm:sqref>
        </x14:conditionalFormatting>
        <x14:conditionalFormatting xmlns:xm="http://schemas.microsoft.com/office/excel/2006/main">
          <x14:cfRule type="iconSet" priority="7" id="{3D68A358-A650-4267-B400-91E97F6AB26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2"/>
              <x14:cfIcon iconSet="NoIcons" iconId="0"/>
            </x14:iconSet>
          </x14:cfRule>
          <xm:sqref>B14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O199"/>
  <sheetViews>
    <sheetView showGridLines="0" showRowColHeaders="0" topLeftCell="B1" zoomScaleNormal="100" workbookViewId="0">
      <selection activeCell="J30" sqref="J30"/>
    </sheetView>
  </sheetViews>
  <sheetFormatPr defaultColWidth="8.9140625" defaultRowHeight="14" x14ac:dyDescent="0.3"/>
  <cols>
    <col min="1" max="1" width="1" style="2" customWidth="1"/>
    <col min="2" max="2" width="8.9140625" style="2"/>
    <col min="3" max="3" width="8.9140625" style="2" customWidth="1"/>
    <col min="4" max="8" width="8.9140625" style="2"/>
    <col min="9" max="9" width="8.9140625" style="2" customWidth="1"/>
    <col min="10" max="10" width="8.9140625" style="2"/>
    <col min="11" max="11" width="0.83203125" style="2" customWidth="1"/>
    <col min="12" max="12" width="13.4140625" style="2" customWidth="1"/>
    <col min="13" max="13" width="9.1640625" style="2" hidden="1" customWidth="1"/>
    <col min="14" max="23" width="8.9140625" style="2" hidden="1" customWidth="1"/>
    <col min="24" max="24" width="18.9140625" style="2" hidden="1" customWidth="1"/>
    <col min="25" max="25" width="3.08203125" style="2" hidden="1" customWidth="1"/>
    <col min="26" max="26" width="7.5" style="2" customWidth="1"/>
    <col min="27" max="27" width="13.08203125" style="2" customWidth="1"/>
    <col min="28" max="29" width="7.5" style="2" customWidth="1"/>
    <col min="30" max="30" width="10.08203125" style="2" customWidth="1"/>
    <col min="31" max="31" width="1.25" style="2" customWidth="1"/>
    <col min="32" max="32" width="12.58203125" style="2" customWidth="1"/>
    <col min="33" max="33" width="8.9140625" style="2"/>
    <col min="34" max="34" width="7.33203125" style="2" customWidth="1"/>
    <col min="35" max="35" width="6.58203125" style="2" customWidth="1"/>
    <col min="36" max="36" width="8.9140625" style="2"/>
    <col min="37" max="42" width="6.58203125" style="2" customWidth="1"/>
    <col min="43" max="43" width="4.25" style="2" customWidth="1"/>
    <col min="44" max="44" width="1" style="2" customWidth="1"/>
    <col min="45" max="45" width="7.33203125" style="2" customWidth="1"/>
    <col min="46" max="48" width="8.9140625" style="2"/>
    <col min="49" max="49" width="5.25" style="2" customWidth="1"/>
    <col min="50" max="50" width="6.25" style="2" customWidth="1"/>
    <col min="51" max="16384" width="8.9140625" style="2"/>
  </cols>
  <sheetData>
    <row r="1" spans="2:34" ht="25" customHeight="1" x14ac:dyDescent="0.5">
      <c r="B1" s="1" t="s">
        <v>235</v>
      </c>
      <c r="AF1" s="330" t="s">
        <v>237</v>
      </c>
      <c r="AG1" s="330"/>
      <c r="AH1" s="196"/>
    </row>
    <row r="2" spans="2:34" ht="20.149999999999999" customHeight="1" x14ac:dyDescent="0.4">
      <c r="B2" s="22"/>
      <c r="AF2" s="196"/>
      <c r="AG2" s="196"/>
      <c r="AH2" s="196"/>
    </row>
    <row r="3" spans="2:34" ht="16.5" customHeight="1" x14ac:dyDescent="0.3">
      <c r="B3" s="6"/>
      <c r="C3" s="17" t="s">
        <v>108</v>
      </c>
      <c r="D3" s="17"/>
      <c r="E3" s="17"/>
      <c r="F3" s="17"/>
      <c r="G3" s="17"/>
      <c r="H3" s="17"/>
      <c r="I3" s="17"/>
      <c r="J3" s="17"/>
      <c r="M3" s="9" t="s">
        <v>24</v>
      </c>
      <c r="N3" s="63">
        <f>IF(AND(C4&gt;0, C5&gt;199, C5&lt;1401, C9&gt;=2,C6&gt;=14, C7&gt;=14, N12=1, N13=1),1,2)</f>
        <v>2</v>
      </c>
      <c r="O3" s="2" t="s">
        <v>25</v>
      </c>
      <c r="AB3" s="355"/>
      <c r="AC3" s="355"/>
      <c r="AD3" s="355"/>
    </row>
    <row r="4" spans="2:34" ht="16.5" customHeight="1" x14ac:dyDescent="0.3">
      <c r="B4" s="6"/>
      <c r="C4" s="78"/>
      <c r="D4" s="337" t="s">
        <v>239</v>
      </c>
      <c r="E4" s="337"/>
      <c r="F4" s="337"/>
      <c r="G4" s="337"/>
      <c r="H4" s="337"/>
      <c r="I4" s="337"/>
      <c r="J4" s="337"/>
      <c r="M4" s="9"/>
      <c r="N4" s="63"/>
      <c r="O4" s="2" t="s">
        <v>27</v>
      </c>
      <c r="AB4" s="234"/>
      <c r="AC4" s="234"/>
      <c r="AD4" s="234"/>
    </row>
    <row r="5" spans="2:34" ht="16.5" customHeight="1" x14ac:dyDescent="0.3">
      <c r="B5" s="6"/>
      <c r="C5" s="78"/>
      <c r="D5" s="337" t="s">
        <v>240</v>
      </c>
      <c r="E5" s="337"/>
      <c r="F5" s="337"/>
      <c r="G5" s="337"/>
      <c r="H5" s="337"/>
      <c r="I5" s="337"/>
      <c r="J5" s="337"/>
      <c r="L5" s="18" t="str">
        <f>IF(OR(C5&lt;200,C5&gt;1400),"min.200, max.1400"," ")</f>
        <v>min.200, max.1400</v>
      </c>
      <c r="M5" s="9"/>
      <c r="N5" s="63"/>
      <c r="AB5" s="234"/>
      <c r="AC5" s="234"/>
      <c r="AD5" s="234"/>
    </row>
    <row r="6" spans="2:34" ht="16.5" customHeight="1" x14ac:dyDescent="0.3">
      <c r="B6" s="6"/>
      <c r="C6" s="78"/>
      <c r="D6" s="337" t="s">
        <v>30</v>
      </c>
      <c r="E6" s="337"/>
      <c r="F6" s="337"/>
      <c r="G6" s="337"/>
      <c r="H6" s="337"/>
      <c r="I6" s="337"/>
      <c r="J6" s="337"/>
      <c r="L6" s="12" t="str">
        <f>IF(C6&lt;14,"Minimálně 14 mm!"," ")</f>
        <v>Minimálně 14 mm!</v>
      </c>
      <c r="AC6" s="224"/>
      <c r="AD6" s="224"/>
    </row>
    <row r="7" spans="2:34" ht="16.5" customHeight="1" x14ac:dyDescent="0.3">
      <c r="B7" s="6"/>
      <c r="C7" s="78"/>
      <c r="D7" s="337" t="s">
        <v>31</v>
      </c>
      <c r="E7" s="337"/>
      <c r="F7" s="337"/>
      <c r="G7" s="337"/>
      <c r="H7" s="337"/>
      <c r="I7" s="337"/>
      <c r="J7" s="337"/>
      <c r="L7" s="12" t="str">
        <f>IF(C7&lt;14,"Minimálně 14 mm!"," ")</f>
        <v>Minimálně 14 mm!</v>
      </c>
      <c r="AC7" s="224"/>
      <c r="AD7" s="224"/>
    </row>
    <row r="8" spans="2:34" ht="16.5" customHeight="1" x14ac:dyDescent="0.3">
      <c r="B8" s="6"/>
      <c r="C8" s="78"/>
      <c r="D8" s="337" t="s">
        <v>109</v>
      </c>
      <c r="E8" s="337"/>
      <c r="F8" s="337"/>
      <c r="G8" s="337"/>
      <c r="H8" s="337"/>
      <c r="I8" s="337"/>
      <c r="J8" s="337"/>
      <c r="L8" s="12"/>
      <c r="AC8" s="224"/>
      <c r="AD8" s="224"/>
    </row>
    <row r="9" spans="2:34" ht="16.5" customHeight="1" x14ac:dyDescent="0.3">
      <c r="B9" s="6"/>
      <c r="C9" s="78"/>
      <c r="D9" s="337" t="s">
        <v>33</v>
      </c>
      <c r="E9" s="337"/>
      <c r="F9" s="337"/>
      <c r="G9" s="337"/>
      <c r="H9" s="337"/>
      <c r="I9" s="337"/>
      <c r="J9" s="337"/>
      <c r="L9" s="12" t="str">
        <f>IF(C9&lt;2,"Minimálně 2 mm!"," ")</f>
        <v>Minimálně 2 mm!</v>
      </c>
      <c r="AC9" s="46"/>
      <c r="AD9" s="46"/>
    </row>
    <row r="10" spans="2:34" ht="16.5" customHeight="1" x14ac:dyDescent="0.3">
      <c r="B10" s="6"/>
      <c r="C10" s="78"/>
      <c r="D10" s="337" t="s">
        <v>34</v>
      </c>
      <c r="E10" s="337"/>
      <c r="F10" s="337"/>
      <c r="G10" s="337"/>
      <c r="H10" s="337"/>
      <c r="I10" s="337"/>
      <c r="J10" s="337"/>
    </row>
    <row r="11" spans="2:34" ht="16.5" customHeight="1" x14ac:dyDescent="0.3">
      <c r="B11" s="6"/>
      <c r="C11" s="78"/>
      <c r="D11" s="337" t="s">
        <v>35</v>
      </c>
      <c r="E11" s="337"/>
      <c r="F11" s="337"/>
      <c r="G11" s="337"/>
      <c r="H11" s="337"/>
      <c r="I11" s="337"/>
      <c r="J11" s="337"/>
      <c r="AC11" s="224"/>
      <c r="AD11" s="224"/>
    </row>
    <row r="12" spans="2:34" ht="16.5" customHeight="1" x14ac:dyDescent="0.3">
      <c r="B12" s="6"/>
      <c r="C12" s="79"/>
      <c r="D12" s="348" t="s">
        <v>241</v>
      </c>
      <c r="E12" s="349"/>
      <c r="F12" s="349"/>
      <c r="G12" s="349"/>
      <c r="H12" s="349"/>
      <c r="I12" s="349"/>
      <c r="J12" s="350"/>
      <c r="K12"/>
      <c r="L12" s="14" t="str">
        <f>IF((OR($C$12=0, $N$12=1)), " ", "Nesprávná hodnota***")</f>
        <v xml:space="preserve"> </v>
      </c>
      <c r="M12" s="114" t="s">
        <v>242</v>
      </c>
      <c r="N12" s="20">
        <f>IF(OR(C12=270, C12=300, C12=350, C12=400, C12=450, C12=500, C12=550, C12=600, C12=650), 1, 2)</f>
        <v>2</v>
      </c>
      <c r="O12"/>
      <c r="P12"/>
      <c r="AC12" s="224"/>
      <c r="AD12" s="224"/>
    </row>
    <row r="13" spans="2:34" ht="16.5" customHeight="1" thickBot="1" x14ac:dyDescent="0.35">
      <c r="B13" s="124"/>
      <c r="C13" s="119"/>
      <c r="D13" s="351" t="s">
        <v>243</v>
      </c>
      <c r="E13" s="352"/>
      <c r="F13" s="352"/>
      <c r="G13" s="352"/>
      <c r="H13" s="352"/>
      <c r="I13" s="352"/>
      <c r="J13" s="353"/>
      <c r="K13"/>
      <c r="L13" s="18" t="str">
        <f>IF(OR(C13&lt;1,C13&gt;5),"min.1, max.5"," ")</f>
        <v>min.1, max.5</v>
      </c>
      <c r="M13" s="114" t="s">
        <v>244</v>
      </c>
      <c r="N13" s="20">
        <f>IF(OR(C13&lt;1, C13&gt;5), 2, 1)</f>
        <v>2</v>
      </c>
      <c r="O13" s="114" t="s">
        <v>245</v>
      </c>
      <c r="P13"/>
      <c r="AC13" s="224"/>
      <c r="AD13" s="224"/>
    </row>
    <row r="14" spans="2:34" ht="16.5" customHeight="1" thickBot="1" x14ac:dyDescent="0.35">
      <c r="B14" s="125" t="str">
        <f>C14</f>
        <v>x</v>
      </c>
      <c r="C14" s="121" t="str">
        <f>IF(N3=1, C4-O14, "x")</f>
        <v>x</v>
      </c>
      <c r="D14" s="345" t="s">
        <v>246</v>
      </c>
      <c r="E14" s="346"/>
      <c r="F14" s="346"/>
      <c r="G14" s="346"/>
      <c r="H14" s="346"/>
      <c r="I14" s="346"/>
      <c r="J14" s="347"/>
      <c r="M14" s="9" t="s">
        <v>247</v>
      </c>
      <c r="N14" s="63">
        <f>IF($C$14&gt;=0, 1, 2)</f>
        <v>1</v>
      </c>
      <c r="O14" s="75">
        <f>IF($C13&gt;0, $V18, 0)</f>
        <v>0</v>
      </c>
      <c r="P14" s="113" t="s">
        <v>248</v>
      </c>
      <c r="AC14" s="224"/>
      <c r="AD14" s="224"/>
    </row>
    <row r="15" spans="2:34" ht="16.5" customHeight="1" x14ac:dyDescent="0.3">
      <c r="B15" s="6"/>
      <c r="C15" s="14" t="str">
        <f>IF(N3=2, "Vyplňte správně všechny parametry!", IF(C14&lt;0, "Součet výšek čel je větší než výška korpusu!", " "))</f>
        <v>Vyplňte správně všechny parametry!</v>
      </c>
      <c r="D15" s="5"/>
      <c r="E15" s="5"/>
      <c r="F15" s="5"/>
      <c r="G15" s="5"/>
      <c r="H15" s="5"/>
      <c r="I15" s="5"/>
      <c r="J15" s="5"/>
    </row>
    <row r="16" spans="2:34" x14ac:dyDescent="0.3">
      <c r="N16" s="63"/>
      <c r="O16" s="63"/>
      <c r="P16" s="63"/>
      <c r="Q16" s="63"/>
      <c r="R16" s="63"/>
      <c r="S16" s="63"/>
      <c r="T16" s="63"/>
      <c r="U16" s="63"/>
      <c r="V16" s="63"/>
      <c r="W16" s="63"/>
    </row>
    <row r="17" spans="2:30" ht="15" customHeight="1" x14ac:dyDescent="0.3">
      <c r="B17" s="331" t="s">
        <v>249</v>
      </c>
      <c r="C17" s="331" t="s">
        <v>250</v>
      </c>
      <c r="D17" s="331" t="s">
        <v>251</v>
      </c>
      <c r="E17" s="332" t="s">
        <v>252</v>
      </c>
      <c r="F17" s="354" t="s">
        <v>64</v>
      </c>
      <c r="G17" s="354"/>
      <c r="H17" s="354"/>
      <c r="I17" s="354" t="s">
        <v>65</v>
      </c>
      <c r="J17" s="354"/>
      <c r="N17" s="13"/>
      <c r="O17" s="13"/>
      <c r="P17" s="13"/>
      <c r="Q17" s="13"/>
      <c r="R17" s="13"/>
      <c r="S17" s="109" t="s">
        <v>253</v>
      </c>
      <c r="T17" s="106" t="s">
        <v>254</v>
      </c>
      <c r="U17" s="104" t="s">
        <v>255</v>
      </c>
      <c r="V17" s="63"/>
    </row>
    <row r="18" spans="2:30" ht="15" customHeight="1" x14ac:dyDescent="0.35">
      <c r="B18" s="331"/>
      <c r="C18" s="331"/>
      <c r="D18" s="331"/>
      <c r="E18" s="332"/>
      <c r="F18" s="62" t="s">
        <v>141</v>
      </c>
      <c r="G18" s="62" t="s">
        <v>67</v>
      </c>
      <c r="H18" s="62" t="s">
        <v>68</v>
      </c>
      <c r="I18" s="62" t="s">
        <v>141</v>
      </c>
      <c r="J18" s="62" t="s">
        <v>256</v>
      </c>
      <c r="N18" s="63"/>
      <c r="O18" s="63"/>
      <c r="P18" s="63"/>
      <c r="Q18" s="63"/>
      <c r="R18" s="63"/>
      <c r="S18" s="109" t="s">
        <v>257</v>
      </c>
      <c r="T18" s="106" t="s">
        <v>257</v>
      </c>
      <c r="U18" s="104" t="s">
        <v>258</v>
      </c>
      <c r="V18" s="108">
        <f>SUM(V19:V23)</f>
        <v>0</v>
      </c>
      <c r="W18" s="2" t="s">
        <v>259</v>
      </c>
      <c r="X18" s="2" t="s">
        <v>260</v>
      </c>
      <c r="AC18" s="2" t="s">
        <v>43</v>
      </c>
    </row>
    <row r="19" spans="2:30" ht="27" customHeight="1" x14ac:dyDescent="0.3">
      <c r="B19" s="3" t="str">
        <f>IF(AND($C$13&gt;4, $C$13&lt;6), 5, " ")</f>
        <v xml:space="preserve"> </v>
      </c>
      <c r="C19" s="117"/>
      <c r="D19" s="3" t="str">
        <f>IF(OR($C19=0,$N$3=2,$N$14=2,$C$13&lt;5)," ",$U19)</f>
        <v xml:space="preserve"> </v>
      </c>
      <c r="E19" s="111" t="str">
        <f>IF(OR(C19=0,$N$3=2, $N$14=2, U19="nelze",$C$13&lt;5), " ", S19)</f>
        <v xml:space="preserve"> </v>
      </c>
      <c r="F19" s="3" t="str">
        <f>IF(OR($C$22=0,$N$3=2,$N$14=2,U19="nelze",$C$13&lt;5)," ",$N$22)</f>
        <v xml:space="preserve"> </v>
      </c>
      <c r="G19" s="3" t="str">
        <f>IF(OR($C$22=0,$N$3=2,$N$14=2,U19="nelze",$C$13&lt;5)," ",$O$22+$C$7-$C$11)</f>
        <v xml:space="preserve"> </v>
      </c>
      <c r="H19" s="3" t="str">
        <f>G19</f>
        <v xml:space="preserve"> </v>
      </c>
      <c r="I19" s="3" t="str">
        <f>IF(OR($C$19=0,$N$3=2,$N$14=2,$U$19="nelze",$C$13&lt;5)," ",$C$23+$C$22+$C$21+$C$20+$C$10+$C$9*4+$Q$22)</f>
        <v xml:space="preserve"> </v>
      </c>
      <c r="J19" s="3" t="str">
        <f>IF(OR($N$3=2,$C$22=0,$N$14=2,U19="nelze",$C$13&lt;5)," ",$R$22)</f>
        <v xml:space="preserve"> </v>
      </c>
      <c r="L19" s="126" t="str">
        <f>IF(AND($C$13&lt;5,C19&gt;0),"◄nevyplňovat!"," ")</f>
        <v xml:space="preserve"> </v>
      </c>
      <c r="S19" s="110">
        <f t="shared" ref="S19:S21" si="0">SUM(T19, -24, -16)</f>
        <v>-40</v>
      </c>
      <c r="T19" s="107">
        <f>SUM(C19,-C6,C8)</f>
        <v>0</v>
      </c>
      <c r="U19" s="105" t="str">
        <f>IF(T19&gt;=258,"M/K/C/F",IF(T19&gt;=194,"M/K/C",IF(T19&gt;=144,"M/K", IF(T19&gt;=106,"M", "nelze"))))</f>
        <v>nelze</v>
      </c>
      <c r="V19" s="58">
        <f>IF(C13=5, SUM(C19, $C$8), 0)</f>
        <v>0</v>
      </c>
      <c r="W19" s="9" t="str">
        <f>$I$19</f>
        <v xml:space="preserve"> </v>
      </c>
      <c r="X19" s="10" t="s">
        <v>262</v>
      </c>
      <c r="Y19" s="342" t="str">
        <f>M17&amp;" "&amp;IF(C19&gt;0,R17,IF(C20&gt;0,Q17,IF(C21&gt;0,P17,IF(C22&gt;0,O17,IF(C23&gt;0,N17,0)))))</f>
        <v xml:space="preserve"> 0</v>
      </c>
      <c r="Z19" s="9" t="str">
        <f>$I$19</f>
        <v xml:space="preserve"> </v>
      </c>
      <c r="AC19" s="63" t="str">
        <f>$G$23</f>
        <v xml:space="preserve"> </v>
      </c>
    </row>
    <row r="20" spans="2:30" ht="27" customHeight="1" x14ac:dyDescent="0.3">
      <c r="B20" s="3" t="str">
        <f>IF(AND($C$13&gt;3, $C$13&lt;6), 4, " ")</f>
        <v xml:space="preserve"> </v>
      </c>
      <c r="C20" s="117"/>
      <c r="D20" s="3" t="str">
        <f>IF(OR($C20=0,$N$3=2,$N$14=2,$C$13&lt;4)," ",$U20)</f>
        <v xml:space="preserve"> </v>
      </c>
      <c r="E20" s="111" t="str">
        <f>IF(OR(C20=0,$N$3=2, $N$14=2, U20="nelze",$C$13&lt;4), " ", S20)</f>
        <v xml:space="preserve"> </v>
      </c>
      <c r="F20" s="3" t="str">
        <f>IF(OR($C$22=0,$N$3=2,$N$14=2,U20="nelze",$C$13&lt;4)," ",$N$22)</f>
        <v xml:space="preserve"> </v>
      </c>
      <c r="G20" s="3" t="str">
        <f>IF(OR($C$22=0,$N$3=2,$N$14=2,U20="nelze",$C$13&lt;4)," ",$O$22+$C$7-$C$11)</f>
        <v xml:space="preserve"> </v>
      </c>
      <c r="H20" s="3" t="str">
        <f>G20</f>
        <v xml:space="preserve"> </v>
      </c>
      <c r="I20" s="3" t="str">
        <f>IF(OR($C$20=0,$N$3=2,$N$14=2,$U$20="nelze", C13&lt;4)," ",$C$23+$C$22+$C$21+$C$10+$C$9*3+$Q$22)</f>
        <v xml:space="preserve"> </v>
      </c>
      <c r="J20" s="3" t="str">
        <f>IF(OR($N$3=2,$C$22=0,$N$14=2,U20="nelze",$C$13&lt;4)," ",$R$22)</f>
        <v xml:space="preserve"> </v>
      </c>
      <c r="L20" s="126" t="str">
        <f>IF(AND($C$13&lt;4,C20&gt;0),"◄nevyplňovat!"," ")</f>
        <v xml:space="preserve"> </v>
      </c>
      <c r="S20" s="110">
        <f t="shared" si="0"/>
        <v>-40</v>
      </c>
      <c r="T20" s="107">
        <f>IF($C$13=4, $C20-$C$6+$C$8, $C20)</f>
        <v>0</v>
      </c>
      <c r="U20" s="105" t="str">
        <f>IF(T20&gt;=258,"M/K/C/F",IF(T20&gt;=194,"M/K/C",IF(T20&gt;=144,"M/K", IF(T20&gt;=106,"M", "nelze"))))</f>
        <v>nelze</v>
      </c>
      <c r="V20" s="58">
        <f>IF($C$13&gt;4, SUM(C20, $C$9), IF($C$13=4, SUM(C20, $C$8), 0))</f>
        <v>0</v>
      </c>
      <c r="W20" s="9" t="str">
        <f>$I$20</f>
        <v xml:space="preserve"> </v>
      </c>
      <c r="X20" s="8" t="s">
        <v>263</v>
      </c>
      <c r="Y20" s="343"/>
      <c r="Z20" s="9" t="str">
        <f>$I$20</f>
        <v xml:space="preserve"> </v>
      </c>
    </row>
    <row r="21" spans="2:30" ht="27" customHeight="1" x14ac:dyDescent="0.3">
      <c r="B21" s="3" t="str">
        <f>IF(AND($C$13&gt;2, $C$13&lt;6), 3, " ")</f>
        <v xml:space="preserve"> </v>
      </c>
      <c r="C21" s="117"/>
      <c r="D21" s="3" t="str">
        <f>IF(OR($C21=0,$N$3=2,$N$14=2,$C$13&lt;3)," ",$U21)</f>
        <v xml:space="preserve"> </v>
      </c>
      <c r="E21" s="111" t="str">
        <f>IF(OR(C21=0,$N$3=2, $N$14=2, U21="nelze",$C$13&lt;3), " ", S21)</f>
        <v xml:space="preserve"> </v>
      </c>
      <c r="F21" s="3" t="str">
        <f>IF(OR($C$22=0,$N$3=2,$N$14=2,U21="nelze",$C$13&lt;3)," ",$N$22)</f>
        <v xml:space="preserve"> </v>
      </c>
      <c r="G21" s="3" t="str">
        <f>IF(OR($C$22=0,$N$3=2,$N$14=2,U21="nelze",$C$13&lt;3)," ",$O$22+$C$7-$C$11)</f>
        <v xml:space="preserve"> </v>
      </c>
      <c r="H21" s="3" t="str">
        <f>G21</f>
        <v xml:space="preserve"> </v>
      </c>
      <c r="I21" s="3" t="str">
        <f>IF(OR($C$21=0,$N$3=2,$N$14=2,$U$21="nelze",C13&lt;3)," ",$C$23+$C$22+$C$10+$C$9*2+$Q$22)</f>
        <v xml:space="preserve"> </v>
      </c>
      <c r="J21" s="3" t="str">
        <f>IF(OR($N$3=2,$C$22=0,$N$14=2,U21="nelze",$C$13&lt;3)," ",$R$22)</f>
        <v xml:space="preserve"> </v>
      </c>
      <c r="L21" s="126" t="str">
        <f>IF(AND($C$13&lt;3,C21&gt;0),"◄nevyplňovat!"," ")</f>
        <v xml:space="preserve"> </v>
      </c>
      <c r="M21" s="4"/>
      <c r="S21" s="110">
        <f t="shared" si="0"/>
        <v>-40</v>
      </c>
      <c r="T21" s="107">
        <f>IF($C$13=3, $C21-$C$6+$C$8, $C21)</f>
        <v>0</v>
      </c>
      <c r="U21" s="105" t="str">
        <f t="shared" ref="U21:U22" si="1">IF(T21&gt;257.9,"M/K/C/F",IF(T21&gt;193.9,"M/K/C",IF(T21&gt;143.9,"M/K", IF(T21&gt;105.9,"M", "nelze"))))</f>
        <v>nelze</v>
      </c>
      <c r="V21" s="58">
        <f>IF($C$13&gt;3, SUM(C21, $C$9), IF($C$13=3, SUM(C21, $C$8), 0))</f>
        <v>0</v>
      </c>
      <c r="W21" s="9" t="str">
        <f>$I$21</f>
        <v xml:space="preserve"> </v>
      </c>
      <c r="X21" s="8" t="s">
        <v>264</v>
      </c>
      <c r="Y21" s="343"/>
      <c r="Z21" s="9" t="str">
        <f>$I$21</f>
        <v xml:space="preserve"> </v>
      </c>
      <c r="AC21" s="15" t="str">
        <f>$G$23</f>
        <v xml:space="preserve"> </v>
      </c>
    </row>
    <row r="22" spans="2:30" ht="27" customHeight="1" x14ac:dyDescent="0.3">
      <c r="B22" s="3" t="str">
        <f>IF(AND($C$13&gt;1, $C$13&lt;6), 2, " ")</f>
        <v xml:space="preserve"> </v>
      </c>
      <c r="C22" s="117"/>
      <c r="D22" s="3" t="str">
        <f>IF(OR($C22=0,$N$3=2,$N$14=2,$C$13&lt;2)," ",$U22)</f>
        <v xml:space="preserve"> </v>
      </c>
      <c r="E22" s="111" t="str">
        <f>IF(OR(C22=0,$N$3=2, $N$14=2, U22="nelze",$C$13&lt;2), " ", S22)</f>
        <v xml:space="preserve"> </v>
      </c>
      <c r="F22" s="3" t="str">
        <f>IF(OR($C$22=0,$N$3=2,$N$14=2,U22="nelze",$C$13&lt;2)," ",$N$22)</f>
        <v xml:space="preserve"> </v>
      </c>
      <c r="G22" s="3" t="str">
        <f>IF(OR($C$22=0,$N$3=2,$N$14=2,U22="nelze",$C$13&lt;2)," ",$O$22+$C$7-$C$11)</f>
        <v xml:space="preserve"> </v>
      </c>
      <c r="H22" s="3" t="str">
        <f>G22</f>
        <v xml:space="preserve"> </v>
      </c>
      <c r="I22" s="3" t="str">
        <f>IF(OR($C$22=0,$N$3=2,$N$14=2,$U$22="nelze",C13&lt;2)," ",$C$23+$C$10+$C$9+$Q$22)</f>
        <v xml:space="preserve"> </v>
      </c>
      <c r="J22" s="3" t="str">
        <f>IF(OR($N$3=2,$C$22=0,$N$14=2,U22="nelze",$C$13&lt;2)," ",$R$22)</f>
        <v xml:space="preserve"> </v>
      </c>
      <c r="L22" s="126" t="str">
        <f>IF(AND($C$13&lt;2,C22&gt;0),"◄nevyplňovat!"," ")</f>
        <v xml:space="preserve"> </v>
      </c>
      <c r="M22" s="4" t="s">
        <v>265</v>
      </c>
      <c r="N22" s="4">
        <v>51</v>
      </c>
      <c r="O22" s="4">
        <v>14</v>
      </c>
      <c r="P22" s="4">
        <v>14</v>
      </c>
      <c r="Q22" s="4">
        <v>38</v>
      </c>
      <c r="R22" s="4">
        <v>37</v>
      </c>
      <c r="S22" s="110">
        <f>SUM(T22, -24, -16)</f>
        <v>-40</v>
      </c>
      <c r="T22" s="107">
        <f>IF($C$13=2, $C22-$C$6+$C$8, $C22)</f>
        <v>0</v>
      </c>
      <c r="U22" s="105" t="str">
        <f t="shared" si="1"/>
        <v>nelze</v>
      </c>
      <c r="V22" s="58">
        <f>IF($C$13&gt;2, SUM(C22, $C$9), IF($C$13=2, SUM(C22, $C$8), 0))</f>
        <v>0</v>
      </c>
      <c r="W22" s="9" t="str">
        <f>$I$22</f>
        <v xml:space="preserve"> </v>
      </c>
      <c r="X22" s="8" t="s">
        <v>266</v>
      </c>
      <c r="Y22" s="343"/>
      <c r="Z22" s="9" t="str">
        <f>$I$22</f>
        <v xml:space="preserve"> </v>
      </c>
      <c r="AC22" s="15" t="str">
        <f>$G$23</f>
        <v xml:space="preserve"> </v>
      </c>
    </row>
    <row r="23" spans="2:30" ht="27" customHeight="1" x14ac:dyDescent="0.3">
      <c r="B23" s="3" t="str">
        <f>IF(AND($C$13&gt;0, C13&lt;6), "Dole", " ")</f>
        <v xml:space="preserve"> </v>
      </c>
      <c r="C23" s="117"/>
      <c r="D23" s="3" t="str">
        <f>IF(OR($C23=0,$N$3=2,$N$14=2,$C$13&lt;1)," ",$U23)</f>
        <v xml:space="preserve"> </v>
      </c>
      <c r="E23" s="111" t="str">
        <f>IF(OR(C23=0,$N$3=2, $N$14=2, U23="nelze",$C$13&lt;1), " ", S23)</f>
        <v xml:space="preserve"> </v>
      </c>
      <c r="F23" s="3" t="str">
        <f>IF(OR($C$23=0,$N$3=2,$N$14=2,U23="nelze",$C$13&lt;1)," ",SUM($N$23, $C$6, -$C$10))</f>
        <v xml:space="preserve"> </v>
      </c>
      <c r="G23" s="3" t="str">
        <f>IF(OR($C$23=0,$N$3=2,$N$14=2,U23="nelze",$C$13&lt;1)," ",$O$23+$C$7-$C$11)</f>
        <v xml:space="preserve"> </v>
      </c>
      <c r="H23" s="3" t="str">
        <f>G23</f>
        <v xml:space="preserve"> </v>
      </c>
      <c r="I23" s="3" t="str">
        <f>IF(OR($C$23=0,$N$3=2,$N$14=2,$U$23="nelze",C13&lt;1)," ",$Q$23+$C$6)</f>
        <v xml:space="preserve"> </v>
      </c>
      <c r="J23" s="3" t="str">
        <f>IF(OR($N$3=2,$C$23=0,$N$14=2,U23="nelze",$C$13&lt;1)," ",$R$23)</f>
        <v xml:space="preserve"> </v>
      </c>
      <c r="L23" s="126" t="str">
        <f>IF(AND($C$13&lt;1,C23&gt;0),"◄nevyplňovat!"," ")</f>
        <v xml:space="preserve"> </v>
      </c>
      <c r="M23" s="4" t="s">
        <v>267</v>
      </c>
      <c r="N23" s="4">
        <f>52</f>
        <v>52</v>
      </c>
      <c r="O23" s="4">
        <v>14</v>
      </c>
      <c r="P23" s="4">
        <v>14</v>
      </c>
      <c r="Q23" s="4">
        <f>39</f>
        <v>39</v>
      </c>
      <c r="R23" s="4">
        <v>37</v>
      </c>
      <c r="S23" s="110">
        <f>SUM(T23, -24, -16)</f>
        <v>-41</v>
      </c>
      <c r="T23" s="107">
        <f>IF($C$13=1, $C$23-$C$6+$C$8-1, $C$23-$C$6+$C$10-1)</f>
        <v>-1</v>
      </c>
      <c r="U23" s="105" t="str">
        <f>IF(T23&gt;257.9,"M/K/C/F",IF(T23&gt;193.9,"M/K/C",IF(T23&gt;143.9,"M/K", IF(T23&gt;105.9,"M", "nelze"))))</f>
        <v>nelze</v>
      </c>
      <c r="V23" s="58">
        <f>IF($C$13&gt;1, SUM(C23, $C$9, $C$10), IF($C$13=1, SUM(C23, $C$8, $C$10), 0))</f>
        <v>0</v>
      </c>
      <c r="W23" s="9" t="str">
        <f>$I$23</f>
        <v xml:space="preserve"> </v>
      </c>
      <c r="X23" s="7" t="s">
        <v>268</v>
      </c>
      <c r="Y23" s="343"/>
      <c r="Z23" s="9" t="str">
        <f>IF(OR($C$23=0,$N$3=2)," ",$Q$23+$C$6)</f>
        <v xml:space="preserve"> </v>
      </c>
      <c r="AC23" s="9" t="s">
        <v>269</v>
      </c>
      <c r="AD23" s="5" t="str">
        <f>$F$22</f>
        <v xml:space="preserve"> </v>
      </c>
    </row>
    <row r="24" spans="2:30" x14ac:dyDescent="0.3">
      <c r="AC24" s="9" t="s">
        <v>270</v>
      </c>
      <c r="AD24" s="5" t="str">
        <f>$F$23</f>
        <v xml:space="preserve"> </v>
      </c>
    </row>
    <row r="25" spans="2:30" x14ac:dyDescent="0.3">
      <c r="B25" s="2" t="s">
        <v>271</v>
      </c>
    </row>
    <row r="26" spans="2:30" x14ac:dyDescent="0.3">
      <c r="B26" s="2" t="s">
        <v>112</v>
      </c>
      <c r="Z26" s="11" t="s">
        <v>272</v>
      </c>
    </row>
    <row r="27" spans="2:30" ht="11.15" customHeight="1" x14ac:dyDescent="0.3"/>
    <row r="28" spans="2:30" x14ac:dyDescent="0.3">
      <c r="B28" s="18" t="s">
        <v>273</v>
      </c>
    </row>
    <row r="29" spans="2:30" ht="11.15" customHeight="1" x14ac:dyDescent="0.3"/>
    <row r="30" spans="2:30" x14ac:dyDescent="0.3">
      <c r="B30" s="2" t="s">
        <v>400</v>
      </c>
    </row>
    <row r="31" spans="2:30" x14ac:dyDescent="0.3">
      <c r="B31" s="2" t="s">
        <v>401</v>
      </c>
    </row>
    <row r="32" spans="2:30" x14ac:dyDescent="0.3">
      <c r="B32" s="2" t="s">
        <v>402</v>
      </c>
    </row>
    <row r="33" spans="1:29" x14ac:dyDescent="0.3">
      <c r="B33" s="2" t="s">
        <v>403</v>
      </c>
    </row>
    <row r="34" spans="1:29" x14ac:dyDescent="0.3">
      <c r="B34" s="2" t="s">
        <v>404</v>
      </c>
    </row>
    <row r="35" spans="1:29" x14ac:dyDescent="0.3">
      <c r="B35" s="2" t="s">
        <v>405</v>
      </c>
    </row>
    <row r="36" spans="1:29" x14ac:dyDescent="0.3">
      <c r="B36" s="2" t="s">
        <v>288</v>
      </c>
    </row>
    <row r="40" spans="1:29" ht="14.5" thickBot="1" x14ac:dyDescent="0.35">
      <c r="A40" s="303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</row>
    <row r="41" spans="1:29" ht="21" customHeight="1" thickTop="1" x14ac:dyDescent="0.35">
      <c r="A41" s="303"/>
      <c r="B41" s="19" t="str">
        <f>"Výsledky pro korpus šířky "&amp;$C$5&amp;" mm a výšky "&amp;$C$4&amp;" mm"</f>
        <v>Výsledky pro korpus šířky  mm a výšky  mm</v>
      </c>
      <c r="AC41" s="103" t="str">
        <f>$B$1</f>
        <v>LEGRABOX</v>
      </c>
    </row>
    <row r="42" spans="1:29" ht="23.15" customHeight="1" x14ac:dyDescent="0.3">
      <c r="A42" s="303"/>
      <c r="F42" s="9" t="s">
        <v>289</v>
      </c>
      <c r="AC42" s="102"/>
    </row>
    <row r="43" spans="1:29" ht="8.25" customHeight="1" x14ac:dyDescent="0.3">
      <c r="A43" s="303"/>
    </row>
    <row r="44" spans="1:29" x14ac:dyDescent="0.3">
      <c r="A44" s="303"/>
    </row>
    <row r="45" spans="1:29" x14ac:dyDescent="0.3">
      <c r="A45" s="303"/>
      <c r="J45" s="2" t="s">
        <v>290</v>
      </c>
    </row>
    <row r="46" spans="1:29" x14ac:dyDescent="0.3">
      <c r="A46" s="303"/>
      <c r="B46" s="2" t="str">
        <f>I19</f>
        <v xml:space="preserve"> </v>
      </c>
    </row>
    <row r="47" spans="1:29" x14ac:dyDescent="0.3">
      <c r="A47" s="303"/>
      <c r="J47" s="116" t="s">
        <v>291</v>
      </c>
      <c r="K47" s="115"/>
      <c r="L47" s="116" t="str">
        <f>IF($N$3=1, R47&amp;" x "&amp;S47, " ")</f>
        <v xml:space="preserve"> </v>
      </c>
      <c r="R47" s="2">
        <f>$C$5-2*$C$7-35</f>
        <v>-35</v>
      </c>
      <c r="S47" s="112">
        <f>C12-10</f>
        <v>-10</v>
      </c>
      <c r="Z47" s="2" t="s">
        <v>292</v>
      </c>
    </row>
    <row r="48" spans="1:29" ht="10.5" customHeight="1" x14ac:dyDescent="0.3">
      <c r="A48" s="303"/>
    </row>
    <row r="49" spans="1:26" x14ac:dyDescent="0.3">
      <c r="A49" s="303"/>
      <c r="B49" s="2" t="str">
        <f>I20</f>
        <v xml:space="preserve"> </v>
      </c>
      <c r="J49" s="135" t="s">
        <v>293</v>
      </c>
      <c r="K49" s="136"/>
      <c r="L49" s="136"/>
    </row>
    <row r="50" spans="1:26" x14ac:dyDescent="0.3">
      <c r="A50" s="303"/>
      <c r="J50" s="116" t="s">
        <v>279</v>
      </c>
      <c r="K50" s="115"/>
      <c r="L50" s="116" t="str">
        <f>IF($N$3=1, R50&amp;" x  "&amp;S50, " ")</f>
        <v xml:space="preserve"> </v>
      </c>
      <c r="R50" s="2">
        <f>$C$5-2*$C$7-38</f>
        <v>-38</v>
      </c>
      <c r="S50" s="2">
        <v>63</v>
      </c>
      <c r="Z50" s="2" t="s">
        <v>292</v>
      </c>
    </row>
    <row r="51" spans="1:26" ht="12" customHeight="1" x14ac:dyDescent="0.3">
      <c r="A51" s="303"/>
      <c r="J51" s="116" t="s">
        <v>294</v>
      </c>
      <c r="K51" s="115"/>
      <c r="L51" s="116" t="str">
        <f t="shared" ref="L51:L53" si="2">IF($N$3=1, R51&amp;" x "&amp;S51, " ")</f>
        <v xml:space="preserve"> </v>
      </c>
      <c r="R51" s="2">
        <f t="shared" ref="R51:R53" si="3">$C$5-2*$C$7-38</f>
        <v>-38</v>
      </c>
      <c r="S51" s="2">
        <v>101</v>
      </c>
      <c r="Z51" s="2" t="s">
        <v>292</v>
      </c>
    </row>
    <row r="52" spans="1:26" x14ac:dyDescent="0.3">
      <c r="A52" s="303"/>
      <c r="B52" s="2" t="str">
        <f>I21</f>
        <v xml:space="preserve"> </v>
      </c>
      <c r="J52" s="116" t="s">
        <v>280</v>
      </c>
      <c r="K52" s="115"/>
      <c r="L52" s="116" t="str">
        <f t="shared" si="2"/>
        <v xml:space="preserve"> </v>
      </c>
      <c r="R52" s="2">
        <f t="shared" si="3"/>
        <v>-38</v>
      </c>
      <c r="S52" s="2">
        <v>148</v>
      </c>
      <c r="Z52" s="2" t="s">
        <v>292</v>
      </c>
    </row>
    <row r="53" spans="1:26" x14ac:dyDescent="0.3">
      <c r="A53" s="303"/>
      <c r="J53" s="116" t="s">
        <v>406</v>
      </c>
      <c r="K53" s="115"/>
      <c r="L53" s="116" t="str">
        <f t="shared" si="2"/>
        <v xml:space="preserve"> </v>
      </c>
      <c r="R53" s="2">
        <f t="shared" si="3"/>
        <v>-38</v>
      </c>
      <c r="S53" s="2">
        <v>212</v>
      </c>
      <c r="Z53" s="2" t="s">
        <v>292</v>
      </c>
    </row>
    <row r="54" spans="1:26" ht="17.25" customHeight="1" x14ac:dyDescent="0.3">
      <c r="A54" s="303"/>
    </row>
    <row r="55" spans="1:26" x14ac:dyDescent="0.3">
      <c r="A55" s="303"/>
      <c r="B55" s="2" t="str">
        <f>I22</f>
        <v xml:space="preserve"> </v>
      </c>
    </row>
    <row r="56" spans="1:26" x14ac:dyDescent="0.3">
      <c r="A56" s="303"/>
    </row>
    <row r="57" spans="1:26" x14ac:dyDescent="0.3">
      <c r="A57" s="303"/>
    </row>
    <row r="58" spans="1:26" ht="6.75" customHeight="1" x14ac:dyDescent="0.3">
      <c r="A58" s="303"/>
    </row>
    <row r="59" spans="1:26" x14ac:dyDescent="0.3">
      <c r="A59" s="303"/>
      <c r="B59" s="9" t="str">
        <f>I23</f>
        <v xml:space="preserve"> </v>
      </c>
    </row>
    <row r="60" spans="1:26" x14ac:dyDescent="0.3">
      <c r="A60" s="303"/>
    </row>
    <row r="61" spans="1:26" x14ac:dyDescent="0.3">
      <c r="A61" s="303"/>
      <c r="B61" s="2">
        <v>0</v>
      </c>
    </row>
    <row r="62" spans="1:26" x14ac:dyDescent="0.3">
      <c r="A62" s="303"/>
    </row>
    <row r="63" spans="1:26" x14ac:dyDescent="0.3">
      <c r="A63" s="303"/>
    </row>
    <row r="64" spans="1:26" x14ac:dyDescent="0.3">
      <c r="A64" s="303"/>
      <c r="E64" s="9" t="s">
        <v>311</v>
      </c>
    </row>
    <row r="65" spans="1:31" x14ac:dyDescent="0.3">
      <c r="A65" s="303"/>
      <c r="E65" s="9"/>
      <c r="Z65" s="47"/>
    </row>
    <row r="66" spans="1:31" x14ac:dyDescent="0.3">
      <c r="A66" s="303"/>
      <c r="E66" s="9"/>
      <c r="Z66" s="47"/>
    </row>
    <row r="67" spans="1:31" x14ac:dyDescent="0.3">
      <c r="A67" s="303"/>
      <c r="Z67" s="47" t="s">
        <v>407</v>
      </c>
    </row>
    <row r="68" spans="1:31" x14ac:dyDescent="0.3">
      <c r="A68" s="303"/>
    </row>
    <row r="69" spans="1:31" x14ac:dyDescent="0.3">
      <c r="A69" s="303"/>
    </row>
    <row r="70" spans="1:31" x14ac:dyDescent="0.3">
      <c r="A70" s="303"/>
    </row>
    <row r="71" spans="1:31" x14ac:dyDescent="0.3">
      <c r="A71" s="303"/>
    </row>
    <row r="72" spans="1:31" x14ac:dyDescent="0.3">
      <c r="A72" s="303"/>
    </row>
    <row r="73" spans="1:31" x14ac:dyDescent="0.3">
      <c r="A73" s="303"/>
    </row>
    <row r="74" spans="1:31" x14ac:dyDescent="0.3">
      <c r="A74" s="303"/>
    </row>
    <row r="75" spans="1:31" x14ac:dyDescent="0.3">
      <c r="A75" s="303"/>
    </row>
    <row r="76" spans="1:31" x14ac:dyDescent="0.3">
      <c r="A76" s="303"/>
      <c r="C76" s="5" t="str">
        <f>F23</f>
        <v xml:space="preserve"> </v>
      </c>
      <c r="J76" s="2" t="str">
        <f>F22</f>
        <v xml:space="preserve"> </v>
      </c>
    </row>
    <row r="77" spans="1:31" x14ac:dyDescent="0.3">
      <c r="A77" s="303"/>
    </row>
    <row r="78" spans="1:31" x14ac:dyDescent="0.3">
      <c r="A78" s="303"/>
    </row>
    <row r="79" spans="1:31" x14ac:dyDescent="0.3">
      <c r="A79" s="303"/>
      <c r="C79" s="2" t="str">
        <f>H23</f>
        <v xml:space="preserve"> </v>
      </c>
      <c r="G79" s="47" t="str">
        <f>G23</f>
        <v xml:space="preserve"> </v>
      </c>
      <c r="L79" s="5" t="str">
        <f>H22</f>
        <v xml:space="preserve"> </v>
      </c>
      <c r="AB79" s="47" t="str">
        <f>G22</f>
        <v xml:space="preserve"> </v>
      </c>
      <c r="AD79" s="341" t="s">
        <v>88</v>
      </c>
      <c r="AE79" s="341"/>
    </row>
    <row r="80" spans="1:31" ht="14.5" thickBot="1" x14ac:dyDescent="0.35">
      <c r="A80" s="303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00"/>
      <c r="AC80" s="100"/>
    </row>
    <row r="81" spans="1:29" ht="18" thickTop="1" x14ac:dyDescent="0.35">
      <c r="A81" s="303"/>
      <c r="AC81" s="103" t="str">
        <f>$B$1</f>
        <v>LEGRABOX</v>
      </c>
    </row>
    <row r="82" spans="1:29" ht="17.5" x14ac:dyDescent="0.35">
      <c r="A82" s="303"/>
      <c r="B82" s="19" t="s">
        <v>328</v>
      </c>
    </row>
    <row r="83" spans="1:29" ht="14.5" x14ac:dyDescent="0.35">
      <c r="A83" s="303"/>
      <c r="B83" s="5" t="s">
        <v>329</v>
      </c>
    </row>
    <row r="84" spans="1:29" x14ac:dyDescent="0.3">
      <c r="A84" s="303"/>
    </row>
    <row r="85" spans="1:29" ht="15.5" x14ac:dyDescent="0.35">
      <c r="A85" s="303"/>
      <c r="AA85" s="9" t="s">
        <v>330</v>
      </c>
      <c r="AB85" s="99" t="s">
        <v>331</v>
      </c>
    </row>
    <row r="86" spans="1:29" x14ac:dyDescent="0.3">
      <c r="A86" s="303"/>
    </row>
    <row r="87" spans="1:29" x14ac:dyDescent="0.3">
      <c r="A87" s="303"/>
    </row>
    <row r="88" spans="1:29" x14ac:dyDescent="0.3">
      <c r="A88" s="303"/>
    </row>
    <row r="89" spans="1:29" x14ac:dyDescent="0.3">
      <c r="A89" s="303"/>
      <c r="F89" s="9" t="s">
        <v>311</v>
      </c>
      <c r="AA89" s="47" t="s">
        <v>312</v>
      </c>
    </row>
    <row r="90" spans="1:29" x14ac:dyDescent="0.3">
      <c r="A90" s="303"/>
    </row>
    <row r="91" spans="1:29" x14ac:dyDescent="0.3">
      <c r="A91" s="303"/>
    </row>
    <row r="92" spans="1:29" x14ac:dyDescent="0.3">
      <c r="A92" s="303"/>
    </row>
    <row r="93" spans="1:29" x14ac:dyDescent="0.3">
      <c r="A93" s="303"/>
    </row>
    <row r="94" spans="1:29" x14ac:dyDescent="0.3">
      <c r="A94" s="303"/>
    </row>
    <row r="95" spans="1:29" x14ac:dyDescent="0.3">
      <c r="A95" s="303"/>
    </row>
    <row r="96" spans="1:29" x14ac:dyDescent="0.3">
      <c r="A96" s="303"/>
    </row>
    <row r="97" spans="1:31" x14ac:dyDescent="0.3">
      <c r="A97" s="303"/>
    </row>
    <row r="98" spans="1:31" x14ac:dyDescent="0.3">
      <c r="A98" s="303"/>
    </row>
    <row r="99" spans="1:31" x14ac:dyDescent="0.3">
      <c r="A99" s="303"/>
      <c r="C99" s="47">
        <f>SUM(C76, -28)</f>
        <v>-28</v>
      </c>
      <c r="J99" s="2">
        <f>SUM(J76, -28)</f>
        <v>-28</v>
      </c>
    </row>
    <row r="100" spans="1:31" x14ac:dyDescent="0.3">
      <c r="A100" s="303"/>
    </row>
    <row r="101" spans="1:31" x14ac:dyDescent="0.3">
      <c r="A101" s="303"/>
    </row>
    <row r="102" spans="1:31" x14ac:dyDescent="0.3">
      <c r="A102" s="303"/>
    </row>
    <row r="103" spans="1:31" x14ac:dyDescent="0.3">
      <c r="A103" s="303"/>
    </row>
    <row r="104" spans="1:31" x14ac:dyDescent="0.3">
      <c r="A104" s="303"/>
      <c r="AD104" s="341" t="s">
        <v>88</v>
      </c>
      <c r="AE104" s="341"/>
    </row>
    <row r="105" spans="1:31" x14ac:dyDescent="0.3">
      <c r="A105" s="303"/>
    </row>
    <row r="106" spans="1:31" x14ac:dyDescent="0.3">
      <c r="A106" s="303"/>
    </row>
    <row r="107" spans="1:31" x14ac:dyDescent="0.3">
      <c r="A107" s="303"/>
    </row>
    <row r="108" spans="1:31" x14ac:dyDescent="0.3">
      <c r="A108" s="303"/>
    </row>
    <row r="109" spans="1:31" x14ac:dyDescent="0.3">
      <c r="A109" s="303"/>
    </row>
    <row r="110" spans="1:31" x14ac:dyDescent="0.3">
      <c r="A110" s="303"/>
    </row>
    <row r="111" spans="1:31" ht="14.5" thickBot="1" x14ac:dyDescent="0.35">
      <c r="A111" s="303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  <c r="AA111" s="100"/>
      <c r="AB111" s="100"/>
      <c r="AC111" s="100"/>
    </row>
    <row r="112" spans="1:31" ht="28.5" customHeight="1" thickTop="1" x14ac:dyDescent="0.35">
      <c r="A112" s="303"/>
      <c r="B112" s="19" t="s">
        <v>340</v>
      </c>
      <c r="AC112" s="103" t="str">
        <f>$B$1</f>
        <v>LEGRABOX</v>
      </c>
    </row>
    <row r="113" spans="1:1" x14ac:dyDescent="0.3">
      <c r="A113" s="303"/>
    </row>
    <row r="114" spans="1:1" x14ac:dyDescent="0.3">
      <c r="A114" s="303"/>
    </row>
    <row r="115" spans="1:1" x14ac:dyDescent="0.3">
      <c r="A115" s="303"/>
    </row>
    <row r="116" spans="1:1" x14ac:dyDescent="0.3">
      <c r="A116" s="303"/>
    </row>
    <row r="117" spans="1:1" x14ac:dyDescent="0.3">
      <c r="A117" s="303"/>
    </row>
    <row r="118" spans="1:1" x14ac:dyDescent="0.3">
      <c r="A118" s="303"/>
    </row>
    <row r="119" spans="1:1" x14ac:dyDescent="0.3">
      <c r="A119" s="303"/>
    </row>
    <row r="120" spans="1:1" x14ac:dyDescent="0.3">
      <c r="A120" s="303"/>
    </row>
    <row r="121" spans="1:1" x14ac:dyDescent="0.3">
      <c r="A121" s="303"/>
    </row>
    <row r="122" spans="1:1" x14ac:dyDescent="0.3">
      <c r="A122" s="303"/>
    </row>
    <row r="123" spans="1:1" x14ac:dyDescent="0.3">
      <c r="A123" s="303"/>
    </row>
    <row r="124" spans="1:1" x14ac:dyDescent="0.3">
      <c r="A124" s="303"/>
    </row>
    <row r="125" spans="1:1" x14ac:dyDescent="0.3">
      <c r="A125" s="303"/>
    </row>
    <row r="126" spans="1:1" x14ac:dyDescent="0.3">
      <c r="A126" s="303"/>
    </row>
    <row r="127" spans="1:1" x14ac:dyDescent="0.3">
      <c r="A127" s="303"/>
    </row>
    <row r="128" spans="1:1" x14ac:dyDescent="0.3">
      <c r="A128" s="303"/>
    </row>
    <row r="129" spans="1:31" x14ac:dyDescent="0.3">
      <c r="A129" s="303"/>
    </row>
    <row r="130" spans="1:31" x14ac:dyDescent="0.3">
      <c r="A130" s="303"/>
    </row>
    <row r="131" spans="1:31" x14ac:dyDescent="0.3">
      <c r="A131" s="303"/>
    </row>
    <row r="132" spans="1:31" x14ac:dyDescent="0.3">
      <c r="A132" s="303"/>
    </row>
    <row r="133" spans="1:31" x14ac:dyDescent="0.3">
      <c r="A133" s="303"/>
      <c r="B133" s="2" t="s">
        <v>341</v>
      </c>
    </row>
    <row r="134" spans="1:31" x14ac:dyDescent="0.3">
      <c r="A134" s="303"/>
      <c r="B134" s="2" t="s">
        <v>342</v>
      </c>
    </row>
    <row r="135" spans="1:31" x14ac:dyDescent="0.3">
      <c r="A135" s="303"/>
      <c r="B135" s="2" t="s">
        <v>343</v>
      </c>
    </row>
    <row r="136" spans="1:31" x14ac:dyDescent="0.3">
      <c r="A136" s="303"/>
      <c r="B136" s="2" t="s">
        <v>344</v>
      </c>
      <c r="AD136" s="341" t="s">
        <v>88</v>
      </c>
      <c r="AE136" s="341"/>
    </row>
    <row r="137" spans="1:31" x14ac:dyDescent="0.3">
      <c r="A137" s="303"/>
    </row>
    <row r="138" spans="1:31" x14ac:dyDescent="0.3">
      <c r="A138" s="303"/>
    </row>
    <row r="139" spans="1:31" x14ac:dyDescent="0.3">
      <c r="A139" s="303"/>
    </row>
    <row r="140" spans="1:31" x14ac:dyDescent="0.3">
      <c r="A140" s="303"/>
    </row>
    <row r="141" spans="1:31" x14ac:dyDescent="0.3">
      <c r="A141" s="303"/>
    </row>
    <row r="142" spans="1:31" x14ac:dyDescent="0.3">
      <c r="A142" s="303"/>
    </row>
    <row r="143" spans="1:31" x14ac:dyDescent="0.3">
      <c r="A143" s="303"/>
    </row>
    <row r="144" spans="1:31" x14ac:dyDescent="0.3">
      <c r="A144" s="303"/>
    </row>
    <row r="145" spans="1:53" x14ac:dyDescent="0.3">
      <c r="A145" s="303"/>
    </row>
    <row r="146" spans="1:53" x14ac:dyDescent="0.3">
      <c r="A146" s="303"/>
    </row>
    <row r="147" spans="1:53" x14ac:dyDescent="0.3">
      <c r="A147" s="303"/>
    </row>
    <row r="148" spans="1:53" x14ac:dyDescent="0.3">
      <c r="A148" s="303"/>
    </row>
    <row r="149" spans="1:53" x14ac:dyDescent="0.3">
      <c r="A149" s="303"/>
    </row>
    <row r="150" spans="1:53" x14ac:dyDescent="0.3">
      <c r="A150" s="303"/>
    </row>
    <row r="151" spans="1:53" x14ac:dyDescent="0.3">
      <c r="A151" s="303"/>
    </row>
    <row r="160" spans="1:53" ht="17.5" x14ac:dyDescent="0.35">
      <c r="AH160" s="99" t="s">
        <v>105</v>
      </c>
      <c r="AP160" s="193" t="str">
        <f>AC41</f>
        <v>LEGRABOX</v>
      </c>
      <c r="AR160" s="180"/>
      <c r="AS160" s="181"/>
      <c r="AT160" s="132"/>
      <c r="AU160" s="132"/>
      <c r="AV160" s="132"/>
      <c r="AW160" s="132"/>
      <c r="AX160" s="132"/>
      <c r="AY160" s="132"/>
      <c r="AZ160" s="132"/>
      <c r="BA160" s="177"/>
    </row>
    <row r="161" spans="34:53" ht="14.5" x14ac:dyDescent="0.35">
      <c r="AH161" s="17" t="s">
        <v>108</v>
      </c>
      <c r="AI161" s="17"/>
      <c r="AJ161" s="17"/>
      <c r="AK161" s="17"/>
      <c r="AL161" s="17"/>
      <c r="AM161" s="17"/>
      <c r="AN161" s="17"/>
      <c r="AO161" s="17"/>
      <c r="AR161" s="81"/>
      <c r="AS161" s="98"/>
      <c r="AT161" s="98"/>
      <c r="AU161" s="98"/>
      <c r="AV161" s="98"/>
      <c r="AW161" s="98"/>
      <c r="AX161" s="185"/>
      <c r="AY161" s="186"/>
      <c r="AZ161" s="98"/>
      <c r="BA161" s="182"/>
    </row>
    <row r="162" spans="34:53" x14ac:dyDescent="0.3">
      <c r="AH162" s="90">
        <f>C4</f>
        <v>0</v>
      </c>
      <c r="AI162" s="337" t="s">
        <v>239</v>
      </c>
      <c r="AJ162" s="337"/>
      <c r="AK162" s="337"/>
      <c r="AL162" s="337"/>
      <c r="AM162" s="17"/>
      <c r="AN162" s="17"/>
      <c r="AO162" s="17"/>
      <c r="AR162" s="81"/>
      <c r="AX162" s="63"/>
      <c r="AY162" s="47"/>
      <c r="BA162" s="80"/>
    </row>
    <row r="163" spans="34:53" x14ac:dyDescent="0.3">
      <c r="AH163" s="90">
        <f t="shared" ref="AH163:AH172" si="4">C5</f>
        <v>0</v>
      </c>
      <c r="AI163" s="337" t="s">
        <v>240</v>
      </c>
      <c r="AJ163" s="337"/>
      <c r="AK163" s="337"/>
      <c r="AL163" s="337"/>
      <c r="AM163" s="17"/>
      <c r="AN163" s="17"/>
      <c r="AO163" s="17"/>
      <c r="AR163" s="81"/>
      <c r="AX163" s="63"/>
      <c r="AY163" s="47"/>
      <c r="BA163" s="80"/>
    </row>
    <row r="164" spans="34:53" x14ac:dyDescent="0.3">
      <c r="AH164" s="90">
        <f t="shared" si="4"/>
        <v>0</v>
      </c>
      <c r="AI164" s="337" t="s">
        <v>30</v>
      </c>
      <c r="AJ164" s="337"/>
      <c r="AK164" s="337"/>
      <c r="AL164" s="337"/>
      <c r="AM164" s="17"/>
      <c r="AN164" s="17"/>
      <c r="AO164" s="17"/>
      <c r="AR164" s="81"/>
      <c r="AX164" s="63"/>
      <c r="AY164" s="47"/>
      <c r="BA164" s="80"/>
    </row>
    <row r="165" spans="34:53" x14ac:dyDescent="0.3">
      <c r="AH165" s="90">
        <f t="shared" si="4"/>
        <v>0</v>
      </c>
      <c r="AI165" s="337" t="s">
        <v>31</v>
      </c>
      <c r="AJ165" s="337"/>
      <c r="AK165" s="337"/>
      <c r="AL165" s="337"/>
      <c r="AM165" s="17"/>
      <c r="AN165" s="17"/>
      <c r="AO165" s="17"/>
      <c r="AR165" s="81"/>
      <c r="AX165" s="63"/>
      <c r="AY165" s="47"/>
      <c r="BA165" s="80"/>
    </row>
    <row r="166" spans="34:53" x14ac:dyDescent="0.3">
      <c r="AH166" s="90">
        <f t="shared" si="4"/>
        <v>0</v>
      </c>
      <c r="AI166" s="337" t="s">
        <v>109</v>
      </c>
      <c r="AJ166" s="337"/>
      <c r="AK166" s="337"/>
      <c r="AL166" s="337"/>
      <c r="AM166" s="17"/>
      <c r="AN166" s="17"/>
      <c r="AO166" s="17"/>
      <c r="AR166" s="81"/>
      <c r="AX166" s="63"/>
      <c r="AY166" s="47"/>
      <c r="BA166" s="80"/>
    </row>
    <row r="167" spans="34:53" x14ac:dyDescent="0.3">
      <c r="AH167" s="90">
        <f t="shared" si="4"/>
        <v>0</v>
      </c>
      <c r="AI167" s="337" t="s">
        <v>33</v>
      </c>
      <c r="AJ167" s="337"/>
      <c r="AK167" s="337"/>
      <c r="AL167" s="337"/>
      <c r="AM167" s="17"/>
      <c r="AN167" s="17"/>
      <c r="AO167" s="17"/>
      <c r="AR167" s="81"/>
      <c r="AX167" s="63"/>
      <c r="AY167" s="47"/>
      <c r="BA167" s="80"/>
    </row>
    <row r="168" spans="34:53" x14ac:dyDescent="0.3">
      <c r="AH168" s="90">
        <f t="shared" si="4"/>
        <v>0</v>
      </c>
      <c r="AI168" s="337" t="s">
        <v>34</v>
      </c>
      <c r="AJ168" s="337"/>
      <c r="AK168" s="337"/>
      <c r="AL168" s="337"/>
      <c r="AM168" s="17"/>
      <c r="AN168" s="17"/>
      <c r="AO168" s="17"/>
      <c r="AR168" s="81"/>
      <c r="AX168" s="63"/>
      <c r="AY168" s="47"/>
      <c r="BA168" s="80"/>
    </row>
    <row r="169" spans="34:53" x14ac:dyDescent="0.3">
      <c r="AH169" s="90">
        <f t="shared" si="4"/>
        <v>0</v>
      </c>
      <c r="AI169" s="337" t="s">
        <v>35</v>
      </c>
      <c r="AJ169" s="337"/>
      <c r="AK169" s="337"/>
      <c r="AL169" s="337"/>
      <c r="AM169" s="17"/>
      <c r="AN169" s="17"/>
      <c r="AO169" s="17"/>
      <c r="AR169" s="81"/>
      <c r="AX169" s="63"/>
      <c r="AY169" s="47"/>
      <c r="BA169" s="80"/>
    </row>
    <row r="170" spans="34:53" x14ac:dyDescent="0.3">
      <c r="AH170" s="90">
        <f t="shared" si="4"/>
        <v>0</v>
      </c>
      <c r="AI170" s="337" t="s">
        <v>345</v>
      </c>
      <c r="AJ170" s="337"/>
      <c r="AK170" s="337"/>
      <c r="AL170" s="337"/>
      <c r="AM170" s="17"/>
      <c r="AN170" s="17"/>
      <c r="AO170" s="17"/>
      <c r="AR170" s="81"/>
      <c r="BA170" s="80"/>
    </row>
    <row r="171" spans="34:53" ht="14.15" customHeight="1" x14ac:dyDescent="0.3">
      <c r="AH171" s="90">
        <f t="shared" si="4"/>
        <v>0</v>
      </c>
      <c r="AI171" s="337" t="s">
        <v>243</v>
      </c>
      <c r="AJ171" s="337"/>
      <c r="AK171" s="337"/>
      <c r="AL171" s="337"/>
      <c r="AM171" s="17"/>
      <c r="AN171" s="17"/>
      <c r="AO171" s="17"/>
      <c r="AR171" s="81"/>
      <c r="AS171" s="329"/>
      <c r="AT171" s="329"/>
      <c r="AU171" s="329"/>
      <c r="AV171" s="329"/>
      <c r="AW171" s="329"/>
      <c r="AX171" s="329"/>
      <c r="AY171" s="329"/>
      <c r="AZ171" s="329"/>
      <c r="BA171" s="188"/>
    </row>
    <row r="172" spans="34:53" ht="14.5" x14ac:dyDescent="0.3">
      <c r="AH172" s="187" t="str">
        <f t="shared" si="4"/>
        <v>x</v>
      </c>
      <c r="AI172" s="336" t="s">
        <v>246</v>
      </c>
      <c r="AJ172" s="336"/>
      <c r="AK172" s="336"/>
      <c r="AL172" s="336"/>
      <c r="AM172" s="17"/>
      <c r="AN172" s="17"/>
      <c r="AO172" s="17"/>
      <c r="AR172" s="81"/>
      <c r="AS172" s="329"/>
      <c r="AT172" s="329"/>
      <c r="AU172" s="329"/>
      <c r="AV172" s="329"/>
      <c r="AW172" s="329"/>
      <c r="AX172" s="329"/>
      <c r="AY172" s="329"/>
      <c r="AZ172" s="329"/>
      <c r="BA172" s="188"/>
    </row>
    <row r="173" spans="34:53" ht="12.65" customHeight="1" x14ac:dyDescent="0.3">
      <c r="AH173" s="140"/>
      <c r="AI173" s="140"/>
      <c r="AJ173" s="140"/>
      <c r="AK173" s="140"/>
      <c r="AL173" s="140"/>
      <c r="AM173" s="140"/>
      <c r="AN173" s="140"/>
      <c r="AO173" s="140"/>
      <c r="AP173" s="140"/>
      <c r="AQ173" s="140"/>
      <c r="AR173" s="178"/>
      <c r="AS173" s="189"/>
      <c r="AT173" s="140"/>
      <c r="AU173" s="140"/>
      <c r="AV173" s="140"/>
      <c r="AW173" s="140"/>
      <c r="AX173" s="140"/>
      <c r="AY173" s="140"/>
      <c r="AZ173" s="140"/>
      <c r="BA173" s="179"/>
    </row>
    <row r="174" spans="34:53" ht="24.65" customHeight="1" x14ac:dyDescent="0.35">
      <c r="AH174" s="99" t="s">
        <v>106</v>
      </c>
    </row>
    <row r="175" spans="34:53" x14ac:dyDescent="0.3">
      <c r="AH175" s="331" t="s">
        <v>249</v>
      </c>
      <c r="AI175" s="331" t="s">
        <v>250</v>
      </c>
      <c r="AJ175" s="331" t="s">
        <v>251</v>
      </c>
      <c r="AK175" s="332" t="s">
        <v>252</v>
      </c>
      <c r="AL175" s="333" t="s">
        <v>64</v>
      </c>
      <c r="AM175" s="334"/>
      <c r="AN175" s="335"/>
      <c r="AO175" s="333" t="s">
        <v>65</v>
      </c>
      <c r="AP175" s="335"/>
      <c r="AQ175" s="63"/>
      <c r="AR175" s="63"/>
      <c r="AU175" s="9" t="s">
        <v>289</v>
      </c>
    </row>
    <row r="176" spans="34:53" x14ac:dyDescent="0.3">
      <c r="AH176" s="331"/>
      <c r="AI176" s="331"/>
      <c r="AJ176" s="331"/>
      <c r="AK176" s="332"/>
      <c r="AL176" s="62" t="s">
        <v>141</v>
      </c>
      <c r="AM176" s="62" t="s">
        <v>67</v>
      </c>
      <c r="AN176" s="62" t="s">
        <v>68</v>
      </c>
      <c r="AO176" s="62" t="s">
        <v>141</v>
      </c>
      <c r="AP176" s="62" t="s">
        <v>346</v>
      </c>
      <c r="AQ176" s="63"/>
      <c r="AR176" s="63"/>
      <c r="AX176" s="2" t="str">
        <f>$I$19</f>
        <v xml:space="preserve"> </v>
      </c>
    </row>
    <row r="177" spans="34:67" x14ac:dyDescent="0.3">
      <c r="AH177" s="3" t="str">
        <f>B19</f>
        <v xml:space="preserve"> </v>
      </c>
      <c r="AI177" s="3">
        <f t="shared" ref="AI177:AP181" si="5">C19</f>
        <v>0</v>
      </c>
      <c r="AJ177" s="3" t="str">
        <f t="shared" si="5"/>
        <v xml:space="preserve"> </v>
      </c>
      <c r="AK177" s="111" t="str">
        <f t="shared" si="5"/>
        <v xml:space="preserve"> </v>
      </c>
      <c r="AL177" s="3" t="str">
        <f t="shared" si="5"/>
        <v xml:space="preserve"> </v>
      </c>
      <c r="AM177" s="3" t="str">
        <f t="shared" si="5"/>
        <v xml:space="preserve"> </v>
      </c>
      <c r="AN177" s="3" t="str">
        <f t="shared" si="5"/>
        <v xml:space="preserve"> </v>
      </c>
      <c r="AO177" s="3" t="str">
        <f t="shared" si="5"/>
        <v xml:space="preserve"> </v>
      </c>
      <c r="AP177" s="3" t="str">
        <f t="shared" si="5"/>
        <v xml:space="preserve"> </v>
      </c>
      <c r="AQ177" s="4"/>
      <c r="AR177" s="4"/>
      <c r="AU177" s="9" t="str">
        <f>$I$19</f>
        <v xml:space="preserve"> </v>
      </c>
    </row>
    <row r="178" spans="34:67" x14ac:dyDescent="0.3">
      <c r="AH178" s="3" t="str">
        <f t="shared" ref="AH178:AH181" si="6">B20</f>
        <v xml:space="preserve"> </v>
      </c>
      <c r="AI178" s="3">
        <f t="shared" si="5"/>
        <v>0</v>
      </c>
      <c r="AJ178" s="3" t="str">
        <f t="shared" si="5"/>
        <v xml:space="preserve"> </v>
      </c>
      <c r="AK178" s="111" t="str">
        <f t="shared" si="5"/>
        <v xml:space="preserve"> </v>
      </c>
      <c r="AL178" s="3" t="str">
        <f t="shared" si="5"/>
        <v xml:space="preserve"> </v>
      </c>
      <c r="AM178" s="3" t="str">
        <f t="shared" si="5"/>
        <v xml:space="preserve"> </v>
      </c>
      <c r="AN178" s="3" t="str">
        <f t="shared" si="5"/>
        <v xml:space="preserve"> </v>
      </c>
      <c r="AO178" s="3" t="str">
        <f t="shared" si="5"/>
        <v xml:space="preserve"> </v>
      </c>
      <c r="AP178" s="3" t="str">
        <f t="shared" si="5"/>
        <v xml:space="preserve"> </v>
      </c>
      <c r="AQ178" s="4"/>
      <c r="AR178" s="4"/>
      <c r="AX178" s="2" t="str">
        <f>$I$20</f>
        <v xml:space="preserve"> </v>
      </c>
    </row>
    <row r="179" spans="34:67" x14ac:dyDescent="0.3">
      <c r="AH179" s="3" t="str">
        <f t="shared" si="6"/>
        <v xml:space="preserve"> </v>
      </c>
      <c r="AI179" s="3">
        <f t="shared" si="5"/>
        <v>0</v>
      </c>
      <c r="AJ179" s="3" t="str">
        <f t="shared" si="5"/>
        <v xml:space="preserve"> </v>
      </c>
      <c r="AK179" s="111" t="str">
        <f t="shared" si="5"/>
        <v xml:space="preserve"> </v>
      </c>
      <c r="AL179" s="3" t="str">
        <f t="shared" si="5"/>
        <v xml:space="preserve"> </v>
      </c>
      <c r="AM179" s="3" t="str">
        <f t="shared" si="5"/>
        <v xml:space="preserve"> </v>
      </c>
      <c r="AN179" s="3" t="str">
        <f t="shared" si="5"/>
        <v xml:space="preserve"> </v>
      </c>
      <c r="AO179" s="3" t="str">
        <f t="shared" si="5"/>
        <v xml:space="preserve"> </v>
      </c>
      <c r="AP179" s="3" t="str">
        <f t="shared" si="5"/>
        <v xml:space="preserve"> </v>
      </c>
      <c r="AQ179" s="4"/>
      <c r="AR179" s="4"/>
      <c r="AU179" s="9" t="str">
        <f>$I$20</f>
        <v xml:space="preserve"> </v>
      </c>
    </row>
    <row r="180" spans="34:67" x14ac:dyDescent="0.3">
      <c r="AH180" s="3" t="str">
        <f t="shared" si="6"/>
        <v xml:space="preserve"> </v>
      </c>
      <c r="AI180" s="3">
        <f t="shared" si="5"/>
        <v>0</v>
      </c>
      <c r="AJ180" s="3" t="str">
        <f t="shared" si="5"/>
        <v xml:space="preserve"> </v>
      </c>
      <c r="AK180" s="111" t="str">
        <f t="shared" si="5"/>
        <v xml:space="preserve"> </v>
      </c>
      <c r="AL180" s="3" t="str">
        <f t="shared" si="5"/>
        <v xml:space="preserve"> </v>
      </c>
      <c r="AM180" s="3" t="str">
        <f t="shared" si="5"/>
        <v xml:space="preserve"> </v>
      </c>
      <c r="AN180" s="3" t="str">
        <f t="shared" si="5"/>
        <v xml:space="preserve"> </v>
      </c>
      <c r="AO180" s="3" t="str">
        <f t="shared" si="5"/>
        <v xml:space="preserve"> </v>
      </c>
      <c r="AP180" s="3" t="str">
        <f t="shared" si="5"/>
        <v xml:space="preserve"> </v>
      </c>
      <c r="AQ180" s="4"/>
      <c r="AR180" s="4"/>
      <c r="AX180" s="2" t="str">
        <f>$I$21</f>
        <v xml:space="preserve"> </v>
      </c>
    </row>
    <row r="181" spans="34:67" x14ac:dyDescent="0.3">
      <c r="AH181" s="3" t="str">
        <f t="shared" si="6"/>
        <v xml:space="preserve"> </v>
      </c>
      <c r="AI181" s="3">
        <f t="shared" si="5"/>
        <v>0</v>
      </c>
      <c r="AJ181" s="3" t="str">
        <f t="shared" si="5"/>
        <v xml:space="preserve"> </v>
      </c>
      <c r="AK181" s="111" t="str">
        <f t="shared" si="5"/>
        <v xml:space="preserve"> </v>
      </c>
      <c r="AL181" s="3" t="str">
        <f t="shared" si="5"/>
        <v xml:space="preserve"> </v>
      </c>
      <c r="AM181" s="3" t="str">
        <f t="shared" si="5"/>
        <v xml:space="preserve"> </v>
      </c>
      <c r="AN181" s="3" t="str">
        <f t="shared" si="5"/>
        <v xml:space="preserve"> </v>
      </c>
      <c r="AO181" s="3" t="str">
        <f t="shared" si="5"/>
        <v xml:space="preserve"> </v>
      </c>
      <c r="AP181" s="3" t="str">
        <f t="shared" si="5"/>
        <v xml:space="preserve"> </v>
      </c>
      <c r="AQ181" s="4"/>
      <c r="AR181" s="4"/>
      <c r="AU181" s="9" t="str">
        <f>$I$21</f>
        <v xml:space="preserve"> </v>
      </c>
    </row>
    <row r="182" spans="34:67" x14ac:dyDescent="0.3">
      <c r="AH182" s="2" t="str">
        <f t="shared" ref="AH182:AH187" si="7">B30</f>
        <v xml:space="preserve">        U výsuvu dole je vrtání posunuto o 1 mm nahoru jako tolerance pro případ montáže</v>
      </c>
      <c r="AX182" s="2" t="str">
        <f>$I$22</f>
        <v xml:space="preserve"> </v>
      </c>
    </row>
    <row r="183" spans="34:67" x14ac:dyDescent="0.3">
      <c r="AH183" s="2" t="str">
        <f t="shared" si="7"/>
        <v xml:space="preserve">         na bok korpusu v rozloženém stavu.</v>
      </c>
      <c r="AU183" s="9" t="str">
        <f>$I$22</f>
        <v xml:space="preserve"> </v>
      </c>
    </row>
    <row r="184" spans="34:67" x14ac:dyDescent="0.3">
      <c r="AH184" s="2" t="str">
        <f t="shared" si="7"/>
        <v xml:space="preserve">       * Možné výšky bočnic výsuvu vzhledem k výšce čela</v>
      </c>
      <c r="AX184" s="2" t="str">
        <f>$I$23</f>
        <v xml:space="preserve"> </v>
      </c>
    </row>
    <row r="185" spans="34:67" x14ac:dyDescent="0.3">
      <c r="AH185" s="2" t="str">
        <f t="shared" si="7"/>
        <v xml:space="preserve">     ** Platí pro naložená čela a vnitřní výsuvy s BLUMOTION</v>
      </c>
      <c r="AU185" s="9" t="str">
        <f>$I$23</f>
        <v xml:space="preserve"> </v>
      </c>
      <c r="AX185" s="307">
        <v>0</v>
      </c>
    </row>
    <row r="186" spans="34:67" x14ac:dyDescent="0.3">
      <c r="AH186" s="2" t="str">
        <f t="shared" si="7"/>
        <v xml:space="preserve">         U výsuvů s vloženými čely je nutné připočíst tloušťku čela a příp. zapuštění do korpusu</v>
      </c>
      <c r="AX186" s="307"/>
    </row>
    <row r="187" spans="34:67" x14ac:dyDescent="0.3">
      <c r="AH187" s="2" t="str">
        <f t="shared" si="7"/>
        <v xml:space="preserve">         U vnitřních výsuvů s TIP-ON je nutné posunout pozici korpusové lišty o min. 7 mm směrem do korpusu!</v>
      </c>
    </row>
    <row r="189" spans="34:67" x14ac:dyDescent="0.3">
      <c r="AI189" s="9" t="s">
        <v>43</v>
      </c>
      <c r="AN189" s="9" t="s">
        <v>311</v>
      </c>
      <c r="AT189" s="47" t="s">
        <v>312</v>
      </c>
      <c r="AY189" s="2" t="s">
        <v>290</v>
      </c>
    </row>
    <row r="190" spans="34:67" x14ac:dyDescent="0.3">
      <c r="AI190" s="63" t="str">
        <f>$G$23</f>
        <v xml:space="preserve"> </v>
      </c>
    </row>
    <row r="191" spans="34:67" x14ac:dyDescent="0.3">
      <c r="AY191" s="104" t="s">
        <v>291</v>
      </c>
      <c r="AZ191" s="31" t="str">
        <f>L47</f>
        <v xml:space="preserve"> </v>
      </c>
      <c r="BA191" s="104" t="s">
        <v>292</v>
      </c>
      <c r="BH191" s="112"/>
      <c r="BO191" s="2" t="s">
        <v>292</v>
      </c>
    </row>
    <row r="192" spans="34:67" x14ac:dyDescent="0.3">
      <c r="AY192" s="63"/>
    </row>
    <row r="193" spans="35:67" x14ac:dyDescent="0.3">
      <c r="AI193" s="15" t="str">
        <f>$G$23</f>
        <v xml:space="preserve"> </v>
      </c>
      <c r="AY193" s="104" t="s">
        <v>293</v>
      </c>
      <c r="AZ193" s="31"/>
      <c r="BA193" s="31"/>
    </row>
    <row r="194" spans="35:67" x14ac:dyDescent="0.3">
      <c r="AY194" s="104" t="s">
        <v>279</v>
      </c>
      <c r="AZ194" s="31" t="str">
        <f t="shared" ref="AZ194:AZ197" si="8">L50</f>
        <v xml:space="preserve"> </v>
      </c>
      <c r="BA194" s="104" t="s">
        <v>292</v>
      </c>
      <c r="BO194" s="2" t="s">
        <v>292</v>
      </c>
    </row>
    <row r="195" spans="35:67" x14ac:dyDescent="0.3">
      <c r="AI195" s="15" t="str">
        <f>$G$23</f>
        <v xml:space="preserve"> </v>
      </c>
      <c r="AY195" s="104" t="s">
        <v>294</v>
      </c>
      <c r="AZ195" s="31" t="str">
        <f t="shared" si="8"/>
        <v xml:space="preserve"> </v>
      </c>
      <c r="BA195" s="104" t="s">
        <v>292</v>
      </c>
      <c r="BO195" s="2" t="s">
        <v>292</v>
      </c>
    </row>
    <row r="196" spans="35:67" x14ac:dyDescent="0.3">
      <c r="AY196" s="104" t="s">
        <v>280</v>
      </c>
      <c r="AZ196" s="31" t="str">
        <f t="shared" si="8"/>
        <v xml:space="preserve"> </v>
      </c>
      <c r="BA196" s="104" t="s">
        <v>292</v>
      </c>
      <c r="BO196" s="2" t="s">
        <v>292</v>
      </c>
    </row>
    <row r="197" spans="35:67" x14ac:dyDescent="0.3">
      <c r="AL197" s="63" t="str">
        <f>$F$23</f>
        <v xml:space="preserve"> </v>
      </c>
      <c r="AS197" s="63" t="str">
        <f>$F$22</f>
        <v xml:space="preserve"> </v>
      </c>
      <c r="AY197" s="104" t="s">
        <v>406</v>
      </c>
      <c r="AZ197" s="31" t="str">
        <f t="shared" si="8"/>
        <v xml:space="preserve"> </v>
      </c>
      <c r="BA197" s="104" t="s">
        <v>292</v>
      </c>
      <c r="BO197" s="2" t="s">
        <v>292</v>
      </c>
    </row>
    <row r="198" spans="35:67" x14ac:dyDescent="0.3">
      <c r="AI198" s="9" t="s">
        <v>269</v>
      </c>
      <c r="AJ198" s="5" t="str">
        <f>$F$22</f>
        <v xml:space="preserve"> </v>
      </c>
    </row>
    <row r="199" spans="35:67" x14ac:dyDescent="0.3">
      <c r="AI199" s="9" t="s">
        <v>270</v>
      </c>
      <c r="AJ199" s="5" t="str">
        <f>$F$23</f>
        <v xml:space="preserve"> </v>
      </c>
      <c r="AM199" s="47" t="str">
        <f>$H$23</f>
        <v xml:space="preserve"> </v>
      </c>
      <c r="AP199" s="47" t="str">
        <f>$G$23</f>
        <v xml:space="preserve"> </v>
      </c>
      <c r="AT199" s="47" t="str">
        <f>$G$22</f>
        <v xml:space="preserve"> </v>
      </c>
      <c r="AV199" s="63" t="str">
        <f>$G$23</f>
        <v xml:space="preserve"> </v>
      </c>
    </row>
  </sheetData>
  <sheetProtection algorithmName="SHA-512" hashValue="Yl6kieKPfefqngtwC+Z9VZk7W2R9xi+u4IiYNXr7+HF6fI2sW8JQrVZDqLJfxo7s2qAmPeMHb/sMb3exDFy4Ug==" saltValue="pYxMJq8Rl7vCd4x2AWmBOw==" spinCount="100000" sheet="1" objects="1" scenarios="1"/>
  <mergeCells count="44">
    <mergeCell ref="AF1:AG1"/>
    <mergeCell ref="A111:A151"/>
    <mergeCell ref="A40:A110"/>
    <mergeCell ref="AD79:AE79"/>
    <mergeCell ref="AD104:AE104"/>
    <mergeCell ref="D17:D18"/>
    <mergeCell ref="AD136:AE136"/>
    <mergeCell ref="Y19:Y23"/>
    <mergeCell ref="B17:B18"/>
    <mergeCell ref="C17:C18"/>
    <mergeCell ref="F17:H17"/>
    <mergeCell ref="I17:J17"/>
    <mergeCell ref="D6:J6"/>
    <mergeCell ref="AB3:AD3"/>
    <mergeCell ref="D4:J4"/>
    <mergeCell ref="D5:J5"/>
    <mergeCell ref="E17:E18"/>
    <mergeCell ref="D7:J7"/>
    <mergeCell ref="AI162:AL162"/>
    <mergeCell ref="AI163:AL163"/>
    <mergeCell ref="AI164:AL164"/>
    <mergeCell ref="D14:J14"/>
    <mergeCell ref="D12:J12"/>
    <mergeCell ref="D13:J13"/>
    <mergeCell ref="D8:J8"/>
    <mergeCell ref="D9:J9"/>
    <mergeCell ref="D10:J10"/>
    <mergeCell ref="D11:J11"/>
    <mergeCell ref="AI165:AL165"/>
    <mergeCell ref="AI166:AL166"/>
    <mergeCell ref="AI167:AL167"/>
    <mergeCell ref="AI168:AL168"/>
    <mergeCell ref="AI169:AL169"/>
    <mergeCell ref="AI170:AL170"/>
    <mergeCell ref="AI171:AL171"/>
    <mergeCell ref="AX185:AX186"/>
    <mergeCell ref="AS171:AZ172"/>
    <mergeCell ref="AI172:AL172"/>
    <mergeCell ref="AO175:AP175"/>
    <mergeCell ref="AH175:AH176"/>
    <mergeCell ref="AI175:AI176"/>
    <mergeCell ref="AJ175:AJ176"/>
    <mergeCell ref="AK175:AK176"/>
    <mergeCell ref="AL175:AN175"/>
  </mergeCells>
  <conditionalFormatting sqref="C14">
    <cfRule type="colorScale" priority="8">
      <colorScale>
        <cfvo type="num" val="-0.1"/>
        <cfvo type="num" val="0"/>
        <cfvo type="num" val="1"/>
        <color rgb="FFFF0000"/>
        <color theme="9"/>
        <color rgb="FFFFFF00"/>
      </colorScale>
    </cfRule>
  </conditionalFormatting>
  <conditionalFormatting sqref="C19">
    <cfRule type="expression" dxfId="4" priority="2">
      <formula>AND($C$13&gt;4, $C$13&lt;6)</formula>
    </cfRule>
  </conditionalFormatting>
  <conditionalFormatting sqref="C20">
    <cfRule type="expression" dxfId="3" priority="3">
      <formula>AND($C$13&gt;3, $C$13&lt;6)</formula>
    </cfRule>
  </conditionalFormatting>
  <conditionalFormatting sqref="C21">
    <cfRule type="expression" dxfId="2" priority="4">
      <formula>AND($C$13&gt;2, $C$13&lt;6)</formula>
    </cfRule>
  </conditionalFormatting>
  <conditionalFormatting sqref="C22">
    <cfRule type="expression" dxfId="1" priority="5">
      <formula>AND($C$13&gt;1, $C$13&lt;6)</formula>
    </cfRule>
  </conditionalFormatting>
  <conditionalFormatting sqref="C23">
    <cfRule type="expression" dxfId="0" priority="1">
      <formula>AND($C$13&gt;0, $C$13&lt;6)</formula>
    </cfRule>
  </conditionalFormatting>
  <hyperlinks>
    <hyperlink ref="AD136:AE136" location="LBX!A1" tooltip="Zpět na plánování" display="Zpět" xr:uid="{00000000-0004-0000-0C00-000000000000}"/>
    <hyperlink ref="AD79:AE79" location="LBX!A1" tooltip="Zpět na plánování" display="Zpět" xr:uid="{00000000-0004-0000-0C00-000005000000}"/>
    <hyperlink ref="AD104:AE104" location="LBX!A1" tooltip="Zpět na plánování" display="Zpět" xr:uid="{00000000-0004-0000-0C00-000007000000}"/>
    <hyperlink ref="AF1" location="AVS!A1" tooltip="Úvodní strana AVENTOS" display="Úvod AVENTOS" xr:uid="{07F4F577-BBAF-46B9-B9BD-60088DF92F8C}"/>
    <hyperlink ref="AF1:AG1" location="BOX!A1" tooltip="Úvodní strana AVENTOS" display="► Úvod - box systémy" xr:uid="{839C514A-3EC8-42D5-97D2-35CEF5ECDE46}"/>
  </hyperlinks>
  <pageMargins left="0.23622047244094491" right="0.23622047244094491" top="0.55118110236220474" bottom="0.74803149606299213" header="0.31496062992125984" footer="0.31496062992125984"/>
  <pageSetup paperSize="9" scale="85" orientation="landscape" verticalDpi="599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9A159059-B37A-4990-8788-B32903AD3B6D}">
            <x14:iconSet showValue="0" custom="1">
              <x14:cfvo type="percent">
                <xm:f>0</xm:f>
              </x14:cfvo>
              <x14:cfvo type="num">
                <xm:f>1</xm:f>
              </x14:cfvo>
              <x14:cfvo type="num">
                <xm:f>6</xm:f>
              </x14:cfvo>
              <x14:cfIcon iconSet="NoIcons" iconId="0"/>
              <x14:cfIcon iconSet="3Symbols2" iconId="2"/>
              <x14:cfIcon iconSet="3Symbols2" iconId="0"/>
            </x14:iconSet>
          </x14:cfRule>
          <xm:sqref>B13</xm:sqref>
        </x14:conditionalFormatting>
        <x14:conditionalFormatting xmlns:xm="http://schemas.microsoft.com/office/excel/2006/main">
          <x14:cfRule type="iconSet" priority="7" id="{1E6573FC-C14D-41DC-B56C-B2557EEA2FE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2"/>
              <x14:cfIcon iconSet="NoIcons" iconId="0"/>
            </x14:iconSet>
          </x14:cfRule>
          <xm:sqref>B14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 tint="-0.749992370372631"/>
  </sheetPr>
  <dimension ref="B1:E19"/>
  <sheetViews>
    <sheetView showGridLines="0" showRowColHeaders="0" workbookViewId="0">
      <selection activeCell="E2" sqref="E2"/>
    </sheetView>
  </sheetViews>
  <sheetFormatPr defaultRowHeight="14" x14ac:dyDescent="0.3"/>
  <cols>
    <col min="1" max="1" width="4.25" customWidth="1"/>
    <col min="2" max="2" width="27.9140625" customWidth="1"/>
    <col min="3" max="4" width="30.5" customWidth="1"/>
    <col min="5" max="5" width="15.83203125" customWidth="1"/>
  </cols>
  <sheetData>
    <row r="1" spans="2:5" ht="6" customHeight="1" x14ac:dyDescent="0.3"/>
    <row r="2" spans="2:5" ht="24" customHeight="1" x14ac:dyDescent="0.5">
      <c r="B2" s="69" t="s">
        <v>408</v>
      </c>
      <c r="E2" s="49" t="s">
        <v>17</v>
      </c>
    </row>
    <row r="12" spans="2:5" ht="33.75" customHeight="1" x14ac:dyDescent="0.3"/>
    <row r="13" spans="2:5" ht="32.25" customHeight="1" x14ac:dyDescent="0.3">
      <c r="B13" s="300" t="s">
        <v>409</v>
      </c>
      <c r="C13" s="300"/>
      <c r="D13" s="300"/>
    </row>
    <row r="14" spans="2:5" ht="32.25" customHeight="1" x14ac:dyDescent="0.3">
      <c r="B14" s="21" t="s">
        <v>236</v>
      </c>
      <c r="C14" s="21" t="s">
        <v>483</v>
      </c>
      <c r="D14" s="21" t="s">
        <v>235</v>
      </c>
    </row>
    <row r="15" spans="2:5" x14ac:dyDescent="0.3">
      <c r="B15" s="20"/>
      <c r="C15" s="20"/>
      <c r="D15" s="20"/>
    </row>
    <row r="17" spans="2:4" ht="44.25" customHeight="1" x14ac:dyDescent="0.3">
      <c r="B17" s="356" t="s">
        <v>7</v>
      </c>
      <c r="C17" s="356"/>
      <c r="D17" s="356"/>
    </row>
    <row r="19" spans="2:4" x14ac:dyDescent="0.3">
      <c r="B19" t="s">
        <v>8</v>
      </c>
    </row>
  </sheetData>
  <sheetProtection algorithmName="SHA-512" hashValue="3WKx+/j1Oe50uUfD0UN+9Y5RNyPxHXGinPUt9jARp8pCPnqBhlGPFBsFFUlBoasE1sqxhMcc5K1V1AEtKpehWg==" saltValue="sonXHIWasnp3k/6kHxismA==" spinCount="100000" sheet="1" objects="1" scenarios="1"/>
  <mergeCells count="2">
    <mergeCell ref="B13:D13"/>
    <mergeCell ref="B17:D17"/>
  </mergeCells>
  <hyperlinks>
    <hyperlink ref="B14" location="ST_TBX!A1" tooltip=" " display="TANDEMBOX antaro / intivo" xr:uid="{00000000-0004-0000-0D00-000000000000}"/>
    <hyperlink ref="C14" location="ST_MVX!A1" tooltip=" " display="LEGRABOX pure / free" xr:uid="{00000000-0004-0000-0D00-000001000000}"/>
    <hyperlink ref="E2" location="Uvod!A1" tooltip=" " display="Úvodní strana" xr:uid="{00000000-0004-0000-0D00-000002000000}"/>
    <hyperlink ref="D14" location="ST_LBX!A1" tooltip=" " display="LEGRABOX" xr:uid="{99C9BFE4-FD3C-4E04-A3D3-3AFE97EBEC4D}"/>
  </hyperlinks>
  <pageMargins left="0.51181102362204722" right="0.51181102362204722" top="0.78740157480314965" bottom="0.78740157480314965" header="0.31496062992125984" footer="0.31496062992125984"/>
  <pageSetup paperSize="9" orientation="portrait" verticalDpi="599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 tint="-0.499984740745262"/>
  </sheetPr>
  <dimension ref="A1:AU149"/>
  <sheetViews>
    <sheetView showGridLines="0" showRowColHeaders="0" zoomScaleNormal="100" workbookViewId="0">
      <selection activeCell="AB25" sqref="AB25"/>
    </sheetView>
  </sheetViews>
  <sheetFormatPr defaultColWidth="8.9140625" defaultRowHeight="14" x14ac:dyDescent="0.3"/>
  <cols>
    <col min="1" max="1" width="1" style="2" customWidth="1"/>
    <col min="2" max="2" width="2.6640625" style="2" customWidth="1"/>
    <col min="3" max="3" width="10.5" style="2" customWidth="1"/>
    <col min="4" max="10" width="9.4140625" style="2" customWidth="1"/>
    <col min="11" max="11" width="0.75" style="2" customWidth="1"/>
    <col min="12" max="12" width="18.5" style="2" customWidth="1"/>
    <col min="13" max="14" width="8.6640625" style="2" hidden="1" customWidth="1"/>
    <col min="15" max="17" width="8.9140625" style="2" hidden="1" customWidth="1"/>
    <col min="18" max="24" width="7.5" style="2" hidden="1" customWidth="1"/>
    <col min="25" max="25" width="2.1640625" style="2" hidden="1" customWidth="1"/>
    <col min="26" max="26" width="21.4140625" style="2" customWidth="1"/>
    <col min="27" max="27" width="9.4140625" style="2" customWidth="1"/>
    <col min="28" max="28" width="19.08203125" style="2" customWidth="1"/>
    <col min="29" max="38" width="6.33203125" style="2" customWidth="1"/>
    <col min="39" max="40" width="7.5" style="2" customWidth="1"/>
    <col min="41" max="45" width="8.9140625" style="2"/>
    <col min="46" max="46" width="7.58203125" style="2" customWidth="1"/>
    <col min="47" max="47" width="6.83203125" style="2" customWidth="1"/>
    <col min="48" max="16384" width="8.9140625" style="2"/>
  </cols>
  <sheetData>
    <row r="1" spans="2:28" ht="25" x14ac:dyDescent="0.5">
      <c r="C1" s="1" t="s">
        <v>410</v>
      </c>
      <c r="AB1" s="68" t="s">
        <v>411</v>
      </c>
    </row>
    <row r="2" spans="2:28" ht="20.149999999999999" customHeight="1" x14ac:dyDescent="0.4">
      <c r="C2" s="22" t="s">
        <v>236</v>
      </c>
    </row>
    <row r="3" spans="2:28" ht="16.5" customHeight="1" x14ac:dyDescent="0.3">
      <c r="C3" s="6"/>
      <c r="D3" s="17" t="s">
        <v>108</v>
      </c>
      <c r="E3" s="17"/>
      <c r="F3" s="17"/>
      <c r="G3" s="17"/>
      <c r="H3" s="17"/>
      <c r="I3" s="17"/>
      <c r="J3" s="17"/>
      <c r="N3" s="9" t="s">
        <v>24</v>
      </c>
      <c r="O3" s="30">
        <f>IF(AND(O4=1, O5=1, O6=1, O7=1, O8=1, O9=1, O10=1, O11=1, O12=1, O13=1, O14=1),1,2)</f>
        <v>2</v>
      </c>
      <c r="P3" s="31" t="s">
        <v>25</v>
      </c>
    </row>
    <row r="4" spans="2:28" ht="16.5" customHeight="1" x14ac:dyDescent="0.3">
      <c r="C4" s="6"/>
      <c r="D4" s="79"/>
      <c r="E4" s="348" t="s">
        <v>26</v>
      </c>
      <c r="F4" s="349"/>
      <c r="G4" s="349"/>
      <c r="H4" s="349"/>
      <c r="I4" s="349"/>
      <c r="J4" s="350"/>
      <c r="L4" s="12" t="str">
        <f>IF(D4&lt;X14, "Minimálně "&amp;X14&amp;" mm!", IF(D4&gt;2500, "Maximálně 2500 mm!", " "))</f>
        <v>Minimálně 1429 mm!</v>
      </c>
      <c r="O4" s="63">
        <f>IF(OR(D4&lt;$X$14, D4&gt;2500), 2, 1)</f>
        <v>2</v>
      </c>
      <c r="P4" s="31" t="s">
        <v>27</v>
      </c>
    </row>
    <row r="5" spans="2:28" ht="16.5" customHeight="1" x14ac:dyDescent="0.3">
      <c r="C5" s="6"/>
      <c r="D5" s="79"/>
      <c r="E5" s="348" t="s">
        <v>28</v>
      </c>
      <c r="F5" s="349"/>
      <c r="G5" s="349"/>
      <c r="H5" s="349"/>
      <c r="I5" s="349"/>
      <c r="J5" s="350"/>
      <c r="L5" s="12" t="str">
        <f>IF(D5&lt;300, "Minimálně 300 mm!", IF(D5&gt;1200, "Maximálně 1200 mm!", " "))</f>
        <v>Minimálně 300 mm!</v>
      </c>
      <c r="O5" s="63">
        <f>IF(OR(D5&lt;250, D5&gt;1200), 2, 1)</f>
        <v>2</v>
      </c>
    </row>
    <row r="6" spans="2:28" ht="16.5" customHeight="1" x14ac:dyDescent="0.3">
      <c r="C6" s="6"/>
      <c r="D6" s="78"/>
      <c r="E6" s="348" t="s">
        <v>30</v>
      </c>
      <c r="F6" s="349"/>
      <c r="G6" s="349"/>
      <c r="H6" s="349"/>
      <c r="I6" s="349"/>
      <c r="J6" s="350"/>
      <c r="L6" s="12" t="str">
        <f>IF(D6&gt;20,"Maximálně 20 mm!",IF(D6&lt;16,"Minimálně 16 mm!", " "))</f>
        <v>Minimálně 16 mm!</v>
      </c>
      <c r="O6" s="63">
        <f>IF(OR(D6&lt;16, D6&gt;20),2, 1)</f>
        <v>2</v>
      </c>
    </row>
    <row r="7" spans="2:28" ht="16.5" customHeight="1" x14ac:dyDescent="0.3">
      <c r="C7" s="6"/>
      <c r="D7" s="78"/>
      <c r="E7" s="348" t="s">
        <v>31</v>
      </c>
      <c r="F7" s="349"/>
      <c r="G7" s="349"/>
      <c r="H7" s="349"/>
      <c r="I7" s="349"/>
      <c r="J7" s="350"/>
      <c r="L7" s="12" t="str">
        <f>IF(D7&lt;16,"Minimálně 16 mm!"," ")</f>
        <v>Minimálně 16 mm!</v>
      </c>
      <c r="O7" s="63">
        <f>IF(D7&lt;16, 2, 1)</f>
        <v>2</v>
      </c>
    </row>
    <row r="8" spans="2:28" ht="16.5" customHeight="1" x14ac:dyDescent="0.3">
      <c r="C8" s="6"/>
      <c r="D8" s="78"/>
      <c r="E8" s="348" t="s">
        <v>109</v>
      </c>
      <c r="F8" s="349"/>
      <c r="G8" s="349"/>
      <c r="H8" s="349"/>
      <c r="I8" s="349"/>
      <c r="J8" s="350"/>
      <c r="L8" s="12" t="str">
        <f>IF(D8&gt;$D$6,"Maximálně "&amp;$D$6&amp;" mm!"," ")</f>
        <v xml:space="preserve"> </v>
      </c>
      <c r="O8" s="63">
        <f>IF(D8&gt;$D$6, 2, 1)</f>
        <v>1</v>
      </c>
    </row>
    <row r="9" spans="2:28" ht="16.5" customHeight="1" x14ac:dyDescent="0.3">
      <c r="C9" s="6"/>
      <c r="D9" s="78"/>
      <c r="E9" s="348" t="s">
        <v>412</v>
      </c>
      <c r="F9" s="349"/>
      <c r="G9" s="349"/>
      <c r="H9" s="349"/>
      <c r="I9" s="349"/>
      <c r="J9" s="350"/>
      <c r="L9" s="12" t="str">
        <f>IF(D9&gt;$D$6,"Maximálně "&amp;$D$6&amp;" mm!"," ")</f>
        <v xml:space="preserve"> </v>
      </c>
      <c r="O9" s="63">
        <f>IF(D9&gt;$D$6, 2, 1)</f>
        <v>1</v>
      </c>
    </row>
    <row r="10" spans="2:28" ht="16.5" customHeight="1" x14ac:dyDescent="0.3">
      <c r="C10" s="6"/>
      <c r="D10" s="78"/>
      <c r="E10" s="348" t="s">
        <v>413</v>
      </c>
      <c r="F10" s="349"/>
      <c r="G10" s="349"/>
      <c r="H10" s="349"/>
      <c r="I10" s="349"/>
      <c r="J10" s="350"/>
      <c r="L10" s="12" t="str">
        <f>IF($D$7&gt;15.999, IF(D10&lt;&gt;($D$7-16), "Musí být "&amp;($D$7-16)&amp;" mm! ***", " "), " ")</f>
        <v xml:space="preserve"> </v>
      </c>
      <c r="O10" s="63">
        <f>IF(D10=($D$7-16), 1, 2)</f>
        <v>2</v>
      </c>
    </row>
    <row r="11" spans="2:28" ht="16.5" customHeight="1" x14ac:dyDescent="0.3">
      <c r="C11" s="6"/>
      <c r="D11" s="79"/>
      <c r="E11" s="348" t="s">
        <v>414</v>
      </c>
      <c r="F11" s="349"/>
      <c r="G11" s="349"/>
      <c r="H11" s="349"/>
      <c r="I11" s="349"/>
      <c r="J11" s="350"/>
      <c r="L11" s="12" t="str">
        <f>IF(OR($D$11=3, $D$11=4), " ", "Musí být 3 nebo 4!")</f>
        <v>Musí být 3 nebo 4!</v>
      </c>
      <c r="O11" s="63">
        <f>IF(OR(D11=3, D11=4), 1, 2)</f>
        <v>2</v>
      </c>
    </row>
    <row r="12" spans="2:28" ht="16.5" customHeight="1" x14ac:dyDescent="0.3">
      <c r="C12" s="124"/>
      <c r="D12" s="79"/>
      <c r="E12" s="348" t="s">
        <v>241</v>
      </c>
      <c r="F12" s="349"/>
      <c r="G12" s="349"/>
      <c r="H12" s="349"/>
      <c r="I12" s="349"/>
      <c r="J12" s="350"/>
      <c r="L12"/>
      <c r="M12" s="14" t="str">
        <f>IF((OR($C$12=0, $N$12=1)), " ", "Nesprávná hodnota***")</f>
        <v xml:space="preserve"> </v>
      </c>
      <c r="N12" s="114" t="s">
        <v>242</v>
      </c>
      <c r="O12" s="20">
        <f>IF(OR(D12=270, D12=300, D12=350, D12=400, D12=450, D12=500, D12=550, D12=600, D12=650), 1, 2)</f>
        <v>2</v>
      </c>
    </row>
    <row r="13" spans="2:28" ht="16.5" customHeight="1" thickBot="1" x14ac:dyDescent="0.35">
      <c r="C13" s="6"/>
      <c r="D13" s="18" t="str">
        <f>IF(SUM(O4:O12)&gt;9, "Vyplňte správně všechny parametry!"," ")</f>
        <v>Vyplňte správně všechny parametry!</v>
      </c>
      <c r="E13" s="5"/>
      <c r="F13" s="5"/>
      <c r="G13" s="5"/>
      <c r="H13" s="5"/>
      <c r="I13" s="5"/>
      <c r="J13" s="5"/>
      <c r="N13" s="9" t="s">
        <v>415</v>
      </c>
      <c r="O13" s="63">
        <f>IF(OR(D19&lt;Q19, D20&lt;Q20, D21&lt;Q21, D22&lt;Q22, D23&lt;Q23), 2, 1)</f>
        <v>2</v>
      </c>
    </row>
    <row r="14" spans="2:28" ht="13.5" customHeight="1" thickBot="1" x14ac:dyDescent="0.35">
      <c r="N14" s="9" t="s">
        <v>57</v>
      </c>
      <c r="O14" s="63">
        <f>IF($D$4&lt;$X$14, 2, 1)</f>
        <v>2</v>
      </c>
      <c r="Q14" s="9"/>
      <c r="R14" s="232" t="s">
        <v>416</v>
      </c>
      <c r="S14" s="3">
        <f>SUM(M18:M23, 10)</f>
        <v>1429</v>
      </c>
      <c r="T14" s="232" t="s">
        <v>114</v>
      </c>
      <c r="U14" s="3">
        <f>SUM(N18:N23, 10)</f>
        <v>1512</v>
      </c>
      <c r="V14" s="232" t="s">
        <v>417</v>
      </c>
      <c r="W14" s="66">
        <f>SUM($V$18, 260)</f>
        <v>406</v>
      </c>
      <c r="X14" s="67">
        <f>IF(AND(D11&lt;&gt;4, S14&gt;W14), S14, IF(AND(D11=4, U14&gt;W14), U14, W14))</f>
        <v>1429</v>
      </c>
    </row>
    <row r="15" spans="2:28" ht="17.25" customHeight="1" x14ac:dyDescent="0.3">
      <c r="B15" s="370" t="s">
        <v>418</v>
      </c>
      <c r="C15" s="362" t="s">
        <v>419</v>
      </c>
      <c r="D15" s="362" t="s">
        <v>252</v>
      </c>
      <c r="E15" s="372" t="s">
        <v>420</v>
      </c>
      <c r="F15" s="363"/>
      <c r="G15" s="363"/>
      <c r="H15" s="364"/>
      <c r="I15" s="373" t="s">
        <v>140</v>
      </c>
      <c r="J15" s="374"/>
      <c r="O15" s="63"/>
      <c r="P15" s="63"/>
      <c r="Q15" s="63"/>
      <c r="R15" s="63"/>
      <c r="S15" s="63"/>
      <c r="T15" s="63"/>
    </row>
    <row r="16" spans="2:28" ht="17.25" customHeight="1" x14ac:dyDescent="0.3">
      <c r="B16" s="370"/>
      <c r="C16" s="362"/>
      <c r="D16" s="362"/>
      <c r="E16" s="362" t="s">
        <v>421</v>
      </c>
      <c r="F16" s="362"/>
      <c r="G16" s="363" t="s">
        <v>422</v>
      </c>
      <c r="H16" s="364"/>
      <c r="I16" s="375"/>
      <c r="J16" s="376"/>
      <c r="M16" s="2" t="s">
        <v>423</v>
      </c>
      <c r="N16" s="80"/>
      <c r="O16" s="81" t="s">
        <v>424</v>
      </c>
      <c r="Q16" s="80"/>
      <c r="R16" s="82" t="s">
        <v>425</v>
      </c>
      <c r="S16" s="82"/>
      <c r="T16" s="82" t="s">
        <v>426</v>
      </c>
      <c r="U16" s="82"/>
      <c r="V16" s="83" t="s">
        <v>427</v>
      </c>
      <c r="W16" s="84"/>
      <c r="X16" s="85"/>
    </row>
    <row r="17" spans="1:28" ht="15" customHeight="1" x14ac:dyDescent="0.3">
      <c r="B17" s="370"/>
      <c r="C17" s="362"/>
      <c r="D17" s="362"/>
      <c r="E17" s="230" t="s">
        <v>428</v>
      </c>
      <c r="F17" s="230" t="s">
        <v>429</v>
      </c>
      <c r="G17" s="230" t="s">
        <v>428</v>
      </c>
      <c r="H17" s="230" t="s">
        <v>429</v>
      </c>
      <c r="I17" s="230" t="s">
        <v>141</v>
      </c>
      <c r="J17" s="230" t="s">
        <v>70</v>
      </c>
      <c r="M17" s="13" t="s">
        <v>430</v>
      </c>
      <c r="N17" s="59" t="s">
        <v>431</v>
      </c>
      <c r="O17" s="60" t="s">
        <v>430</v>
      </c>
      <c r="P17" s="59" t="s">
        <v>431</v>
      </c>
      <c r="Q17" s="61" t="s">
        <v>432</v>
      </c>
      <c r="R17" s="62" t="s">
        <v>428</v>
      </c>
      <c r="S17" s="62" t="s">
        <v>429</v>
      </c>
      <c r="T17" s="62" t="s">
        <v>428</v>
      </c>
      <c r="U17" s="62" t="s">
        <v>429</v>
      </c>
      <c r="V17" s="62" t="s">
        <v>141</v>
      </c>
      <c r="W17" s="62" t="s">
        <v>70</v>
      </c>
      <c r="X17" s="62" t="s">
        <v>433</v>
      </c>
      <c r="Z17" s="172"/>
    </row>
    <row r="18" spans="1:28" ht="24" customHeight="1" x14ac:dyDescent="0.3">
      <c r="B18" s="367" t="s">
        <v>434</v>
      </c>
      <c r="C18" s="368"/>
      <c r="D18" s="369"/>
      <c r="E18" s="3" t="str">
        <f>IF(OR($D$19=0, $O$3=2, $D$11&lt;&gt;3)," ", R18)</f>
        <v xml:space="preserve"> </v>
      </c>
      <c r="F18" s="3" t="str">
        <f>IF(OR($D19=0,$O$3=2, $D$11&lt;&gt;3)," ", S18)</f>
        <v xml:space="preserve"> </v>
      </c>
      <c r="G18" s="3" t="str">
        <f>IF(OR($D19=0, $O$3=2, $D$11&lt;&gt;4)," ", T18)</f>
        <v xml:space="preserve"> </v>
      </c>
      <c r="H18" s="3" t="str">
        <f>IF(OR($D19=0,$O$3=2, $D$11&lt;&gt;4)," ", U18)</f>
        <v xml:space="preserve"> </v>
      </c>
      <c r="I18" s="3" t="str">
        <f>IF(OR($D19=0,$O$3=2)," ",$V18)</f>
        <v xml:space="preserve"> </v>
      </c>
      <c r="J18" s="3" t="str">
        <f>IF(OR($O$3=2,$D$19=0)," ",$W$18)</f>
        <v xml:space="preserve"> </v>
      </c>
      <c r="M18" s="64">
        <v>260</v>
      </c>
      <c r="N18" s="65">
        <v>260</v>
      </c>
      <c r="O18" s="64">
        <f>SUM(M18, -$D$6, -9)</f>
        <v>251</v>
      </c>
      <c r="P18" s="65">
        <f>SUM(N18, -$D$6, -9)</f>
        <v>251</v>
      </c>
      <c r="Q18" s="58">
        <f t="shared" ref="Q18:Q23" si="0">IF($D$11=3, O18, P18)</f>
        <v>251</v>
      </c>
      <c r="R18" s="4">
        <f>SUM($D$4, -80)</f>
        <v>-80</v>
      </c>
      <c r="S18" s="35">
        <f>R18-$D$9</f>
        <v>-80</v>
      </c>
      <c r="T18" s="4">
        <f>SUM($D$4, -80)</f>
        <v>-80</v>
      </c>
      <c r="U18" s="35">
        <f>T18-$D$9</f>
        <v>-80</v>
      </c>
      <c r="V18" s="4">
        <f>SUM($V$19, $D$19, -38, 40, 9)</f>
        <v>146</v>
      </c>
      <c r="W18" s="4">
        <v>37</v>
      </c>
      <c r="X18" s="63"/>
      <c r="Z18" s="232"/>
    </row>
    <row r="19" spans="1:28" ht="24" customHeight="1" x14ac:dyDescent="0.3">
      <c r="A19" s="163"/>
      <c r="B19" s="164">
        <v>5</v>
      </c>
      <c r="C19" s="51">
        <v>245</v>
      </c>
      <c r="D19" s="79"/>
      <c r="E19" s="3" t="str">
        <f>IF(OR($D19=0, $O$3=2, $D$11&lt;&gt;3)," ", R19)</f>
        <v xml:space="preserve"> </v>
      </c>
      <c r="F19" s="3" t="str">
        <f>IF(OR($D19=0,$O$3=2, $D$11&lt;&gt;3)," ", S19)</f>
        <v xml:space="preserve"> </v>
      </c>
      <c r="G19" s="3" t="str">
        <f>IF(OR($D19=0, $O$3=2, $D$11&lt;&gt;4)," ", T19)</f>
        <v xml:space="preserve"> </v>
      </c>
      <c r="H19" s="3" t="str">
        <f>IF(OR($D19=0,$O$3=2, $D$11&lt;&gt;4)," ", U19)</f>
        <v xml:space="preserve"> </v>
      </c>
      <c r="I19" s="3" t="str">
        <f>IF(OR($D20=0,$O$3=2)," ",$V19)</f>
        <v xml:space="preserve"> </v>
      </c>
      <c r="J19" s="3" t="str">
        <f>IF(OR($O$3=2,$D$19=0)," ",$W$19)</f>
        <v xml:space="preserve"> </v>
      </c>
      <c r="L19" s="43" t="str">
        <f>IF($D19&lt;$Q19, "Min. "&amp;$Q19&amp;"!", " ")</f>
        <v>Min. 177!</v>
      </c>
      <c r="M19" s="52">
        <f>SUM(99, 20)</f>
        <v>119</v>
      </c>
      <c r="N19" s="53">
        <f>SUM(99, 33, 70)</f>
        <v>202</v>
      </c>
      <c r="O19" s="54">
        <f t="shared" ref="O19:P22" si="1">SUM(M19, -25)</f>
        <v>94</v>
      </c>
      <c r="P19" s="55">
        <f t="shared" si="1"/>
        <v>177</v>
      </c>
      <c r="Q19" s="58">
        <f t="shared" si="0"/>
        <v>177</v>
      </c>
      <c r="R19" s="4" t="s">
        <v>435</v>
      </c>
      <c r="S19" s="35" t="s">
        <v>435</v>
      </c>
      <c r="T19" s="4">
        <f>V19+112</f>
        <v>247</v>
      </c>
      <c r="U19" s="35">
        <f>T19-$D$9</f>
        <v>247</v>
      </c>
      <c r="V19" s="4">
        <f>SUM($V$20, $D$20, 25)</f>
        <v>135</v>
      </c>
      <c r="W19" s="4">
        <v>37</v>
      </c>
      <c r="X19" s="4">
        <v>33</v>
      </c>
      <c r="Y19" s="24"/>
      <c r="Z19" s="232"/>
      <c r="AA19" s="63"/>
    </row>
    <row r="20" spans="1:28" ht="24" customHeight="1" x14ac:dyDescent="0.3">
      <c r="A20" s="163"/>
      <c r="B20" s="164">
        <v>4</v>
      </c>
      <c r="C20" s="51">
        <v>235</v>
      </c>
      <c r="D20" s="79"/>
      <c r="E20" s="3" t="str">
        <f>IF(OR($D20=0, $O$3=2, $D$11&lt;&gt;3)," ", R20)</f>
        <v xml:space="preserve"> </v>
      </c>
      <c r="F20" s="3" t="str">
        <f>IF(OR($D20=0,$O$3=2, $D$11&lt;&gt;3)," ", S20)</f>
        <v xml:space="preserve"> </v>
      </c>
      <c r="G20" s="3" t="str">
        <f>IF(OR($D20=0, $O$3=2, $D$11&lt;&gt;4)," ", T20)</f>
        <v xml:space="preserve"> </v>
      </c>
      <c r="H20" s="3" t="str">
        <f>IF(OR($D20=0,$O$3=2, $D$11&lt;&gt;4)," ", U20)</f>
        <v xml:space="preserve"> </v>
      </c>
      <c r="I20" s="3" t="str">
        <f>IF(OR($D21=0,$O$3=2)," ",$V20)</f>
        <v xml:space="preserve"> </v>
      </c>
      <c r="J20" s="3" t="str">
        <f>IF(OR($O$3=2,$D$20=0)," ",$W$20)</f>
        <v xml:space="preserve"> </v>
      </c>
      <c r="L20" s="43" t="str">
        <f>IF($D20&lt;$Q20, "Min. "&amp;$Q20&amp;"!", " ")</f>
        <v>Min. 202!</v>
      </c>
      <c r="M20" s="52">
        <v>227</v>
      </c>
      <c r="N20" s="53">
        <v>227</v>
      </c>
      <c r="O20" s="56">
        <f t="shared" si="1"/>
        <v>202</v>
      </c>
      <c r="P20" s="57">
        <f t="shared" si="1"/>
        <v>202</v>
      </c>
      <c r="Q20" s="58">
        <f t="shared" si="0"/>
        <v>202</v>
      </c>
      <c r="R20" s="4" t="s">
        <v>435</v>
      </c>
      <c r="S20" s="35" t="s">
        <v>435</v>
      </c>
      <c r="T20" s="4" t="s">
        <v>435</v>
      </c>
      <c r="U20" s="35" t="s">
        <v>435</v>
      </c>
      <c r="V20" s="4">
        <f>SUM($V$21, $D$21, 25)</f>
        <v>110</v>
      </c>
      <c r="W20" s="4">
        <v>37</v>
      </c>
      <c r="X20" s="4">
        <v>33</v>
      </c>
      <c r="Y20" s="6"/>
      <c r="Z20" s="232"/>
    </row>
    <row r="21" spans="1:28" ht="24" customHeight="1" x14ac:dyDescent="0.3">
      <c r="A21" s="163"/>
      <c r="B21" s="164">
        <v>3</v>
      </c>
      <c r="C21" s="51">
        <v>327</v>
      </c>
      <c r="D21" s="79"/>
      <c r="E21" s="3" t="str">
        <f>IF(OR($D21=0, $O$3=2, $D$11&lt;&gt;3)," ", R21)</f>
        <v xml:space="preserve"> </v>
      </c>
      <c r="F21" s="3" t="str">
        <f>IF(OR($D21=0,$O$3=2, $D$11&lt;&gt;3)," ", S21)</f>
        <v xml:space="preserve"> </v>
      </c>
      <c r="G21" s="3" t="str">
        <f>IF(OR($D21=0, $O$3=2, $D$11&lt;&gt;4)," ", T21)</f>
        <v xml:space="preserve"> </v>
      </c>
      <c r="H21" s="3" t="str">
        <f>IF(OR($D21=0,$O$3=2, $D$11&lt;&gt;4)," ", U21)</f>
        <v xml:space="preserve"> </v>
      </c>
      <c r="I21" s="3" t="str">
        <f>IF(OR($D22=0,$O$3=2)," ",$V21)</f>
        <v xml:space="preserve"> </v>
      </c>
      <c r="J21" s="3" t="str">
        <f>IF(OR($O$3=2,$D$21=0)," ",$W$21)</f>
        <v xml:space="preserve"> </v>
      </c>
      <c r="L21" s="43" t="str">
        <f>IF($D21&lt;$Q21, "Min. "&amp;$Q21&amp;"!", " ")</f>
        <v>Min. 268!</v>
      </c>
      <c r="M21" s="52">
        <f>SUM(227, 66)</f>
        <v>293</v>
      </c>
      <c r="N21" s="53">
        <v>293</v>
      </c>
      <c r="O21" s="56">
        <f t="shared" si="1"/>
        <v>268</v>
      </c>
      <c r="P21" s="57">
        <f t="shared" si="1"/>
        <v>268</v>
      </c>
      <c r="Q21" s="58">
        <f t="shared" si="0"/>
        <v>268</v>
      </c>
      <c r="R21" s="4">
        <f>SUM($V$20, -33, -50)</f>
        <v>27</v>
      </c>
      <c r="S21" s="35">
        <f>R21-$D$9</f>
        <v>27</v>
      </c>
      <c r="T21" s="4">
        <f>SUM($V$20, -33, -50)</f>
        <v>27</v>
      </c>
      <c r="U21" s="35">
        <f>T21-$D$9</f>
        <v>27</v>
      </c>
      <c r="V21" s="4">
        <f>SUM($V$22, $D$22, 25)</f>
        <v>85</v>
      </c>
      <c r="W21" s="4">
        <v>37</v>
      </c>
      <c r="X21" s="4">
        <v>33</v>
      </c>
      <c r="Y21" s="6"/>
      <c r="Z21" s="172"/>
      <c r="AA21" s="15"/>
    </row>
    <row r="22" spans="1:28" ht="24" customHeight="1" x14ac:dyDescent="0.3">
      <c r="A22" s="163"/>
      <c r="B22" s="164">
        <v>2</v>
      </c>
      <c r="C22" s="51">
        <v>295</v>
      </c>
      <c r="D22" s="79"/>
      <c r="E22" s="3" t="str">
        <f>IF(OR($D22=0, $O$3=2, $D$11&lt;&gt;3)," ", R22)</f>
        <v xml:space="preserve"> </v>
      </c>
      <c r="F22" s="3" t="str">
        <f>IF(OR($D22=0,$O$3=2, $D$11&lt;&gt;3)," ", S22)</f>
        <v xml:space="preserve"> </v>
      </c>
      <c r="G22" s="3" t="str">
        <f>IF(OR($D22=0, $O$3=2, $D$11&lt;&gt;4)," ", T22)</f>
        <v xml:space="preserve"> </v>
      </c>
      <c r="H22" s="3" t="str">
        <f>IF(OR($D22=0,$O$3=2, $D$11&lt;&gt;4)," ", U22)</f>
        <v xml:space="preserve"> </v>
      </c>
      <c r="I22" s="3" t="str">
        <f>IF(OR($D23=0,$O$3=2)," ",$V22)</f>
        <v xml:space="preserve"> </v>
      </c>
      <c r="J22" s="3" t="str">
        <f>IF(OR($D$23=0,$O$3=2)," ",W22)</f>
        <v xml:space="preserve"> </v>
      </c>
      <c r="L22" s="43" t="str">
        <f>IF($D22&lt;$Q22, "Min. "&amp;$Q22&amp;"!", " ")</f>
        <v>Min. 202!</v>
      </c>
      <c r="M22" s="52">
        <v>227</v>
      </c>
      <c r="N22" s="53">
        <v>227</v>
      </c>
      <c r="O22" s="56">
        <f t="shared" si="1"/>
        <v>202</v>
      </c>
      <c r="P22" s="57">
        <f t="shared" si="1"/>
        <v>202</v>
      </c>
      <c r="Q22" s="58">
        <f t="shared" si="0"/>
        <v>202</v>
      </c>
      <c r="R22" s="4" t="s">
        <v>435</v>
      </c>
      <c r="S22" s="35" t="s">
        <v>435</v>
      </c>
      <c r="T22" s="4" t="s">
        <v>435</v>
      </c>
      <c r="U22" s="35" t="s">
        <v>435</v>
      </c>
      <c r="V22" s="4">
        <f>SUM($V$23, $D$23, 25)</f>
        <v>60</v>
      </c>
      <c r="W22" s="4">
        <v>37</v>
      </c>
      <c r="X22" s="4">
        <v>33</v>
      </c>
      <c r="Y22" s="6"/>
      <c r="Z22" s="232"/>
      <c r="AA22" s="15"/>
    </row>
    <row r="23" spans="1:28" ht="24" customHeight="1" x14ac:dyDescent="0.3">
      <c r="A23" s="163"/>
      <c r="B23" s="165" t="s">
        <v>267</v>
      </c>
      <c r="C23" s="51">
        <v>360</v>
      </c>
      <c r="D23" s="79"/>
      <c r="E23" s="3" t="str">
        <f>IF(OR($D23=0, $O$3=2, $D$11&lt;&gt;3)," ", R23)</f>
        <v xml:space="preserve"> </v>
      </c>
      <c r="F23" s="3" t="str">
        <f>IF(OR($D23=0,$O$3=2, $D$11&lt;&gt;3)," ", S23)</f>
        <v xml:space="preserve"> </v>
      </c>
      <c r="G23" s="3" t="str">
        <f>IF(OR($D23=0, $O$3=2, $D$11&lt;&gt;4)," ", T23)</f>
        <v xml:space="preserve"> </v>
      </c>
      <c r="H23" s="3" t="str">
        <f>IF(OR($D23=0,$O$3=2, $D$11&lt;&gt;4)," ", U23)</f>
        <v xml:space="preserve"> </v>
      </c>
      <c r="I23" s="3" t="str">
        <f>IF(OR($D$23=0,$O$3=2)," ",$V$23)</f>
        <v xml:space="preserve"> </v>
      </c>
      <c r="J23" s="3" t="str">
        <f>IF(OR($D$23=0,$O$3=2)," ",W23)</f>
        <v xml:space="preserve"> </v>
      </c>
      <c r="L23" s="43" t="str">
        <f>IF($D23&lt;$Q23, "Min. "&amp;$Q23&amp;"!", " ")</f>
        <v>Min. 268!</v>
      </c>
      <c r="M23" s="52">
        <f>SUM(227, $D$6, 66)</f>
        <v>293</v>
      </c>
      <c r="N23" s="53">
        <f>SUM(227, $D$6, 66)</f>
        <v>293</v>
      </c>
      <c r="O23" s="56">
        <f>SUM(M23, -25, -$D$6)</f>
        <v>268</v>
      </c>
      <c r="P23" s="57">
        <f>SUM(N23, -25, -$D$6)</f>
        <v>268</v>
      </c>
      <c r="Q23" s="58">
        <f t="shared" si="0"/>
        <v>268</v>
      </c>
      <c r="R23" s="4">
        <v>280</v>
      </c>
      <c r="S23" s="35">
        <f>R23-$D$9</f>
        <v>280</v>
      </c>
      <c r="T23" s="4">
        <v>280</v>
      </c>
      <c r="U23" s="35">
        <f>T23-$D$9</f>
        <v>280</v>
      </c>
      <c r="V23" s="4">
        <f>SUM($X23, $D$6)</f>
        <v>35</v>
      </c>
      <c r="W23" s="4">
        <v>37</v>
      </c>
      <c r="X23" s="4">
        <v>35</v>
      </c>
      <c r="Y23" s="6"/>
      <c r="Z23" s="232"/>
      <c r="AA23" s="9"/>
      <c r="AB23" s="5"/>
    </row>
    <row r="24" spans="1:28" ht="12.75" customHeight="1" x14ac:dyDescent="0.3"/>
    <row r="25" spans="1:28" x14ac:dyDescent="0.3">
      <c r="C25" s="2" t="s">
        <v>436</v>
      </c>
    </row>
    <row r="26" spans="1:28" x14ac:dyDescent="0.3">
      <c r="C26" s="2" t="s">
        <v>112</v>
      </c>
      <c r="P26" s="2" t="s">
        <v>437</v>
      </c>
      <c r="Q26" s="9" t="s">
        <v>438</v>
      </c>
      <c r="R26" s="2">
        <f>IF(O5=2, 0, $D$5-$D$7*2-132)</f>
        <v>0</v>
      </c>
      <c r="X26" s="11"/>
    </row>
    <row r="27" spans="1:28" ht="12" customHeight="1" x14ac:dyDescent="0.3">
      <c r="Q27" s="9" t="s">
        <v>439</v>
      </c>
      <c r="R27" s="2">
        <f>IF(O5=2, 0, $D$5-$D$7*2-122)</f>
        <v>0</v>
      </c>
    </row>
    <row r="28" spans="1:28" x14ac:dyDescent="0.3">
      <c r="C28" s="18" t="str">
        <f>IF(AND(D4&gt;0, D23&gt;0, D22&gt;0, D21&gt;0, D20&gt;0, D19&gt;0, $O$14=2), "          Rozmístění výsuvů neodpovídá výšce korpusu! Upravte úložné výšky nebo výšku korpusu.", " ")</f>
        <v xml:space="preserve"> </v>
      </c>
    </row>
    <row r="29" spans="1:28" ht="12" customHeight="1" x14ac:dyDescent="0.3">
      <c r="Q29" s="9" t="s">
        <v>291</v>
      </c>
      <c r="R29" s="2">
        <f>IF($O$3=2, 0, SUM($D$5, -2*$D$7, -75))</f>
        <v>0</v>
      </c>
      <c r="S29" s="112">
        <f>IF($O$3=2, 0, SUM($D$12-24))</f>
        <v>0</v>
      </c>
    </row>
    <row r="30" spans="1:28" x14ac:dyDescent="0.3">
      <c r="C30" s="2" t="s">
        <v>440</v>
      </c>
      <c r="Q30" s="9" t="s">
        <v>293</v>
      </c>
      <c r="R30" s="2">
        <f>IF($O$3=2, 0, SUM($D$5, -2*$D$7, -87))</f>
        <v>0</v>
      </c>
    </row>
    <row r="31" spans="1:28" x14ac:dyDescent="0.3">
      <c r="C31" s="2" t="s">
        <v>441</v>
      </c>
    </row>
    <row r="32" spans="1:28" x14ac:dyDescent="0.3">
      <c r="C32" s="2" t="s">
        <v>442</v>
      </c>
    </row>
    <row r="36" spans="2:27" ht="14.5" thickBot="1" x14ac:dyDescent="0.35"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</row>
    <row r="37" spans="2:27" ht="25" customHeight="1" thickTop="1" x14ac:dyDescent="0.35">
      <c r="C37" s="19" t="s">
        <v>443</v>
      </c>
      <c r="Z37" s="103" t="str">
        <f>C1</f>
        <v>SPACE TOWER</v>
      </c>
    </row>
    <row r="38" spans="2:27" ht="15.5" x14ac:dyDescent="0.35">
      <c r="I38" s="47"/>
      <c r="L38" s="63"/>
      <c r="Z38" s="194" t="str">
        <f>C2</f>
        <v>TANDEMBOX antaro</v>
      </c>
    </row>
    <row r="39" spans="2:27" ht="14.5" x14ac:dyDescent="0.35">
      <c r="D39" s="9" t="s">
        <v>444</v>
      </c>
      <c r="I39" s="47"/>
      <c r="L39" s="63"/>
    </row>
    <row r="40" spans="2:27" x14ac:dyDescent="0.3">
      <c r="D40" s="9"/>
      <c r="I40" s="77">
        <f>SUM(E18, G18)</f>
        <v>0</v>
      </c>
      <c r="L40" s="63">
        <f>SUM(F18, H18)</f>
        <v>0</v>
      </c>
    </row>
    <row r="41" spans="2:27" x14ac:dyDescent="0.3">
      <c r="D41" s="9">
        <f>IF($O$3=1, SUM($D$4, -$D$6, -$I$18, -9), 0)</f>
        <v>0</v>
      </c>
      <c r="I41" s="77"/>
      <c r="L41" s="63"/>
    </row>
    <row r="42" spans="2:27" x14ac:dyDescent="0.3">
      <c r="D42" s="9"/>
      <c r="I42" s="77"/>
      <c r="L42" s="63"/>
    </row>
    <row r="43" spans="2:27" ht="12.75" customHeight="1" x14ac:dyDescent="0.3">
      <c r="D43" s="9"/>
      <c r="I43" s="77"/>
      <c r="L43" s="63"/>
    </row>
    <row r="44" spans="2:27" x14ac:dyDescent="0.3">
      <c r="B44" s="63"/>
      <c r="D44" s="9"/>
      <c r="F44" s="2" t="str">
        <f>$I$18</f>
        <v xml:space="preserve"> </v>
      </c>
      <c r="I44" s="77"/>
      <c r="L44" s="63"/>
    </row>
    <row r="45" spans="2:27" ht="15.75" customHeight="1" x14ac:dyDescent="0.3">
      <c r="B45" s="63"/>
      <c r="D45" s="9"/>
      <c r="I45" s="77" t="str">
        <f>G19</f>
        <v xml:space="preserve"> </v>
      </c>
      <c r="L45" s="63" t="str">
        <f>$H$19</f>
        <v xml:space="preserve"> </v>
      </c>
    </row>
    <row r="46" spans="2:27" x14ac:dyDescent="0.3">
      <c r="B46" s="63"/>
      <c r="D46" s="9">
        <f>IF($O$3=1, $D$19, 0)</f>
        <v>0</v>
      </c>
      <c r="I46" s="77"/>
      <c r="L46" s="63"/>
    </row>
    <row r="47" spans="2:27" ht="17.25" customHeight="1" x14ac:dyDescent="0.3">
      <c r="B47" s="63"/>
      <c r="D47" s="9"/>
      <c r="F47" s="2" t="str">
        <f>$I$19</f>
        <v xml:space="preserve"> </v>
      </c>
      <c r="I47" s="77"/>
      <c r="L47" s="63"/>
      <c r="Z47" s="229" t="s">
        <v>445</v>
      </c>
    </row>
    <row r="48" spans="2:27" x14ac:dyDescent="0.3">
      <c r="B48" s="63"/>
      <c r="D48" s="9"/>
      <c r="I48" s="77"/>
      <c r="L48" s="63"/>
      <c r="Z48" s="128" t="str">
        <f>"dno: "&amp;$R$29&amp;" x "&amp;$S$29&amp;" mm "</f>
        <v xml:space="preserve">dno: 0 x 0 mm </v>
      </c>
    </row>
    <row r="49" spans="2:26" x14ac:dyDescent="0.3">
      <c r="B49" s="63"/>
      <c r="D49" s="9"/>
      <c r="I49" s="77"/>
      <c r="L49" s="63"/>
      <c r="Z49" s="128" t="str">
        <f>"záda M: "&amp;$R$30&amp;" x  84 mm "</f>
        <v xml:space="preserve">záda M: 0 x  84 mm </v>
      </c>
    </row>
    <row r="50" spans="2:26" x14ac:dyDescent="0.3">
      <c r="B50" s="63"/>
      <c r="D50" s="9">
        <f>IF($O$3=1, $D$20, 0)</f>
        <v>0</v>
      </c>
      <c r="I50" s="77"/>
      <c r="L50" s="63"/>
      <c r="Z50" s="128" t="str">
        <f>"záda D: "&amp;$R$30&amp;" x 199 mm "</f>
        <v xml:space="preserve">záda D: 0 x 199 mm </v>
      </c>
    </row>
    <row r="51" spans="2:26" ht="20.25" customHeight="1" x14ac:dyDescent="0.3">
      <c r="B51" s="63"/>
      <c r="D51" s="9"/>
      <c r="I51" s="77"/>
      <c r="L51" s="63"/>
    </row>
    <row r="52" spans="2:26" x14ac:dyDescent="0.3">
      <c r="B52" s="63"/>
      <c r="D52" s="9"/>
      <c r="F52" s="2" t="str">
        <f>$I$20</f>
        <v xml:space="preserve"> </v>
      </c>
      <c r="I52" s="77"/>
      <c r="L52" s="63"/>
    </row>
    <row r="53" spans="2:26" ht="20.25" customHeight="1" x14ac:dyDescent="0.3">
      <c r="B53" s="63"/>
      <c r="D53" s="9"/>
      <c r="I53" s="77">
        <f>SUM(E21, G21)</f>
        <v>0</v>
      </c>
      <c r="L53" s="4">
        <f>SUM(F21, H21)</f>
        <v>0</v>
      </c>
      <c r="Z53" s="229" t="s">
        <v>446</v>
      </c>
    </row>
    <row r="54" spans="2:26" x14ac:dyDescent="0.3">
      <c r="B54" s="63"/>
      <c r="D54" s="9"/>
      <c r="I54" s="77"/>
      <c r="L54" s="4"/>
      <c r="Z54" s="128" t="str">
        <f>"přední reling: "&amp;$R$27&amp;" mm "</f>
        <v xml:space="preserve">přední reling: 0 mm </v>
      </c>
    </row>
    <row r="55" spans="2:26" x14ac:dyDescent="0.3">
      <c r="B55" s="63"/>
      <c r="D55" s="9"/>
      <c r="I55" s="77"/>
      <c r="L55" s="4"/>
      <c r="Z55" s="128" t="str">
        <f>"čelní profil: "&amp;$R$26&amp;" mm "</f>
        <v xml:space="preserve">čelní profil: 0 mm </v>
      </c>
    </row>
    <row r="56" spans="2:26" x14ac:dyDescent="0.3">
      <c r="B56" s="63"/>
      <c r="D56" s="9">
        <f>IF($O$3=1, $D$21, 0)</f>
        <v>0</v>
      </c>
      <c r="I56" s="77"/>
      <c r="L56" s="4"/>
    </row>
    <row r="57" spans="2:26" ht="19.5" customHeight="1" x14ac:dyDescent="0.3">
      <c r="B57" s="63"/>
      <c r="D57" s="9"/>
      <c r="I57" s="77"/>
      <c r="L57" s="4"/>
    </row>
    <row r="58" spans="2:26" x14ac:dyDescent="0.3">
      <c r="B58" s="63"/>
      <c r="D58" s="9"/>
      <c r="F58" s="2" t="str">
        <f>$I$21</f>
        <v xml:space="preserve"> </v>
      </c>
      <c r="I58" s="77"/>
      <c r="L58" s="4"/>
    </row>
    <row r="59" spans="2:26" x14ac:dyDescent="0.3">
      <c r="B59" s="63"/>
      <c r="D59" s="9"/>
      <c r="I59" s="77"/>
      <c r="L59" s="4"/>
    </row>
    <row r="60" spans="2:26" x14ac:dyDescent="0.3">
      <c r="B60" s="63"/>
      <c r="D60" s="9"/>
      <c r="I60" s="77"/>
      <c r="L60" s="4"/>
    </row>
    <row r="61" spans="2:26" x14ac:dyDescent="0.3">
      <c r="B61" s="63"/>
      <c r="D61" s="9">
        <f>IF($O$3=1, $D$22, 0)</f>
        <v>0</v>
      </c>
      <c r="I61" s="77"/>
      <c r="L61" s="4"/>
    </row>
    <row r="62" spans="2:26" x14ac:dyDescent="0.3">
      <c r="B62" s="63"/>
      <c r="D62" s="9"/>
      <c r="I62" s="77"/>
      <c r="L62" s="4"/>
    </row>
    <row r="63" spans="2:26" x14ac:dyDescent="0.3">
      <c r="B63" s="63"/>
      <c r="D63" s="9"/>
      <c r="F63" s="2" t="str">
        <f>$I$22</f>
        <v xml:space="preserve"> </v>
      </c>
      <c r="I63" s="77"/>
      <c r="L63" s="4"/>
    </row>
    <row r="64" spans="2:26" x14ac:dyDescent="0.3">
      <c r="B64" s="63"/>
      <c r="D64" s="9"/>
      <c r="I64" s="77"/>
      <c r="L64" s="4"/>
    </row>
    <row r="65" spans="2:29" ht="21.75" customHeight="1" x14ac:dyDescent="0.3">
      <c r="B65" s="63"/>
      <c r="D65" s="9"/>
      <c r="I65" s="77">
        <f>SUM(E23, G23)</f>
        <v>0</v>
      </c>
      <c r="L65" s="4">
        <f>SUM(F23, H23)</f>
        <v>0</v>
      </c>
    </row>
    <row r="66" spans="2:29" x14ac:dyDescent="0.3">
      <c r="B66" s="63"/>
      <c r="D66" s="9"/>
      <c r="I66" s="47"/>
      <c r="L66" s="63"/>
    </row>
    <row r="67" spans="2:29" x14ac:dyDescent="0.3">
      <c r="B67" s="63"/>
      <c r="D67" s="9">
        <f>IF($O$3=1, $D$23, 0)</f>
        <v>0</v>
      </c>
      <c r="I67" s="47"/>
      <c r="L67" s="63"/>
    </row>
    <row r="68" spans="2:29" ht="15" customHeight="1" x14ac:dyDescent="0.3">
      <c r="B68" s="63"/>
      <c r="D68" s="9"/>
      <c r="I68" s="47"/>
      <c r="L68" s="63"/>
    </row>
    <row r="69" spans="2:29" x14ac:dyDescent="0.3">
      <c r="B69" s="63"/>
      <c r="D69" s="9"/>
      <c r="F69" s="2" t="str">
        <f>$I$23</f>
        <v xml:space="preserve"> </v>
      </c>
      <c r="I69" s="47"/>
      <c r="L69" s="63"/>
    </row>
    <row r="70" spans="2:29" x14ac:dyDescent="0.3">
      <c r="B70" s="63"/>
      <c r="L70" s="63"/>
    </row>
    <row r="71" spans="2:29" x14ac:dyDescent="0.3">
      <c r="B71" s="63"/>
      <c r="C71" s="2" t="s">
        <v>447</v>
      </c>
      <c r="AB71" s="169" t="s">
        <v>448</v>
      </c>
    </row>
    <row r="72" spans="2:29" x14ac:dyDescent="0.3">
      <c r="B72" s="63"/>
      <c r="C72" s="2" t="s">
        <v>449</v>
      </c>
    </row>
    <row r="73" spans="2:29" x14ac:dyDescent="0.3">
      <c r="B73" s="63"/>
      <c r="C73" s="2" t="s">
        <v>450</v>
      </c>
    </row>
    <row r="74" spans="2:29" x14ac:dyDescent="0.3">
      <c r="B74" s="63"/>
    </row>
    <row r="75" spans="2:29" x14ac:dyDescent="0.3">
      <c r="B75" s="63"/>
    </row>
    <row r="76" spans="2:29" x14ac:dyDescent="0.3">
      <c r="B76" s="63"/>
    </row>
    <row r="77" spans="2:29" ht="14.5" thickBot="1" x14ac:dyDescent="0.35"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</row>
    <row r="78" spans="2:29" ht="25" customHeight="1" thickTop="1" x14ac:dyDescent="0.35">
      <c r="B78" s="139" t="s">
        <v>332</v>
      </c>
      <c r="Z78" s="195" t="str">
        <f>C1</f>
        <v>SPACE TOWER</v>
      </c>
      <c r="AC78" s="9"/>
    </row>
    <row r="79" spans="2:29" ht="25" customHeight="1" x14ac:dyDescent="0.3">
      <c r="B79" s="140" t="s">
        <v>92</v>
      </c>
      <c r="C79" s="140"/>
      <c r="D79" s="140"/>
      <c r="E79" s="140"/>
      <c r="F79" s="140" t="s">
        <v>93</v>
      </c>
      <c r="G79" s="140"/>
      <c r="H79" s="140" t="s">
        <v>94</v>
      </c>
      <c r="I79" s="140" t="s">
        <v>95</v>
      </c>
      <c r="J79" s="140"/>
      <c r="Z79" s="15" t="str">
        <f>C2</f>
        <v>TANDEMBOX antaro</v>
      </c>
      <c r="AB79" s="47"/>
      <c r="AC79" s="9"/>
    </row>
    <row r="80" spans="2:29" x14ac:dyDescent="0.3">
      <c r="B80" s="2" t="s">
        <v>333</v>
      </c>
      <c r="F80" s="2" t="str">
        <f>IF($O$3=1, IF($D$12=270, M80, IF($D$12=300, M81, IF($D$12=350, M82, IF($D$12=400, M83, IF($D$12=450, M84, IF($D$12=500, M85, IF($D$12=550, M86, IF($D$12=600, M87, IF($D$12=650, M88, " "))))))))), " ")</f>
        <v xml:space="preserve"> </v>
      </c>
      <c r="H80" s="47" t="str">
        <f>IF($O$3=1,SUM($N$80:$N$88)," ")</f>
        <v xml:space="preserve"> </v>
      </c>
      <c r="I80" s="2" t="s">
        <v>99</v>
      </c>
      <c r="M80" s="137" t="s">
        <v>295</v>
      </c>
      <c r="N80" s="138">
        <f>IF($D$12=270, 5, 0)</f>
        <v>0</v>
      </c>
      <c r="O80" s="137" t="s">
        <v>296</v>
      </c>
      <c r="P80" s="138">
        <f>IF($D$12=270, 5, 0)</f>
        <v>0</v>
      </c>
      <c r="Q80" s="137"/>
      <c r="R80" s="137"/>
      <c r="S80" s="137" t="s">
        <v>297</v>
      </c>
      <c r="U80" s="138">
        <f>IF($D$12=270, 4, 0)</f>
        <v>0</v>
      </c>
      <c r="V80" s="137" t="s">
        <v>451</v>
      </c>
      <c r="W80" s="138">
        <f>IF($D$12=270, 4, 0)</f>
        <v>0</v>
      </c>
      <c r="X80" s="138"/>
      <c r="AB80" s="47"/>
      <c r="AC80" s="9"/>
    </row>
    <row r="81" spans="2:29" x14ac:dyDescent="0.3">
      <c r="B81" s="2" t="s">
        <v>452</v>
      </c>
      <c r="F81" s="2" t="str">
        <f>IF($O$3=1, IF($D$12=270, O80, IF($D$12=300, O81, IF($D$12=350, O82, IF($D$12=400, O83, IF($D$12=450, O84, IF($D$12=500, O85, IF($D$12=550, O86, IF($D$12=600, O87, " ")))))))), " ")</f>
        <v xml:space="preserve"> </v>
      </c>
      <c r="H81" s="47" t="str">
        <f>IF($O$3=1, SUM($P$80:$P$88), " ")</f>
        <v xml:space="preserve"> </v>
      </c>
      <c r="M81" s="137" t="s">
        <v>298</v>
      </c>
      <c r="N81" s="138">
        <f>IF($D$12=300, 5, 0)</f>
        <v>0</v>
      </c>
      <c r="O81" s="137" t="s">
        <v>299</v>
      </c>
      <c r="P81" s="138">
        <f>IF($D$12=300, 5, 0)</f>
        <v>0</v>
      </c>
      <c r="Q81" s="137"/>
      <c r="R81" s="137"/>
      <c r="S81" s="137" t="s">
        <v>300</v>
      </c>
      <c r="U81" s="138">
        <f>IF($D$12=300, 4, 0)</f>
        <v>0</v>
      </c>
      <c r="V81" s="137" t="s">
        <v>453</v>
      </c>
      <c r="W81" s="138">
        <f>IF($D$12=300, 4, 0)</f>
        <v>0</v>
      </c>
      <c r="X81" s="138"/>
      <c r="AB81" s="47"/>
      <c r="AC81" s="9"/>
    </row>
    <row r="82" spans="2:29" x14ac:dyDescent="0.3">
      <c r="B82" s="2" t="s">
        <v>454</v>
      </c>
      <c r="F82" s="2" t="str">
        <f>IF($O$3=1, IF($D$12=450, Q84, IF($D$12=500, Q85, IF($D$12=550, Q86, IF($D$12=600, Q87, IF($D$12=650, Q88, " "))))), " ")</f>
        <v xml:space="preserve"> </v>
      </c>
      <c r="H82" s="47" t="str">
        <f>IF($O$3=1, SUM($R$80:$R$88), " ")</f>
        <v xml:space="preserve"> </v>
      </c>
      <c r="M82" s="137" t="s">
        <v>301</v>
      </c>
      <c r="N82" s="138">
        <f>IF($D$12=350, 5, 0)</f>
        <v>0</v>
      </c>
      <c r="O82" s="137" t="s">
        <v>302</v>
      </c>
      <c r="P82" s="138">
        <f>IF($D$12=350, 5, 0)</f>
        <v>0</v>
      </c>
      <c r="Q82" s="137"/>
      <c r="R82" s="137"/>
      <c r="S82" s="137" t="s">
        <v>303</v>
      </c>
      <c r="U82" s="138">
        <f>IF($D$12=350, 4, 0)</f>
        <v>0</v>
      </c>
      <c r="V82" s="137" t="s">
        <v>455</v>
      </c>
      <c r="W82" s="138">
        <f>IF($D$12=350, 4, 0)</f>
        <v>0</v>
      </c>
      <c r="X82" s="138"/>
      <c r="AB82" s="47"/>
      <c r="AC82" s="9"/>
    </row>
    <row r="83" spans="2:29" x14ac:dyDescent="0.3">
      <c r="B83" s="2" t="s">
        <v>334</v>
      </c>
      <c r="F83" s="2" t="str">
        <f>IF($O$3=1, "Z30M000S", " ")</f>
        <v xml:space="preserve"> </v>
      </c>
      <c r="H83" s="47" t="str">
        <f>IF($O$3=1, 1, " ")</f>
        <v xml:space="preserve"> </v>
      </c>
      <c r="I83" s="2" t="s">
        <v>99</v>
      </c>
      <c r="M83" s="137" t="s">
        <v>304</v>
      </c>
      <c r="N83" s="138">
        <f>IF($D$12=400, 5, 0)</f>
        <v>0</v>
      </c>
      <c r="O83" s="137" t="s">
        <v>305</v>
      </c>
      <c r="P83" s="138">
        <f>IF($D$12=400, 5, 0)</f>
        <v>0</v>
      </c>
      <c r="Q83" s="137"/>
      <c r="R83" s="137"/>
      <c r="S83" s="137" t="s">
        <v>306</v>
      </c>
      <c r="U83" s="138">
        <f>IF($D$12=400, 4, 0)</f>
        <v>0</v>
      </c>
      <c r="V83" s="137" t="s">
        <v>456</v>
      </c>
      <c r="W83" s="138">
        <f>IF($D$12=400, 4, 0)</f>
        <v>0</v>
      </c>
      <c r="X83" s="138"/>
      <c r="AB83" s="47"/>
      <c r="AC83" s="9"/>
    </row>
    <row r="84" spans="2:29" x14ac:dyDescent="0.3">
      <c r="B84" s="2" t="s">
        <v>336</v>
      </c>
      <c r="F84" s="2" t="str">
        <f>IF($O$3=1, "Z30D000S", " ")</f>
        <v xml:space="preserve"> </v>
      </c>
      <c r="H84" s="47" t="str">
        <f>IF($O$3=1, 4, " ")</f>
        <v xml:space="preserve"> </v>
      </c>
      <c r="I84" s="2" t="s">
        <v>99</v>
      </c>
      <c r="M84" s="137" t="s">
        <v>307</v>
      </c>
      <c r="N84" s="138">
        <f>IF($D$12=450, 5, 0)</f>
        <v>0</v>
      </c>
      <c r="O84" s="137" t="s">
        <v>308</v>
      </c>
      <c r="P84" s="138">
        <f>IF(AND($D$12=450, $D$5&lt;600), 4, IF(AND($D$12=450, $D$5&gt;600), 1, 0))</f>
        <v>0</v>
      </c>
      <c r="Q84" s="137" t="s">
        <v>309</v>
      </c>
      <c r="R84" s="138">
        <f>IF(AND($D$12=450, $D$5&lt;600), 1, IF(AND($D$12=450, $D$5&gt;599), 4, 0))</f>
        <v>0</v>
      </c>
      <c r="S84" s="137" t="s">
        <v>310</v>
      </c>
      <c r="U84" s="138">
        <f>IF($D$12=450, 4, 0)</f>
        <v>0</v>
      </c>
      <c r="V84" s="137" t="s">
        <v>457</v>
      </c>
      <c r="W84" s="138">
        <f>IF($D$12=450, 4, 0)</f>
        <v>0</v>
      </c>
      <c r="X84" s="138"/>
      <c r="AB84" s="47"/>
      <c r="AC84" s="9"/>
    </row>
    <row r="85" spans="2:29" x14ac:dyDescent="0.3">
      <c r="B85" s="2" t="s">
        <v>337</v>
      </c>
      <c r="F85" s="2" t="str">
        <f>IF($O$3=1, IF($D$12=270, S80, IF($D$12=300, S81, IF($D$12=350, S82, IF($D$12=400, S83, IF($D$12=450, S84, IF($D$12=500, S85, IF($D$12=550, S86, IF($D$12=600, S87, IF($D$12=650, S88, " "))))))))), " ")</f>
        <v xml:space="preserve"> </v>
      </c>
      <c r="H85" s="47" t="str">
        <f>IF($O$3=1, SUM($U$80:$U$88), " ")</f>
        <v xml:space="preserve"> </v>
      </c>
      <c r="I85" s="2" t="s">
        <v>99</v>
      </c>
      <c r="M85" s="137" t="s">
        <v>313</v>
      </c>
      <c r="N85" s="138">
        <f>IF($D$12=500, 5, 0)</f>
        <v>0</v>
      </c>
      <c r="O85" s="137" t="s">
        <v>314</v>
      </c>
      <c r="P85" s="138">
        <f>IF(AND($D$12=500, $D$5&lt;600), 4, IF(AND($D$12=500, $D$5&gt;599), 1, 0))</f>
        <v>0</v>
      </c>
      <c r="Q85" s="137" t="s">
        <v>315</v>
      </c>
      <c r="R85" s="138">
        <f>IF(AND($D$12=500, $D$5&lt;600), 1, IF(AND($D$12=500, $D$5&gt;599), 4, 0))</f>
        <v>0</v>
      </c>
      <c r="S85" s="137" t="s">
        <v>316</v>
      </c>
      <c r="U85" s="138">
        <f>IF($D$12=500, 4, 0)</f>
        <v>0</v>
      </c>
      <c r="V85" s="137" t="s">
        <v>458</v>
      </c>
      <c r="W85" s="138">
        <f>IF($D$12=500, 4, 0)</f>
        <v>0</v>
      </c>
      <c r="X85" s="138"/>
      <c r="AB85" s="47"/>
      <c r="AC85" s="9"/>
    </row>
    <row r="86" spans="2:29" x14ac:dyDescent="0.3">
      <c r="B86" s="2" t="s">
        <v>459</v>
      </c>
      <c r="F86" s="2" t="str">
        <f>IF($O$3=1, "ZIF.71M0", " ")</f>
        <v xml:space="preserve"> </v>
      </c>
      <c r="H86" s="47" t="str">
        <f>IF($O$3=1, 1, " ")</f>
        <v xml:space="preserve"> </v>
      </c>
      <c r="I86" s="2" t="s">
        <v>99</v>
      </c>
      <c r="M86" s="137" t="s">
        <v>307</v>
      </c>
      <c r="N86" s="138">
        <f>IF($D$12=550, 5, 0)</f>
        <v>0</v>
      </c>
      <c r="O86" s="137" t="s">
        <v>317</v>
      </c>
      <c r="P86" s="138">
        <f>IF(AND($D$12=550, $D$5&lt;600), 3, IF(AND($D$12=550, $D$5&gt;599), 1, 0))</f>
        <v>0</v>
      </c>
      <c r="Q86" s="137" t="s">
        <v>318</v>
      </c>
      <c r="R86" s="138">
        <f>IF(AND($D$12=550, $D$5&lt;600), 2, IF(AND($D$12=550, $D$5&gt;599), 4, 0))</f>
        <v>0</v>
      </c>
      <c r="S86" s="137" t="s">
        <v>319</v>
      </c>
      <c r="U86" s="138">
        <f>IF($D$12=550, 4, 0)</f>
        <v>0</v>
      </c>
      <c r="V86" s="137" t="s">
        <v>460</v>
      </c>
      <c r="W86" s="138">
        <f>IF($D$12=550, 4, 0)</f>
        <v>0</v>
      </c>
      <c r="X86" s="138"/>
      <c r="AB86" s="47"/>
      <c r="AC86" s="9"/>
    </row>
    <row r="87" spans="2:29" x14ac:dyDescent="0.3">
      <c r="B87" s="2" t="s">
        <v>461</v>
      </c>
      <c r="F87" s="2" t="str">
        <f>IF($O$3=1, "ZIF.74D0", " ")</f>
        <v xml:space="preserve"> </v>
      </c>
      <c r="H87" s="47" t="str">
        <f>IF($O$3=1, 4, " ")</f>
        <v xml:space="preserve"> </v>
      </c>
      <c r="I87" s="2" t="s">
        <v>99</v>
      </c>
      <c r="M87" s="137" t="s">
        <v>320</v>
      </c>
      <c r="N87" s="138">
        <f>IF($D$12=600, 5, 0)</f>
        <v>0</v>
      </c>
      <c r="O87" s="137" t="s">
        <v>321</v>
      </c>
      <c r="P87" s="138">
        <f>IF(AND($D$12=600, $D$5&lt;600), 3, IF(AND($D$12=600, $D$5&gt;599), 1, 0))</f>
        <v>0</v>
      </c>
      <c r="Q87" s="137" t="s">
        <v>322</v>
      </c>
      <c r="R87" s="138">
        <f>IF(AND($D$12=600, $D$5&lt;600), 2, IF(AND($D$12=600, $D$5&gt;599), 4, 0))</f>
        <v>0</v>
      </c>
      <c r="S87" s="137" t="s">
        <v>323</v>
      </c>
      <c r="U87" s="138">
        <f>IF($D$12=600, 4, 0)</f>
        <v>0</v>
      </c>
      <c r="V87" s="137" t="s">
        <v>462</v>
      </c>
      <c r="W87" s="138">
        <f>IF($D$12=600, 4, 0)</f>
        <v>0</v>
      </c>
      <c r="X87" s="138"/>
    </row>
    <row r="88" spans="2:29" x14ac:dyDescent="0.3">
      <c r="B88" s="2" t="s">
        <v>463</v>
      </c>
      <c r="F88" s="2" t="str">
        <f>IF($O$3=1, "Z31L1036A", " ")</f>
        <v xml:space="preserve"> </v>
      </c>
      <c r="H88" s="47" t="str">
        <f>IF($O$3=1, N93, " ")</f>
        <v xml:space="preserve"> </v>
      </c>
      <c r="I88" s="2" t="s">
        <v>99</v>
      </c>
      <c r="M88" s="137" t="s">
        <v>324</v>
      </c>
      <c r="N88" s="138">
        <f>IF($D$12=650, 5, 0)</f>
        <v>0</v>
      </c>
      <c r="O88" s="137"/>
      <c r="P88" s="138"/>
      <c r="Q88" s="137" t="s">
        <v>325</v>
      </c>
      <c r="R88" s="138">
        <f>IF($D$12=650, 5, 0)</f>
        <v>0</v>
      </c>
      <c r="S88" s="137" t="s">
        <v>326</v>
      </c>
      <c r="U88" s="138">
        <f>IF($D$12=650, 4, 0)</f>
        <v>0</v>
      </c>
      <c r="V88" s="137" t="s">
        <v>464</v>
      </c>
      <c r="W88" s="138">
        <f>IF($D$12=650, 4, 0)</f>
        <v>0</v>
      </c>
      <c r="X88" s="138"/>
    </row>
    <row r="89" spans="2:29" x14ac:dyDescent="0.3">
      <c r="B89" s="2" t="s">
        <v>465</v>
      </c>
      <c r="F89" s="2" t="str">
        <f>IF($O$3=1, "ZRG.1046Z", " ")</f>
        <v xml:space="preserve"> </v>
      </c>
      <c r="H89" s="47" t="str">
        <f>IF($O$3=1, N94, " ")</f>
        <v xml:space="preserve"> </v>
      </c>
      <c r="I89" s="2" t="s">
        <v>99</v>
      </c>
    </row>
    <row r="90" spans="2:29" x14ac:dyDescent="0.3">
      <c r="B90" s="2" t="s">
        <v>466</v>
      </c>
      <c r="F90" s="2" t="str">
        <f>IF($O$3=1, "71B7550", " ")</f>
        <v xml:space="preserve"> </v>
      </c>
      <c r="H90" s="47" t="str">
        <f>IF($O$3=1, $D$11, " ")</f>
        <v xml:space="preserve"> </v>
      </c>
      <c r="I90" s="2" t="s">
        <v>467</v>
      </c>
    </row>
    <row r="91" spans="2:29" x14ac:dyDescent="0.3">
      <c r="B91" s="2" t="s">
        <v>468</v>
      </c>
      <c r="F91" s="2" t="str">
        <f>IF($O$3=1, "177H3100E", " ")</f>
        <v xml:space="preserve"> </v>
      </c>
      <c r="H91" s="47" t="str">
        <f>IF($O$3=1, $D$11, " ")</f>
        <v xml:space="preserve"> </v>
      </c>
      <c r="I91" s="2" t="s">
        <v>469</v>
      </c>
    </row>
    <row r="92" spans="2:29" x14ac:dyDescent="0.3">
      <c r="H92" s="47"/>
    </row>
    <row r="93" spans="2:29" x14ac:dyDescent="0.3">
      <c r="C93" s="2" t="s">
        <v>470</v>
      </c>
      <c r="M93" s="2" t="s">
        <v>471</v>
      </c>
      <c r="N93" s="63">
        <f>IF($D$5&lt;371,1, IF(AND($D$5&gt;370,$D$5&lt;511),2,IF(AND($D$5&gt;510,$D$5&lt;681),3,5)))</f>
        <v>1</v>
      </c>
    </row>
    <row r="94" spans="2:29" x14ac:dyDescent="0.3">
      <c r="B94" s="2" t="s">
        <v>473</v>
      </c>
      <c r="F94" s="2" t="str">
        <f>IF($O$3=1, "956A1004", " ")</f>
        <v xml:space="preserve"> </v>
      </c>
      <c r="H94" s="47" t="str">
        <f>IF($O$3=1, 1, " ")</f>
        <v xml:space="preserve"> </v>
      </c>
      <c r="I94" s="2" t="s">
        <v>99</v>
      </c>
      <c r="M94" s="2" t="s">
        <v>472</v>
      </c>
      <c r="N94" s="63">
        <f>IF($D$5&lt;411,1,IF(AND($D$5&gt;410,$D$5&lt;681),2,4))</f>
        <v>1</v>
      </c>
    </row>
    <row r="95" spans="2:29" x14ac:dyDescent="0.3">
      <c r="H95" s="47"/>
    </row>
    <row r="98" spans="2:47" x14ac:dyDescent="0.3">
      <c r="B98" s="2" t="s">
        <v>536</v>
      </c>
    </row>
    <row r="99" spans="2:47" x14ac:dyDescent="0.3">
      <c r="B99" s="2" t="s">
        <v>537</v>
      </c>
      <c r="AB99" s="169" t="s">
        <v>448</v>
      </c>
    </row>
    <row r="110" spans="2:47" ht="17.5" x14ac:dyDescent="0.35">
      <c r="AC110" s="99" t="s">
        <v>474</v>
      </c>
      <c r="AI110" s="193"/>
      <c r="AL110" s="192"/>
      <c r="AN110" s="99" t="s">
        <v>443</v>
      </c>
      <c r="AR110" s="193" t="str">
        <f>C1</f>
        <v>SPACE TOWER</v>
      </c>
      <c r="AU110" s="192" t="str">
        <f>C2</f>
        <v>TANDEMBOX antaro</v>
      </c>
    </row>
    <row r="111" spans="2:47" x14ac:dyDescent="0.3">
      <c r="AD111" s="17" t="s">
        <v>108</v>
      </c>
      <c r="AE111" s="17"/>
      <c r="AF111" s="17"/>
      <c r="AG111" s="17"/>
      <c r="AH111" s="190">
        <f>D8</f>
        <v>0</v>
      </c>
      <c r="AI111" s="365" t="s">
        <v>109</v>
      </c>
      <c r="AJ111" s="365"/>
      <c r="AK111" s="365"/>
      <c r="AL111" s="365"/>
      <c r="AR111" s="47"/>
      <c r="AU111" s="63"/>
    </row>
    <row r="112" spans="2:47" ht="14.5" x14ac:dyDescent="0.35">
      <c r="AC112" s="190">
        <f>D4</f>
        <v>0</v>
      </c>
      <c r="AD112" s="365" t="s">
        <v>26</v>
      </c>
      <c r="AE112" s="365"/>
      <c r="AF112" s="365"/>
      <c r="AG112" s="366"/>
      <c r="AH112" s="190">
        <f t="shared" ref="AH112:AH115" si="2">D9</f>
        <v>0</v>
      </c>
      <c r="AI112" s="365" t="s">
        <v>412</v>
      </c>
      <c r="AJ112" s="365"/>
      <c r="AK112" s="365"/>
      <c r="AL112" s="365"/>
      <c r="AN112" s="9" t="s">
        <v>444</v>
      </c>
      <c r="AR112" s="47"/>
      <c r="AU112" s="63"/>
    </row>
    <row r="113" spans="2:47" x14ac:dyDescent="0.3">
      <c r="AC113" s="190">
        <f>D5</f>
        <v>0</v>
      </c>
      <c r="AD113" s="365" t="s">
        <v>28</v>
      </c>
      <c r="AE113" s="365"/>
      <c r="AF113" s="365"/>
      <c r="AG113" s="366"/>
      <c r="AH113" s="190">
        <f t="shared" si="2"/>
        <v>0</v>
      </c>
      <c r="AI113" s="365" t="s">
        <v>413</v>
      </c>
      <c r="AJ113" s="365"/>
      <c r="AK113" s="365"/>
      <c r="AL113" s="365"/>
      <c r="AN113" s="9"/>
      <c r="AR113" s="47">
        <f>$I$40</f>
        <v>0</v>
      </c>
      <c r="AU113" s="63">
        <f>$L$40</f>
        <v>0</v>
      </c>
    </row>
    <row r="114" spans="2:47" x14ac:dyDescent="0.3">
      <c r="AC114" s="190">
        <f>D6</f>
        <v>0</v>
      </c>
      <c r="AD114" s="365" t="s">
        <v>30</v>
      </c>
      <c r="AE114" s="365"/>
      <c r="AF114" s="365"/>
      <c r="AG114" s="366"/>
      <c r="AH114" s="190">
        <f t="shared" si="2"/>
        <v>0</v>
      </c>
      <c r="AI114" s="365" t="s">
        <v>414</v>
      </c>
      <c r="AJ114" s="365"/>
      <c r="AK114" s="365"/>
      <c r="AL114" s="365"/>
      <c r="AN114" s="9">
        <f>IF($O$3=1, SUM($D$4, -$D$6, -$I$18, -9), 0)</f>
        <v>0</v>
      </c>
      <c r="AR114" s="47"/>
      <c r="AU114" s="63"/>
    </row>
    <row r="115" spans="2:47" x14ac:dyDescent="0.3">
      <c r="AC115" s="190">
        <f>D7</f>
        <v>0</v>
      </c>
      <c r="AD115" s="365" t="s">
        <v>31</v>
      </c>
      <c r="AE115" s="365"/>
      <c r="AF115" s="365"/>
      <c r="AG115" s="366"/>
      <c r="AH115" s="190">
        <f t="shared" si="2"/>
        <v>0</v>
      </c>
      <c r="AI115" s="365" t="s">
        <v>345</v>
      </c>
      <c r="AJ115" s="365"/>
      <c r="AK115" s="365"/>
      <c r="AL115" s="365"/>
      <c r="AN115" s="9"/>
      <c r="AR115" s="47"/>
      <c r="AU115" s="63"/>
    </row>
    <row r="116" spans="2:47" x14ac:dyDescent="0.3">
      <c r="AC116" s="191"/>
      <c r="AD116" s="17"/>
      <c r="AF116" s="17"/>
      <c r="AG116" s="17"/>
      <c r="AH116" s="17"/>
      <c r="AI116" s="17"/>
      <c r="AJ116" s="17"/>
      <c r="AN116" s="9"/>
      <c r="AR116" s="47"/>
      <c r="AU116" s="63"/>
    </row>
    <row r="117" spans="2:47" ht="15.5" x14ac:dyDescent="0.35">
      <c r="AC117" s="99" t="s">
        <v>475</v>
      </c>
      <c r="AN117" s="9"/>
      <c r="AP117" s="2" t="str">
        <f>$I$18</f>
        <v xml:space="preserve"> </v>
      </c>
      <c r="AR117" s="47"/>
      <c r="AU117" s="63"/>
    </row>
    <row r="118" spans="2:47" x14ac:dyDescent="0.3">
      <c r="AC118" s="370" t="s">
        <v>418</v>
      </c>
      <c r="AD118" s="362" t="s">
        <v>419</v>
      </c>
      <c r="AE118" s="371" t="s">
        <v>252</v>
      </c>
      <c r="AF118" s="372" t="s">
        <v>420</v>
      </c>
      <c r="AG118" s="363"/>
      <c r="AH118" s="363"/>
      <c r="AI118" s="364"/>
      <c r="AJ118" s="358" t="s">
        <v>140</v>
      </c>
      <c r="AK118" s="359"/>
      <c r="AN118" s="9"/>
      <c r="AR118" s="77" t="str">
        <f>$I$45</f>
        <v xml:space="preserve"> </v>
      </c>
      <c r="AU118" s="63" t="str">
        <f>$L$45</f>
        <v xml:space="preserve"> </v>
      </c>
    </row>
    <row r="119" spans="2:47" x14ac:dyDescent="0.3">
      <c r="AC119" s="370"/>
      <c r="AD119" s="362"/>
      <c r="AE119" s="371"/>
      <c r="AF119" s="362" t="s">
        <v>421</v>
      </c>
      <c r="AG119" s="362"/>
      <c r="AH119" s="363" t="s">
        <v>422</v>
      </c>
      <c r="AI119" s="364"/>
      <c r="AJ119" s="360"/>
      <c r="AK119" s="361"/>
      <c r="AN119" s="9">
        <f>IF($O$3=1, $D$19, 0)</f>
        <v>0</v>
      </c>
      <c r="AR119" s="47"/>
      <c r="AU119" s="63"/>
    </row>
    <row r="120" spans="2:47" x14ac:dyDescent="0.3">
      <c r="AC120" s="370"/>
      <c r="AD120" s="362"/>
      <c r="AE120" s="371"/>
      <c r="AF120" s="230" t="s">
        <v>428</v>
      </c>
      <c r="AG120" s="230" t="s">
        <v>429</v>
      </c>
      <c r="AH120" s="230" t="s">
        <v>428</v>
      </c>
      <c r="AI120" s="230" t="s">
        <v>429</v>
      </c>
      <c r="AJ120" s="230" t="s">
        <v>141</v>
      </c>
      <c r="AK120" s="230" t="s">
        <v>70</v>
      </c>
      <c r="AN120" s="9"/>
      <c r="AP120" s="2" t="str">
        <f>$I$19</f>
        <v xml:space="preserve"> </v>
      </c>
      <c r="AR120" s="47"/>
      <c r="AU120" s="63"/>
    </row>
    <row r="121" spans="2:47" x14ac:dyDescent="0.3">
      <c r="B121" s="63"/>
      <c r="AC121" s="367" t="s">
        <v>434</v>
      </c>
      <c r="AD121" s="368"/>
      <c r="AE121" s="369"/>
      <c r="AF121" s="3" t="str">
        <f>E18</f>
        <v xml:space="preserve"> </v>
      </c>
      <c r="AG121" s="3" t="str">
        <f t="shared" ref="AG121:AK121" si="3">F18</f>
        <v xml:space="preserve"> </v>
      </c>
      <c r="AH121" s="3" t="str">
        <f t="shared" si="3"/>
        <v xml:space="preserve"> </v>
      </c>
      <c r="AI121" s="3" t="str">
        <f t="shared" si="3"/>
        <v xml:space="preserve"> </v>
      </c>
      <c r="AJ121" s="3" t="str">
        <f t="shared" si="3"/>
        <v xml:space="preserve"> </v>
      </c>
      <c r="AK121" s="3" t="str">
        <f t="shared" si="3"/>
        <v xml:space="preserve"> </v>
      </c>
      <c r="AN121" s="9"/>
      <c r="AR121" s="47"/>
      <c r="AU121" s="63"/>
    </row>
    <row r="122" spans="2:47" ht="15.65" customHeight="1" x14ac:dyDescent="0.3">
      <c r="B122" s="63"/>
      <c r="AC122" s="164">
        <v>5</v>
      </c>
      <c r="AD122" s="51">
        <f>C19</f>
        <v>245</v>
      </c>
      <c r="AE122" s="111">
        <f>D19</f>
        <v>0</v>
      </c>
      <c r="AF122" s="3" t="str">
        <f t="shared" ref="AF122:AF126" si="4">E19</f>
        <v xml:space="preserve"> </v>
      </c>
      <c r="AG122" s="3" t="str">
        <f t="shared" ref="AG122:AG126" si="5">F19</f>
        <v xml:space="preserve"> </v>
      </c>
      <c r="AH122" s="3" t="str">
        <f t="shared" ref="AH122:AH126" si="6">G19</f>
        <v xml:space="preserve"> </v>
      </c>
      <c r="AI122" s="3" t="str">
        <f t="shared" ref="AI122:AI126" si="7">H19</f>
        <v xml:space="preserve"> </v>
      </c>
      <c r="AJ122" s="3" t="str">
        <f t="shared" ref="AJ122:AJ126" si="8">I19</f>
        <v xml:space="preserve"> </v>
      </c>
      <c r="AK122" s="3" t="str">
        <f t="shared" ref="AK122:AK126" si="9">J19</f>
        <v xml:space="preserve"> </v>
      </c>
      <c r="AN122" s="9"/>
      <c r="AR122" s="47"/>
      <c r="AU122" s="63"/>
    </row>
    <row r="123" spans="2:47" ht="15" customHeight="1" x14ac:dyDescent="0.3">
      <c r="AC123" s="164">
        <v>4</v>
      </c>
      <c r="AD123" s="51">
        <f t="shared" ref="AD123:AD126" si="10">C20</f>
        <v>235</v>
      </c>
      <c r="AE123" s="111">
        <f t="shared" ref="AE123:AE126" si="11">D20</f>
        <v>0</v>
      </c>
      <c r="AF123" s="3" t="str">
        <f t="shared" si="4"/>
        <v xml:space="preserve"> </v>
      </c>
      <c r="AG123" s="3" t="str">
        <f t="shared" si="5"/>
        <v xml:space="preserve"> </v>
      </c>
      <c r="AH123" s="3" t="str">
        <f t="shared" si="6"/>
        <v xml:space="preserve"> </v>
      </c>
      <c r="AI123" s="3" t="str">
        <f t="shared" si="7"/>
        <v xml:space="preserve"> </v>
      </c>
      <c r="AJ123" s="3" t="str">
        <f t="shared" si="8"/>
        <v xml:space="preserve"> </v>
      </c>
      <c r="AK123" s="3" t="str">
        <f t="shared" si="9"/>
        <v xml:space="preserve"> </v>
      </c>
      <c r="AN123" s="9">
        <f>IF($O$3=1, $D$20, 0)</f>
        <v>0</v>
      </c>
      <c r="AR123" s="47"/>
      <c r="AU123" s="63"/>
    </row>
    <row r="124" spans="2:47" ht="15" customHeight="1" x14ac:dyDescent="0.3">
      <c r="AC124" s="164">
        <v>3</v>
      </c>
      <c r="AD124" s="51">
        <f t="shared" si="10"/>
        <v>327</v>
      </c>
      <c r="AE124" s="111">
        <f t="shared" si="11"/>
        <v>0</v>
      </c>
      <c r="AF124" s="3" t="str">
        <f t="shared" si="4"/>
        <v xml:space="preserve"> </v>
      </c>
      <c r="AG124" s="3" t="str">
        <f t="shared" si="5"/>
        <v xml:space="preserve"> </v>
      </c>
      <c r="AH124" s="3" t="str">
        <f t="shared" si="6"/>
        <v xml:space="preserve"> </v>
      </c>
      <c r="AI124" s="3" t="str">
        <f t="shared" si="7"/>
        <v xml:space="preserve"> </v>
      </c>
      <c r="AJ124" s="3" t="str">
        <f t="shared" si="8"/>
        <v xml:space="preserve"> </v>
      </c>
      <c r="AK124" s="3" t="str">
        <f t="shared" si="9"/>
        <v xml:space="preserve"> </v>
      </c>
      <c r="AN124" s="9"/>
      <c r="AR124" s="47"/>
      <c r="AU124" s="63"/>
    </row>
    <row r="125" spans="2:47" ht="15" customHeight="1" x14ac:dyDescent="0.3">
      <c r="AC125" s="164">
        <v>2</v>
      </c>
      <c r="AD125" s="51">
        <f t="shared" si="10"/>
        <v>295</v>
      </c>
      <c r="AE125" s="111">
        <f t="shared" si="11"/>
        <v>0</v>
      </c>
      <c r="AF125" s="3" t="str">
        <f t="shared" si="4"/>
        <v xml:space="preserve"> </v>
      </c>
      <c r="AG125" s="3" t="str">
        <f t="shared" si="5"/>
        <v xml:space="preserve"> </v>
      </c>
      <c r="AH125" s="3" t="str">
        <f t="shared" si="6"/>
        <v xml:space="preserve"> </v>
      </c>
      <c r="AI125" s="3" t="str">
        <f t="shared" si="7"/>
        <v xml:space="preserve"> </v>
      </c>
      <c r="AJ125" s="3" t="str">
        <f t="shared" si="8"/>
        <v xml:space="preserve"> </v>
      </c>
      <c r="AK125" s="3" t="str">
        <f t="shared" si="9"/>
        <v xml:space="preserve"> </v>
      </c>
      <c r="AN125" s="9"/>
      <c r="AP125" s="2" t="str">
        <f>$I$20</f>
        <v xml:space="preserve"> </v>
      </c>
      <c r="AR125" s="47"/>
      <c r="AU125" s="63"/>
    </row>
    <row r="126" spans="2:47" ht="15" customHeight="1" x14ac:dyDescent="0.3">
      <c r="AC126" s="164" t="s">
        <v>267</v>
      </c>
      <c r="AD126" s="51">
        <f t="shared" si="10"/>
        <v>360</v>
      </c>
      <c r="AE126" s="111">
        <f t="shared" si="11"/>
        <v>0</v>
      </c>
      <c r="AF126" s="3" t="str">
        <f t="shared" si="4"/>
        <v xml:space="preserve"> </v>
      </c>
      <c r="AG126" s="3" t="str">
        <f t="shared" si="5"/>
        <v xml:space="preserve"> </v>
      </c>
      <c r="AH126" s="3" t="str">
        <f t="shared" si="6"/>
        <v xml:space="preserve"> </v>
      </c>
      <c r="AI126" s="3" t="str">
        <f t="shared" si="7"/>
        <v xml:space="preserve"> </v>
      </c>
      <c r="AJ126" s="3" t="str">
        <f t="shared" si="8"/>
        <v xml:space="preserve"> </v>
      </c>
      <c r="AK126" s="3" t="str">
        <f t="shared" si="9"/>
        <v xml:space="preserve"> </v>
      </c>
      <c r="AN126" s="9"/>
      <c r="AR126" s="47">
        <f>$I$53</f>
        <v>0</v>
      </c>
      <c r="AU126" s="63">
        <f>$L$53</f>
        <v>0</v>
      </c>
    </row>
    <row r="127" spans="2:47" ht="15" customHeight="1" x14ac:dyDescent="0.3">
      <c r="AN127" s="9"/>
      <c r="AR127" s="47"/>
      <c r="AU127" s="63"/>
    </row>
    <row r="128" spans="2:47" ht="15" customHeight="1" x14ac:dyDescent="0.35">
      <c r="AC128" s="99" t="s">
        <v>476</v>
      </c>
      <c r="AN128" s="9">
        <f>IF($O$3=1, $D$21, 0)</f>
        <v>0</v>
      </c>
      <c r="AR128" s="47"/>
      <c r="AU128" s="63"/>
    </row>
    <row r="129" spans="29:47" ht="15" customHeight="1" x14ac:dyDescent="0.35">
      <c r="AC129" s="98" t="str">
        <f>B79</f>
        <v>popis</v>
      </c>
      <c r="AD129" s="98"/>
      <c r="AE129" s="98"/>
      <c r="AF129" s="98"/>
      <c r="AG129" s="98" t="str">
        <f>F79</f>
        <v>označení</v>
      </c>
      <c r="AH129" s="98"/>
      <c r="AI129" s="185" t="str">
        <f>H79</f>
        <v>počet</v>
      </c>
      <c r="AJ129" s="98" t="str">
        <f>I79</f>
        <v>poznámka</v>
      </c>
      <c r="AK129" s="98"/>
      <c r="AL129" s="98"/>
      <c r="AR129" s="47"/>
      <c r="AU129" s="63"/>
    </row>
    <row r="130" spans="29:47" ht="15" customHeight="1" x14ac:dyDescent="0.3">
      <c r="AC130" s="2" t="str">
        <f t="shared" ref="AC130:AC141" si="12">B80</f>
        <v>Bočnice TBX antaro</v>
      </c>
      <c r="AG130" s="2" t="str">
        <f t="shared" ref="AG130:AG141" si="13">F80</f>
        <v xml:space="preserve"> </v>
      </c>
      <c r="AI130" s="63" t="str">
        <f t="shared" ref="AI130:AI141" si="14">H80</f>
        <v xml:space="preserve"> </v>
      </c>
      <c r="AJ130" s="2" t="str">
        <f t="shared" ref="AJ130:AJ141" si="15">I80</f>
        <v>zvolte barvu</v>
      </c>
      <c r="AN130" s="9"/>
      <c r="AR130" s="47"/>
      <c r="AU130" s="63"/>
    </row>
    <row r="131" spans="29:47" ht="15" customHeight="1" x14ac:dyDescent="0.3">
      <c r="AC131" s="2" t="str">
        <f t="shared" si="12"/>
        <v>Korpusové lišty 30 kg</v>
      </c>
      <c r="AG131" s="2" t="str">
        <f t="shared" si="13"/>
        <v xml:space="preserve"> </v>
      </c>
      <c r="AI131" s="63" t="str">
        <f t="shared" si="14"/>
        <v xml:space="preserve"> </v>
      </c>
      <c r="AJ131" s="2">
        <f t="shared" si="15"/>
        <v>0</v>
      </c>
      <c r="AN131" s="9"/>
      <c r="AP131" s="2" t="str">
        <f>$I$21</f>
        <v xml:space="preserve"> </v>
      </c>
      <c r="AR131" s="47"/>
      <c r="AU131" s="63"/>
    </row>
    <row r="132" spans="29:47" x14ac:dyDescent="0.3">
      <c r="AC132" s="2" t="str">
        <f t="shared" si="12"/>
        <v>Korpusové lišty 65 kg</v>
      </c>
      <c r="AG132" s="2" t="str">
        <f t="shared" si="13"/>
        <v xml:space="preserve"> </v>
      </c>
      <c r="AI132" s="63" t="str">
        <f t="shared" si="14"/>
        <v xml:space="preserve"> </v>
      </c>
      <c r="AJ132" s="2">
        <f t="shared" si="15"/>
        <v>0</v>
      </c>
      <c r="AN132" s="9"/>
      <c r="AR132" s="47"/>
      <c r="AU132" s="63"/>
    </row>
    <row r="133" spans="29:47" x14ac:dyDescent="0.3">
      <c r="AC133" s="2" t="str">
        <f t="shared" si="12"/>
        <v>Držáky zad M</v>
      </c>
      <c r="AG133" s="2" t="str">
        <f t="shared" si="13"/>
        <v xml:space="preserve"> </v>
      </c>
      <c r="AI133" s="63" t="str">
        <f t="shared" si="14"/>
        <v xml:space="preserve"> </v>
      </c>
      <c r="AJ133" s="2" t="str">
        <f t="shared" si="15"/>
        <v>zvolte barvu</v>
      </c>
      <c r="AN133" s="9"/>
      <c r="AR133" s="47"/>
      <c r="AU133" s="63"/>
    </row>
    <row r="134" spans="29:47" x14ac:dyDescent="0.3">
      <c r="AC134" s="2" t="str">
        <f t="shared" si="12"/>
        <v>Držáky zad D</v>
      </c>
      <c r="AG134" s="2" t="str">
        <f t="shared" si="13"/>
        <v xml:space="preserve"> </v>
      </c>
      <c r="AI134" s="63" t="str">
        <f t="shared" si="14"/>
        <v xml:space="preserve"> </v>
      </c>
      <c r="AJ134" s="2" t="str">
        <f t="shared" si="15"/>
        <v>zvolte barvu</v>
      </c>
      <c r="AN134" s="9">
        <f>IF($O$3=1, $D$22, 0)</f>
        <v>0</v>
      </c>
      <c r="AR134" s="47"/>
      <c r="AU134" s="63"/>
    </row>
    <row r="135" spans="29:47" x14ac:dyDescent="0.3">
      <c r="AC135" s="2" t="str">
        <f t="shared" si="12"/>
        <v>Podélný reling</v>
      </c>
      <c r="AG135" s="2" t="str">
        <f t="shared" si="13"/>
        <v xml:space="preserve"> </v>
      </c>
      <c r="AI135" s="63" t="str">
        <f t="shared" si="14"/>
        <v xml:space="preserve"> </v>
      </c>
      <c r="AJ135" s="2" t="str">
        <f t="shared" si="15"/>
        <v>zvolte barvu</v>
      </c>
      <c r="AN135" s="9"/>
      <c r="AR135" s="47"/>
      <c r="AU135" s="63"/>
    </row>
    <row r="136" spans="29:47" x14ac:dyDescent="0.3">
      <c r="AC136" s="2" t="str">
        <f t="shared" si="12"/>
        <v>Upevnění čela M</v>
      </c>
      <c r="AG136" s="2" t="str">
        <f t="shared" si="13"/>
        <v xml:space="preserve"> </v>
      </c>
      <c r="AI136" s="63" t="str">
        <f t="shared" si="14"/>
        <v xml:space="preserve"> </v>
      </c>
      <c r="AJ136" s="2" t="str">
        <f t="shared" si="15"/>
        <v>zvolte barvu</v>
      </c>
      <c r="AN136" s="9"/>
      <c r="AP136" s="2" t="str">
        <f>$I$22</f>
        <v xml:space="preserve"> </v>
      </c>
      <c r="AR136" s="47"/>
      <c r="AU136" s="63"/>
    </row>
    <row r="137" spans="29:47" x14ac:dyDescent="0.3">
      <c r="AC137" s="2" t="str">
        <f t="shared" si="12"/>
        <v>Upevnění čela D</v>
      </c>
      <c r="AG137" s="2" t="str">
        <f t="shared" si="13"/>
        <v xml:space="preserve"> </v>
      </c>
      <c r="AI137" s="63" t="str">
        <f t="shared" si="14"/>
        <v xml:space="preserve"> </v>
      </c>
      <c r="AJ137" s="2" t="str">
        <f t="shared" si="15"/>
        <v>zvolte barvu</v>
      </c>
      <c r="AN137" s="9"/>
      <c r="AR137" s="47"/>
      <c r="AU137" s="63"/>
    </row>
    <row r="138" spans="29:47" x14ac:dyDescent="0.3">
      <c r="AC138" s="2" t="str">
        <f t="shared" si="12"/>
        <v xml:space="preserve">Přední díl </v>
      </c>
      <c r="AG138" s="2" t="str">
        <f t="shared" si="13"/>
        <v xml:space="preserve"> </v>
      </c>
      <c r="AI138" s="63" t="str">
        <f t="shared" si="14"/>
        <v xml:space="preserve"> </v>
      </c>
      <c r="AJ138" s="2" t="str">
        <f t="shared" si="15"/>
        <v>zvolte barvu</v>
      </c>
      <c r="AN138" s="9"/>
      <c r="AR138" s="47">
        <f>$I$65</f>
        <v>0</v>
      </c>
      <c r="AU138" s="63">
        <f>$L$65</f>
        <v>0</v>
      </c>
    </row>
    <row r="139" spans="29:47" x14ac:dyDescent="0.3">
      <c r="AC139" s="2" t="str">
        <f t="shared" si="12"/>
        <v>Přední reling</v>
      </c>
      <c r="AG139" s="2" t="str">
        <f t="shared" si="13"/>
        <v xml:space="preserve"> </v>
      </c>
      <c r="AI139" s="63" t="str">
        <f t="shared" si="14"/>
        <v xml:space="preserve"> </v>
      </c>
      <c r="AJ139" s="2" t="str">
        <f t="shared" si="15"/>
        <v>zvolte barvu</v>
      </c>
      <c r="AN139" s="9">
        <f>IF($O$3=1, $D$23, 0)</f>
        <v>0</v>
      </c>
      <c r="AR139" s="47"/>
      <c r="AU139" s="63"/>
    </row>
    <row r="140" spans="29:47" x14ac:dyDescent="0.3">
      <c r="AC140" s="2" t="str">
        <f t="shared" si="12"/>
        <v>Závěs 155° s nul.přesahem</v>
      </c>
      <c r="AG140" s="2" t="str">
        <f t="shared" si="13"/>
        <v xml:space="preserve"> </v>
      </c>
      <c r="AI140" s="63" t="str">
        <f t="shared" si="14"/>
        <v xml:space="preserve"> </v>
      </c>
      <c r="AJ140" s="2" t="str">
        <f t="shared" si="15"/>
        <v xml:space="preserve">pro TIP-ON: 70T7550.TL </v>
      </c>
      <c r="AR140" s="47"/>
      <c r="AU140" s="63"/>
    </row>
    <row r="141" spans="29:47" x14ac:dyDescent="0.3">
      <c r="AC141" s="2" t="str">
        <f t="shared" si="12"/>
        <v>Mont. podložka přímá</v>
      </c>
      <c r="AG141" s="2" t="str">
        <f t="shared" si="13"/>
        <v xml:space="preserve"> </v>
      </c>
      <c r="AI141" s="63" t="str">
        <f t="shared" si="14"/>
        <v xml:space="preserve"> </v>
      </c>
      <c r="AJ141" s="2" t="str">
        <f t="shared" si="15"/>
        <v xml:space="preserve">verze na vruty: 175H3100 </v>
      </c>
      <c r="AN141" s="9"/>
      <c r="AR141" s="47"/>
      <c r="AU141" s="63"/>
    </row>
    <row r="142" spans="29:47" x14ac:dyDescent="0.3">
      <c r="AI142" s="63"/>
      <c r="AN142" s="9"/>
      <c r="AP142" s="2" t="str">
        <f>$I$23</f>
        <v xml:space="preserve"> </v>
      </c>
      <c r="AR142" s="47"/>
      <c r="AU142" s="63"/>
    </row>
    <row r="143" spans="29:47" x14ac:dyDescent="0.3">
      <c r="AC143" s="2" t="str">
        <f>C93</f>
        <v>Volitelně:</v>
      </c>
      <c r="AI143" s="63"/>
    </row>
    <row r="144" spans="29:47" x14ac:dyDescent="0.3">
      <c r="AC144" s="2" t="str">
        <f>B94</f>
        <v>TIP-ON dlouhá verze</v>
      </c>
      <c r="AG144" s="2" t="str">
        <f>F94</f>
        <v xml:space="preserve"> </v>
      </c>
      <c r="AI144" s="63" t="str">
        <f>H94</f>
        <v xml:space="preserve"> </v>
      </c>
      <c r="AJ144" s="2" t="str">
        <f>I94</f>
        <v>zvolte barvu</v>
      </c>
      <c r="AO144" s="2" t="s">
        <v>477</v>
      </c>
    </row>
    <row r="145" spans="29:46" x14ac:dyDescent="0.3">
      <c r="AI145" s="63"/>
      <c r="AO145" s="2" t="s">
        <v>478</v>
      </c>
    </row>
    <row r="148" spans="29:46" x14ac:dyDescent="0.3">
      <c r="AC148" s="2" t="str">
        <f>B98</f>
        <v xml:space="preserve">Barvy: R9006 nebo WGR = světle šedá | SW = hedvábně bílá </v>
      </c>
      <c r="AN148" s="2" t="s">
        <v>437</v>
      </c>
      <c r="AO148" s="357" t="str">
        <f>"dno: "&amp;$R$29&amp;" x "&amp;$S$29&amp;" mm"</f>
        <v>dno: 0 x 0 mm</v>
      </c>
      <c r="AP148" s="357" t="str">
        <f t="shared" ref="AP148" si="16">"dno: "&amp;$R$29&amp;" x "&amp;$S$29&amp;" mm "</f>
        <v xml:space="preserve">dno: 0 x 0 mm </v>
      </c>
      <c r="AQ148" s="357" t="str">
        <f>"záda M: "&amp;$R$30&amp;" x  84 "</f>
        <v xml:space="preserve">záda M: 0 x  84 </v>
      </c>
      <c r="AR148" s="357" t="str">
        <f t="shared" ref="AR148" si="17">"záda M: "&amp;$R$30&amp;" x  84 mm "</f>
        <v xml:space="preserve">záda M: 0 x  84 mm </v>
      </c>
      <c r="AS148" s="357" t="str">
        <f>"záda D: "&amp;$R$30&amp;" x 199"</f>
        <v>záda D: 0 x 199</v>
      </c>
      <c r="AT148" s="357" t="str">
        <f t="shared" ref="AT148" si="18">"záda D: "&amp;$R$30&amp;" x 199 mm "</f>
        <v xml:space="preserve">záda D: 0 x 199 mm </v>
      </c>
    </row>
    <row r="149" spans="29:46" x14ac:dyDescent="0.3">
      <c r="AC149" s="2" t="str">
        <f>B99</f>
        <v>Barvy TIP-ON: R7036 = světle šedá | SW = hedvábně bílá</v>
      </c>
      <c r="AN149" s="2" t="s">
        <v>479</v>
      </c>
      <c r="AP149" s="357" t="str">
        <f>Z55</f>
        <v xml:space="preserve">čelní profil: 0 mm </v>
      </c>
      <c r="AQ149" s="357"/>
      <c r="AR149" s="357" t="str">
        <f>Z54</f>
        <v xml:space="preserve">přední reling: 0 mm </v>
      </c>
      <c r="AS149" s="357"/>
      <c r="AT149" s="357"/>
    </row>
  </sheetData>
  <sheetProtection algorithmName="SHA-512" hashValue="qfXC4hzPJNDB0Ih+KC2B2ZUCctkVDcLjqJnY7WBdqiEn73OygaywU4qXjgYAPivLDl3EoHmhyZkITN6RqHJUKQ==" saltValue="7N3rA8sojB7xO2YfVMWv9w==" spinCount="100000" sheet="1" objects="1" scenarios="1"/>
  <mergeCells count="39">
    <mergeCell ref="AI111:AL111"/>
    <mergeCell ref="AI112:AL112"/>
    <mergeCell ref="AI113:AL113"/>
    <mergeCell ref="AI114:AL114"/>
    <mergeCell ref="AI115:AL115"/>
    <mergeCell ref="C15:C17"/>
    <mergeCell ref="D15:D17"/>
    <mergeCell ref="B15:B17"/>
    <mergeCell ref="B18:D18"/>
    <mergeCell ref="E15:H15"/>
    <mergeCell ref="E12:J12"/>
    <mergeCell ref="E16:F16"/>
    <mergeCell ref="G16:H16"/>
    <mergeCell ref="E4:J4"/>
    <mergeCell ref="E5:J5"/>
    <mergeCell ref="E11:J11"/>
    <mergeCell ref="E6:J6"/>
    <mergeCell ref="E7:J7"/>
    <mergeCell ref="I15:J16"/>
    <mergeCell ref="E8:J8"/>
    <mergeCell ref="E9:J9"/>
    <mergeCell ref="E10:J10"/>
    <mergeCell ref="AD112:AG112"/>
    <mergeCell ref="AD113:AG113"/>
    <mergeCell ref="AD114:AG114"/>
    <mergeCell ref="AD115:AG115"/>
    <mergeCell ref="AC121:AE121"/>
    <mergeCell ref="AC118:AC120"/>
    <mergeCell ref="AD118:AD120"/>
    <mergeCell ref="AE118:AE120"/>
    <mergeCell ref="AF118:AI118"/>
    <mergeCell ref="AS148:AT148"/>
    <mergeCell ref="AP149:AQ149"/>
    <mergeCell ref="AR149:AT149"/>
    <mergeCell ref="AJ118:AK119"/>
    <mergeCell ref="AF119:AG119"/>
    <mergeCell ref="AH119:AI119"/>
    <mergeCell ref="AO148:AP148"/>
    <mergeCell ref="AQ148:AR148"/>
  </mergeCells>
  <hyperlinks>
    <hyperlink ref="AB1" location="STR!A1" tooltip="Úvodní strana SPACE TOWER" display="► Úvod potr.skř." xr:uid="{00000000-0004-0000-0E00-000001000000}"/>
    <hyperlink ref="AB71" location="ST_TBX!A1" tooltip="Zpět na plánování" display="Zpět" xr:uid="{00000000-0004-0000-0E00-000002000000}"/>
    <hyperlink ref="AB99" location="ST_TBX!A1" tooltip="Zpět na plánování" display="Zpět" xr:uid="{0A31DCFD-C947-46DA-8238-3E8F97961121}"/>
  </hyperlinks>
  <pageMargins left="0.23622047244094491" right="0.23622047244094491" top="0.35433070866141736" bottom="0.35433070866141736" header="0" footer="0"/>
  <pageSetup paperSize="9" scale="95" orientation="landscape" verticalDpi="599" r:id="rId1"/>
  <ignoredErrors>
    <ignoredError sqref="S21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958E2C3-B5C5-4D91-891D-9850D96F40D6}">
            <x14:iconSet showValue="0" custom="1">
              <x14:cfvo type="percent">
                <xm:f>0</xm:f>
              </x14:cfvo>
              <x14:cfvo type="num">
                <xm:f>1</xm:f>
              </x14:cfvo>
              <x14:cfvo type="num">
                <xm:f>6</xm:f>
              </x14:cfvo>
              <x14:cfIcon iconSet="NoIcons" iconId="0"/>
              <x14:cfIcon iconSet="3Symbols2" iconId="2"/>
              <x14:cfIcon iconSet="3Symbols2" iconId="0"/>
            </x14:iconSet>
          </x14:cfRule>
          <xm:sqref>C12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18ACE-D43D-443C-8338-3AE266947161}">
  <sheetPr>
    <tabColor theme="2" tint="-0.499984740745262"/>
  </sheetPr>
  <dimension ref="A1:AU149"/>
  <sheetViews>
    <sheetView showGridLines="0" showRowColHeaders="0" zoomScaleNormal="100" workbookViewId="0">
      <selection activeCell="AB21" sqref="AB21"/>
    </sheetView>
  </sheetViews>
  <sheetFormatPr defaultColWidth="8.9140625" defaultRowHeight="14" x14ac:dyDescent="0.3"/>
  <cols>
    <col min="1" max="1" width="1" style="2" customWidth="1"/>
    <col min="2" max="2" width="2.6640625" style="2" customWidth="1"/>
    <col min="3" max="3" width="10.4140625" style="2" customWidth="1"/>
    <col min="4" max="10" width="9.4140625" style="2" customWidth="1"/>
    <col min="11" max="11" width="0.75" style="2" customWidth="1"/>
    <col min="12" max="12" width="18.5" style="2" customWidth="1"/>
    <col min="13" max="14" width="8.6640625" style="2" hidden="1" customWidth="1"/>
    <col min="15" max="17" width="8.9140625" style="2" hidden="1" customWidth="1"/>
    <col min="18" max="24" width="7.5" style="2" hidden="1" customWidth="1"/>
    <col min="25" max="25" width="2.1640625" style="2" hidden="1" customWidth="1"/>
    <col min="26" max="26" width="21.4140625" style="2" customWidth="1"/>
    <col min="27" max="27" width="9.4140625" style="2" customWidth="1"/>
    <col min="28" max="28" width="19.08203125" style="2" customWidth="1"/>
    <col min="29" max="38" width="6.33203125" style="2" customWidth="1"/>
    <col min="39" max="40" width="7.5" style="2" customWidth="1"/>
    <col min="41" max="41" width="8.58203125" style="2" customWidth="1"/>
    <col min="42" max="42" width="9.58203125" style="2" customWidth="1"/>
    <col min="43" max="43" width="10.6640625" style="2" customWidth="1"/>
    <col min="44" max="44" width="8.9140625" style="2"/>
    <col min="45" max="45" width="7.33203125" style="2" customWidth="1"/>
    <col min="46" max="46" width="7.58203125" style="2" customWidth="1"/>
    <col min="47" max="47" width="6.83203125" style="2" customWidth="1"/>
    <col min="48" max="16384" width="8.9140625" style="2"/>
  </cols>
  <sheetData>
    <row r="1" spans="2:28" ht="25" x14ac:dyDescent="0.5">
      <c r="C1" s="1" t="s">
        <v>410</v>
      </c>
      <c r="AB1" s="68" t="s">
        <v>411</v>
      </c>
    </row>
    <row r="2" spans="2:28" ht="20.149999999999999" customHeight="1" x14ac:dyDescent="0.4">
      <c r="C2" s="22" t="s">
        <v>483</v>
      </c>
    </row>
    <row r="3" spans="2:28" ht="16.5" customHeight="1" x14ac:dyDescent="0.3">
      <c r="C3" s="6"/>
      <c r="D3" s="17" t="s">
        <v>108</v>
      </c>
      <c r="E3" s="17"/>
      <c r="F3" s="17"/>
      <c r="G3" s="17"/>
      <c r="H3" s="17"/>
      <c r="I3" s="17"/>
      <c r="J3" s="17"/>
      <c r="N3" s="9" t="s">
        <v>24</v>
      </c>
      <c r="O3" s="30">
        <f>IF(AND(O4=1, O5=1, O6=1, O7=1, O8=1, O9=1, O10=1, O11=1, O12=1, O13=1, O14=1),1,2)</f>
        <v>2</v>
      </c>
      <c r="P3" s="31" t="s">
        <v>25</v>
      </c>
    </row>
    <row r="4" spans="2:28" ht="16.5" customHeight="1" x14ac:dyDescent="0.3">
      <c r="C4" s="6"/>
      <c r="D4" s="79"/>
      <c r="E4" s="348" t="s">
        <v>26</v>
      </c>
      <c r="F4" s="349"/>
      <c r="G4" s="349"/>
      <c r="H4" s="349"/>
      <c r="I4" s="349"/>
      <c r="J4" s="350"/>
      <c r="L4" s="12" t="str">
        <f>IF(D4&lt;X14, "Minimálně "&amp;X14&amp;" mm!", IF(D4&gt;2500, "Maximálně 2500 mm!", " "))</f>
        <v>Minimálně 1376 mm!</v>
      </c>
      <c r="O4" s="63">
        <f>IF(OR(D4&lt;$X$14, D4&gt;2500), 2, 1)</f>
        <v>2</v>
      </c>
      <c r="P4" s="31" t="s">
        <v>27</v>
      </c>
    </row>
    <row r="5" spans="2:28" ht="16.5" customHeight="1" x14ac:dyDescent="0.3">
      <c r="C5" s="6"/>
      <c r="D5" s="79"/>
      <c r="E5" s="348" t="s">
        <v>28</v>
      </c>
      <c r="F5" s="349"/>
      <c r="G5" s="349"/>
      <c r="H5" s="349"/>
      <c r="I5" s="349"/>
      <c r="J5" s="350"/>
      <c r="L5" s="12" t="str">
        <f>IF(D5&lt;300, "Minimálně 300 mm!", IF(D5&gt;1200, "Maximálně 1200 mm!", " "))</f>
        <v>Minimálně 300 mm!</v>
      </c>
      <c r="O5" s="63">
        <f>IF(OR(D5&lt;250, D5&gt;1200), 2, 1)</f>
        <v>2</v>
      </c>
    </row>
    <row r="6" spans="2:28" ht="16.5" customHeight="1" x14ac:dyDescent="0.3">
      <c r="C6" s="6"/>
      <c r="D6" s="78"/>
      <c r="E6" s="348" t="s">
        <v>30</v>
      </c>
      <c r="F6" s="349"/>
      <c r="G6" s="349"/>
      <c r="H6" s="349"/>
      <c r="I6" s="349"/>
      <c r="J6" s="350"/>
      <c r="L6" s="12" t="str">
        <f>IF(D6&gt;20,"Maximálně 20 mm!",IF(D6&lt;16,"Minimálně 16 mm!", " "))</f>
        <v>Minimálně 16 mm!</v>
      </c>
      <c r="O6" s="63">
        <f>IF(OR(D6&lt;16, D6&gt;20),2, 1)</f>
        <v>2</v>
      </c>
    </row>
    <row r="7" spans="2:28" ht="16.5" customHeight="1" x14ac:dyDescent="0.3">
      <c r="C7" s="6"/>
      <c r="D7" s="78"/>
      <c r="E7" s="348" t="s">
        <v>31</v>
      </c>
      <c r="F7" s="349"/>
      <c r="G7" s="349"/>
      <c r="H7" s="349"/>
      <c r="I7" s="349"/>
      <c r="J7" s="350"/>
      <c r="L7" s="12" t="str">
        <f>IF(D7&lt;16,"Minimálně 16 mm!"," ")</f>
        <v>Minimálně 16 mm!</v>
      </c>
      <c r="O7" s="63">
        <f>IF(D7&lt;16, 2, 1)</f>
        <v>2</v>
      </c>
    </row>
    <row r="8" spans="2:28" ht="16.5" customHeight="1" x14ac:dyDescent="0.3">
      <c r="C8" s="6"/>
      <c r="D8" s="78"/>
      <c r="E8" s="348" t="s">
        <v>109</v>
      </c>
      <c r="F8" s="349"/>
      <c r="G8" s="349"/>
      <c r="H8" s="349"/>
      <c r="I8" s="349"/>
      <c r="J8" s="350"/>
      <c r="L8" s="12" t="str">
        <f>IF(D8&gt;$D$6,"Maximálně "&amp;$D$6&amp;" mm!"," ")</f>
        <v xml:space="preserve"> </v>
      </c>
      <c r="O8" s="63">
        <f>IF(D8&gt;$D$6, 2, 1)</f>
        <v>1</v>
      </c>
    </row>
    <row r="9" spans="2:28" ht="16.5" customHeight="1" x14ac:dyDescent="0.3">
      <c r="C9" s="6"/>
      <c r="D9" s="78"/>
      <c r="E9" s="348" t="s">
        <v>412</v>
      </c>
      <c r="F9" s="349"/>
      <c r="G9" s="349"/>
      <c r="H9" s="349"/>
      <c r="I9" s="349"/>
      <c r="J9" s="350"/>
      <c r="L9" s="12" t="str">
        <f>IF(D9&gt;$D$6,"Maximálně "&amp;$D$6&amp;" mm!"," ")</f>
        <v xml:space="preserve"> </v>
      </c>
      <c r="O9" s="63">
        <f>IF(D9&gt;$D$6, 2, 1)</f>
        <v>1</v>
      </c>
    </row>
    <row r="10" spans="2:28" ht="16.5" customHeight="1" x14ac:dyDescent="0.3">
      <c r="C10" s="6"/>
      <c r="D10" s="78"/>
      <c r="E10" s="348" t="s">
        <v>413</v>
      </c>
      <c r="F10" s="349"/>
      <c r="G10" s="349"/>
      <c r="H10" s="349"/>
      <c r="I10" s="349"/>
      <c r="J10" s="350"/>
      <c r="L10" s="12" t="str">
        <f>IF($D$7&gt;15.999, IF(D10&lt;&gt;($D$7-16), "Musí být "&amp;($D$7-16)&amp;" mm! ***", " "), " ")</f>
        <v xml:space="preserve"> </v>
      </c>
      <c r="O10" s="63">
        <f>IF(D10=($D$7-16), 1, 2)</f>
        <v>2</v>
      </c>
    </row>
    <row r="11" spans="2:28" ht="16.5" customHeight="1" x14ac:dyDescent="0.3">
      <c r="C11" s="6"/>
      <c r="D11" s="79"/>
      <c r="E11" s="348" t="s">
        <v>414</v>
      </c>
      <c r="F11" s="349"/>
      <c r="G11" s="349"/>
      <c r="H11" s="349"/>
      <c r="I11" s="349"/>
      <c r="J11" s="350"/>
      <c r="L11" s="12" t="str">
        <f>IF(OR($D$11=3, $D$11=4), " ", "Musí být 3 nebo 4!")</f>
        <v>Musí být 3 nebo 4!</v>
      </c>
      <c r="O11" s="63">
        <f>IF(OR(D11=3, D11=4), 1, 2)</f>
        <v>2</v>
      </c>
    </row>
    <row r="12" spans="2:28" ht="16.5" customHeight="1" x14ac:dyDescent="0.3">
      <c r="C12" s="124"/>
      <c r="D12" s="79"/>
      <c r="E12" s="348" t="s">
        <v>505</v>
      </c>
      <c r="F12" s="349"/>
      <c r="G12" s="349"/>
      <c r="H12" s="349"/>
      <c r="I12" s="349"/>
      <c r="J12" s="350"/>
      <c r="L12" s="14" t="str">
        <f>IF(O12=2, "270, 300, 350, 400, 450, 500, 550 nebo 600 mm", " ")</f>
        <v>270, 300, 350, 400, 450, 500, 550 nebo 600 mm</v>
      </c>
      <c r="M12" s="14" t="str">
        <f>IF((OR($C$12=0, $N$12=1)), " ", "Nesprávná hodnota***")</f>
        <v xml:space="preserve"> </v>
      </c>
      <c r="N12" s="114" t="s">
        <v>242</v>
      </c>
      <c r="O12" s="20">
        <f>IF(OR(D12=270, D12=300, D12=350, D12=400, D12=450, D12=500, D12=550, D12=600), 1, 2)</f>
        <v>2</v>
      </c>
    </row>
    <row r="13" spans="2:28" ht="16.5" customHeight="1" thickBot="1" x14ac:dyDescent="0.35">
      <c r="C13" s="6"/>
      <c r="D13" s="18" t="str">
        <f>IF(SUM(O4:O12)&gt;9, "Vyplňte správně všechny parametry!"," ")</f>
        <v>Vyplňte správně všechny parametry!</v>
      </c>
      <c r="E13" s="5"/>
      <c r="F13" s="5"/>
      <c r="G13" s="5"/>
      <c r="H13" s="5"/>
      <c r="I13" s="5"/>
      <c r="J13" s="5"/>
      <c r="N13" s="9" t="s">
        <v>415</v>
      </c>
      <c r="O13" s="63">
        <f>IF(OR(D19&lt;Q19, D20&lt;Q20, D21&lt;Q21, D22&lt;Q22, D23&lt;Q23), 2, 1)</f>
        <v>2</v>
      </c>
    </row>
    <row r="14" spans="2:28" ht="13.5" customHeight="1" thickBot="1" x14ac:dyDescent="0.35">
      <c r="N14" s="9" t="s">
        <v>57</v>
      </c>
      <c r="O14" s="63">
        <f>IF($D$4&lt;$X$14, 2, 1)</f>
        <v>2</v>
      </c>
      <c r="Q14" s="9"/>
      <c r="R14" s="232" t="s">
        <v>416</v>
      </c>
      <c r="S14" s="3">
        <f>SUM(M18:M23, 10)</f>
        <v>1376</v>
      </c>
      <c r="T14" s="232" t="s">
        <v>114</v>
      </c>
      <c r="U14" s="3">
        <f>SUM(N18:N23, 10)</f>
        <v>1426</v>
      </c>
      <c r="V14" s="232" t="s">
        <v>417</v>
      </c>
      <c r="W14" s="66">
        <f>SUM($V$18, 260)</f>
        <v>471</v>
      </c>
      <c r="X14" s="67">
        <f>IF(AND(D11&lt;&gt;4, S14&gt;W14), S14, IF(AND(D11=4, U14&gt;W14), U14, W14))</f>
        <v>1376</v>
      </c>
    </row>
    <row r="15" spans="2:28" ht="17.25" customHeight="1" x14ac:dyDescent="0.3">
      <c r="B15" s="370" t="s">
        <v>418</v>
      </c>
      <c r="C15" s="362" t="s">
        <v>419</v>
      </c>
      <c r="D15" s="362" t="s">
        <v>252</v>
      </c>
      <c r="E15" s="372" t="s">
        <v>420</v>
      </c>
      <c r="F15" s="363"/>
      <c r="G15" s="363"/>
      <c r="H15" s="364"/>
      <c r="I15" s="373" t="s">
        <v>140</v>
      </c>
      <c r="J15" s="374"/>
      <c r="O15" s="63"/>
      <c r="P15" s="63"/>
      <c r="Q15" s="63"/>
      <c r="R15" s="63"/>
      <c r="S15" s="63"/>
      <c r="T15" s="63"/>
    </row>
    <row r="16" spans="2:28" ht="17.25" customHeight="1" x14ac:dyDescent="0.3">
      <c r="B16" s="370"/>
      <c r="C16" s="362"/>
      <c r="D16" s="362"/>
      <c r="E16" s="362" t="s">
        <v>421</v>
      </c>
      <c r="F16" s="362"/>
      <c r="G16" s="363" t="s">
        <v>422</v>
      </c>
      <c r="H16" s="364"/>
      <c r="I16" s="375"/>
      <c r="J16" s="376"/>
      <c r="M16" s="2" t="s">
        <v>423</v>
      </c>
      <c r="N16" s="80"/>
      <c r="O16" s="81" t="s">
        <v>424</v>
      </c>
      <c r="Q16" s="80"/>
      <c r="R16" s="82" t="s">
        <v>425</v>
      </c>
      <c r="S16" s="82"/>
      <c r="T16" s="82" t="s">
        <v>426</v>
      </c>
      <c r="U16" s="82"/>
      <c r="V16" s="83" t="s">
        <v>427</v>
      </c>
      <c r="W16" s="84"/>
      <c r="X16" s="85"/>
    </row>
    <row r="17" spans="1:28" ht="15" customHeight="1" x14ac:dyDescent="0.3">
      <c r="B17" s="370"/>
      <c r="C17" s="362"/>
      <c r="D17" s="362"/>
      <c r="E17" s="230" t="s">
        <v>428</v>
      </c>
      <c r="F17" s="230" t="s">
        <v>429</v>
      </c>
      <c r="G17" s="230" t="s">
        <v>428</v>
      </c>
      <c r="H17" s="230" t="s">
        <v>429</v>
      </c>
      <c r="I17" s="230" t="s">
        <v>141</v>
      </c>
      <c r="J17" s="230" t="s">
        <v>70</v>
      </c>
      <c r="M17" s="13" t="s">
        <v>430</v>
      </c>
      <c r="N17" s="59" t="s">
        <v>431</v>
      </c>
      <c r="O17" s="60" t="s">
        <v>430</v>
      </c>
      <c r="P17" s="59" t="s">
        <v>431</v>
      </c>
      <c r="Q17" s="61" t="s">
        <v>432</v>
      </c>
      <c r="R17" s="62" t="s">
        <v>428</v>
      </c>
      <c r="S17" s="62" t="s">
        <v>429</v>
      </c>
      <c r="T17" s="62" t="s">
        <v>428</v>
      </c>
      <c r="U17" s="62" t="s">
        <v>429</v>
      </c>
      <c r="V17" s="62" t="s">
        <v>141</v>
      </c>
      <c r="W17" s="62" t="s">
        <v>70</v>
      </c>
      <c r="X17" s="62" t="s">
        <v>433</v>
      </c>
      <c r="Z17" s="172"/>
    </row>
    <row r="18" spans="1:28" ht="24" customHeight="1" x14ac:dyDescent="0.3">
      <c r="B18" s="367" t="s">
        <v>434</v>
      </c>
      <c r="C18" s="368"/>
      <c r="D18" s="369"/>
      <c r="E18" s="3" t="str">
        <f>IF(OR($D$19=0, $O$3=2, $D$11&lt;&gt;3)," ", R18)</f>
        <v xml:space="preserve"> </v>
      </c>
      <c r="F18" s="3" t="str">
        <f>IF(OR($D19=0,$O$3=2, $D$11&lt;&gt;3)," ", S18)</f>
        <v xml:space="preserve"> </v>
      </c>
      <c r="G18" s="3" t="str">
        <f>IF(OR($D19=0, $O$3=2, $D$11&lt;&gt;4)," ", T18)</f>
        <v xml:space="preserve"> </v>
      </c>
      <c r="H18" s="3" t="str">
        <f>IF(OR($D19=0,$O$3=2, $D$11&lt;&gt;4)," ", U18)</f>
        <v xml:space="preserve"> </v>
      </c>
      <c r="I18" s="3" t="str">
        <f>IF(OR($D19=0,$O$3=2)," ",$V18)</f>
        <v xml:space="preserve"> </v>
      </c>
      <c r="J18" s="3" t="str">
        <f>IF(OR($O$3=2,$D$19=0)," ",$W$18)</f>
        <v xml:space="preserve"> </v>
      </c>
      <c r="M18" s="64">
        <v>260</v>
      </c>
      <c r="N18" s="65">
        <v>260</v>
      </c>
      <c r="O18" s="64">
        <f>SUM(M18, -$D$6, -9)</f>
        <v>251</v>
      </c>
      <c r="P18" s="65">
        <f>SUM(N18, -$D$6, -9)</f>
        <v>251</v>
      </c>
      <c r="Q18" s="58">
        <f t="shared" ref="Q18:Q23" si="0">IF($D$11=3, O18, P18)</f>
        <v>251</v>
      </c>
      <c r="R18" s="4">
        <f>SUM($D$4, -80)</f>
        <v>-80</v>
      </c>
      <c r="S18" s="35">
        <f>R18-$D$9</f>
        <v>-80</v>
      </c>
      <c r="T18" s="4">
        <f>SUM($D$4, -80)</f>
        <v>-80</v>
      </c>
      <c r="U18" s="35">
        <f>T18-$D$9</f>
        <v>-80</v>
      </c>
      <c r="V18" s="4">
        <f>SUM($V$19, $D$19, -38, 40, 9)</f>
        <v>211</v>
      </c>
      <c r="W18" s="4">
        <v>37</v>
      </c>
      <c r="X18" s="63"/>
      <c r="Z18" s="232"/>
    </row>
    <row r="19" spans="1:28" ht="24" customHeight="1" x14ac:dyDescent="0.3">
      <c r="A19" s="163"/>
      <c r="B19" s="164">
        <v>5</v>
      </c>
      <c r="C19" s="51">
        <v>245</v>
      </c>
      <c r="D19" s="79"/>
      <c r="E19" s="3" t="str">
        <f>IF(OR($D19=0, $O$3=2, $D$11&lt;&gt;3)," ", R19)</f>
        <v xml:space="preserve"> </v>
      </c>
      <c r="F19" s="3" t="str">
        <f>IF(OR($D19=0,$O$3=2, $D$11&lt;&gt;3)," ", S19)</f>
        <v xml:space="preserve"> </v>
      </c>
      <c r="G19" s="3" t="str">
        <f>IF(OR($D19=0, $O$3=2, $D$11&lt;&gt;4)," ", T19)</f>
        <v xml:space="preserve"> </v>
      </c>
      <c r="H19" s="3" t="str">
        <f>IF(OR($D19=0,$O$3=2, $D$11&lt;&gt;4)," ", U19)</f>
        <v xml:space="preserve"> </v>
      </c>
      <c r="I19" s="3" t="str">
        <f>IF(OR($D20=0,$O$3=2)," ",$V19)</f>
        <v xml:space="preserve"> </v>
      </c>
      <c r="J19" s="3" t="str">
        <f>IF(OR($O$3=2,$D$19=0)," ",$W$19)</f>
        <v xml:space="preserve"> </v>
      </c>
      <c r="L19" s="43" t="str">
        <f>IF($D19&lt;$Q19, "Min. "&amp;$Q19&amp;"!", " ")</f>
        <v>Min. 153!</v>
      </c>
      <c r="M19" s="52">
        <f>SUM(108, 20)</f>
        <v>128</v>
      </c>
      <c r="N19" s="53">
        <f>SUM(108, 70)</f>
        <v>178</v>
      </c>
      <c r="O19" s="54">
        <f t="shared" ref="O19:P22" si="1">SUM(M19, -25)</f>
        <v>103</v>
      </c>
      <c r="P19" s="55">
        <f t="shared" si="1"/>
        <v>153</v>
      </c>
      <c r="Q19" s="58">
        <f t="shared" si="0"/>
        <v>153</v>
      </c>
      <c r="R19" s="4" t="s">
        <v>435</v>
      </c>
      <c r="S19" s="35" t="s">
        <v>435</v>
      </c>
      <c r="T19" s="191">
        <f>V19+100</f>
        <v>300</v>
      </c>
      <c r="U19" s="35">
        <f>T19-$D$9</f>
        <v>300</v>
      </c>
      <c r="V19" s="191">
        <f>SUM($V$20, $D$20, 36)</f>
        <v>200</v>
      </c>
      <c r="W19" s="4">
        <v>37</v>
      </c>
      <c r="X19" s="4">
        <v>54</v>
      </c>
      <c r="Y19" s="24"/>
      <c r="Z19" s="77"/>
      <c r="AA19" s="63"/>
    </row>
    <row r="20" spans="1:28" ht="24" customHeight="1" x14ac:dyDescent="0.3">
      <c r="A20" s="163"/>
      <c r="B20" s="164">
        <v>4</v>
      </c>
      <c r="C20" s="51">
        <v>235</v>
      </c>
      <c r="D20" s="79"/>
      <c r="E20" s="3" t="str">
        <f>IF(OR($D20=0, $O$3=2, $D$11&lt;&gt;3)," ", R20)</f>
        <v xml:space="preserve"> </v>
      </c>
      <c r="F20" s="3" t="str">
        <f>IF(OR($D20=0,$O$3=2, $D$11&lt;&gt;3)," ", S20)</f>
        <v xml:space="preserve"> </v>
      </c>
      <c r="G20" s="3" t="str">
        <f>IF(OR($D20=0, $O$3=2, $D$11&lt;&gt;4)," ", T20)</f>
        <v xml:space="preserve"> </v>
      </c>
      <c r="H20" s="3" t="str">
        <f>IF(OR($D20=0,$O$3=2, $D$11&lt;&gt;4)," ", U20)</f>
        <v xml:space="preserve"> </v>
      </c>
      <c r="I20" s="3" t="str">
        <f>IF(OR($D21=0,$O$3=2)," ",$V20)</f>
        <v xml:space="preserve"> </v>
      </c>
      <c r="J20" s="3" t="str">
        <f>IF(OR($O$3=2,$D$20=0)," ",$W$20)</f>
        <v xml:space="preserve"> </v>
      </c>
      <c r="L20" s="43" t="str">
        <f>IF($D20&lt;$Q20, "Min. "&amp;$Q20&amp;"!", " ")</f>
        <v>Min. 186!</v>
      </c>
      <c r="M20" s="52">
        <v>211</v>
      </c>
      <c r="N20" s="53">
        <v>211</v>
      </c>
      <c r="O20" s="56">
        <f t="shared" si="1"/>
        <v>186</v>
      </c>
      <c r="P20" s="57">
        <f t="shared" si="1"/>
        <v>186</v>
      </c>
      <c r="Q20" s="58">
        <f t="shared" si="0"/>
        <v>186</v>
      </c>
      <c r="R20" s="4" t="s">
        <v>435</v>
      </c>
      <c r="S20" s="35" t="s">
        <v>435</v>
      </c>
      <c r="T20" s="4" t="s">
        <v>435</v>
      </c>
      <c r="U20" s="35" t="s">
        <v>435</v>
      </c>
      <c r="V20" s="191">
        <f>SUM($V$21, $D$21, 36)</f>
        <v>164</v>
      </c>
      <c r="W20" s="4">
        <v>37</v>
      </c>
      <c r="X20" s="4">
        <v>54</v>
      </c>
      <c r="Y20" s="6"/>
      <c r="Z20" s="77"/>
    </row>
    <row r="21" spans="1:28" ht="24" customHeight="1" x14ac:dyDescent="0.3">
      <c r="A21" s="163"/>
      <c r="B21" s="164">
        <v>3</v>
      </c>
      <c r="C21" s="51">
        <v>327</v>
      </c>
      <c r="D21" s="79"/>
      <c r="E21" s="3" t="str">
        <f>IF(OR($D21=0, $O$3=2, $D$11&lt;&gt;3)," ", R21)</f>
        <v xml:space="preserve"> </v>
      </c>
      <c r="F21" s="3" t="str">
        <f>IF(OR($D21=0,$O$3=2, $D$11&lt;&gt;3)," ", S21)</f>
        <v xml:space="preserve"> </v>
      </c>
      <c r="G21" s="3" t="str">
        <f>IF(OR($D21=0, $O$3=2, $D$11&lt;&gt;4)," ", T21)</f>
        <v xml:space="preserve"> </v>
      </c>
      <c r="H21" s="3" t="str">
        <f>IF(OR($D21=0,$O$3=2, $D$11&lt;&gt;4)," ", U21)</f>
        <v xml:space="preserve"> </v>
      </c>
      <c r="I21" s="3" t="str">
        <f>IF(OR($D22=0,$O$3=2)," ",$V21)</f>
        <v xml:space="preserve"> </v>
      </c>
      <c r="J21" s="3" t="str">
        <f>IF(OR($O$3=2,$D$21=0)," ",$W$21)</f>
        <v xml:space="preserve"> </v>
      </c>
      <c r="L21" s="43" t="str">
        <f>IF($D21&lt;$Q21, "Min. "&amp;$Q21&amp;"!", " ")</f>
        <v>Min. 252!</v>
      </c>
      <c r="M21" s="52">
        <f>SUM(211, 66)</f>
        <v>277</v>
      </c>
      <c r="N21" s="53">
        <v>277</v>
      </c>
      <c r="O21" s="56">
        <f t="shared" si="1"/>
        <v>252</v>
      </c>
      <c r="P21" s="57">
        <f t="shared" si="1"/>
        <v>252</v>
      </c>
      <c r="Q21" s="58">
        <f t="shared" si="0"/>
        <v>252</v>
      </c>
      <c r="R21" s="191">
        <f>SUM($V$20, -54, -30)</f>
        <v>80</v>
      </c>
      <c r="S21" s="35">
        <f>R21-$D$9</f>
        <v>80</v>
      </c>
      <c r="T21" s="191">
        <f>SUM($V$20, -54, -30)</f>
        <v>80</v>
      </c>
      <c r="U21" s="35">
        <f>T21-$D$9</f>
        <v>80</v>
      </c>
      <c r="V21" s="191">
        <f>SUM($V$22, $D$22, 36)</f>
        <v>128</v>
      </c>
      <c r="W21" s="4">
        <v>37</v>
      </c>
      <c r="X21" s="4">
        <v>54</v>
      </c>
      <c r="Y21" s="6"/>
      <c r="Z21" s="77"/>
      <c r="AA21" s="15"/>
    </row>
    <row r="22" spans="1:28" ht="24" customHeight="1" x14ac:dyDescent="0.3">
      <c r="A22" s="163"/>
      <c r="B22" s="164">
        <v>2</v>
      </c>
      <c r="C22" s="51">
        <v>295</v>
      </c>
      <c r="D22" s="79"/>
      <c r="E22" s="3" t="str">
        <f>IF(OR($D22=0, $O$3=2, $D$11&lt;&gt;3)," ", R22)</f>
        <v xml:space="preserve"> </v>
      </c>
      <c r="F22" s="3" t="str">
        <f>IF(OR($D22=0,$O$3=2, $D$11&lt;&gt;3)," ", S22)</f>
        <v xml:space="preserve"> </v>
      </c>
      <c r="G22" s="3" t="str">
        <f>IF(OR($D22=0, $O$3=2, $D$11&lt;&gt;4)," ", T22)</f>
        <v xml:space="preserve"> </v>
      </c>
      <c r="H22" s="3" t="str">
        <f>IF(OR($D22=0,$O$3=2, $D$11&lt;&gt;4)," ", U22)</f>
        <v xml:space="preserve"> </v>
      </c>
      <c r="I22" s="3" t="str">
        <f>IF(OR($D23=0,$O$3=2)," ",$V22)</f>
        <v xml:space="preserve"> </v>
      </c>
      <c r="J22" s="3" t="str">
        <f>IF(OR($D$23=0,$O$3=2)," ",W22)</f>
        <v xml:space="preserve"> </v>
      </c>
      <c r="L22" s="43" t="str">
        <f>IF($D22&lt;$Q22, "Min. "&amp;$Q22&amp;"!", " ")</f>
        <v>Min. 186!</v>
      </c>
      <c r="M22" s="52">
        <v>211</v>
      </c>
      <c r="N22" s="53">
        <v>211</v>
      </c>
      <c r="O22" s="56">
        <f t="shared" si="1"/>
        <v>186</v>
      </c>
      <c r="P22" s="57">
        <f t="shared" si="1"/>
        <v>186</v>
      </c>
      <c r="Q22" s="58">
        <f t="shared" si="0"/>
        <v>186</v>
      </c>
      <c r="R22" s="4" t="s">
        <v>435</v>
      </c>
      <c r="S22" s="35" t="s">
        <v>435</v>
      </c>
      <c r="T22" s="4" t="s">
        <v>435</v>
      </c>
      <c r="U22" s="35" t="s">
        <v>435</v>
      </c>
      <c r="V22" s="191">
        <f>SUM($V$23, $D$23, 36)</f>
        <v>92</v>
      </c>
      <c r="W22" s="4">
        <v>37</v>
      </c>
      <c r="X22" s="4">
        <v>54</v>
      </c>
      <c r="Y22" s="6"/>
      <c r="Z22" s="77"/>
      <c r="AA22" s="15"/>
    </row>
    <row r="23" spans="1:28" ht="24" customHeight="1" x14ac:dyDescent="0.3">
      <c r="A23" s="163"/>
      <c r="B23" s="165" t="s">
        <v>267</v>
      </c>
      <c r="C23" s="51">
        <v>360</v>
      </c>
      <c r="D23" s="79"/>
      <c r="E23" s="3" t="str">
        <f>IF(OR($D23=0, $O$3=2, $D$11&lt;&gt;3)," ", R23)</f>
        <v xml:space="preserve"> </v>
      </c>
      <c r="F23" s="3" t="str">
        <f>IF(OR($D23=0,$O$3=2, $D$11&lt;&gt;3)," ", S23)</f>
        <v xml:space="preserve"> </v>
      </c>
      <c r="G23" s="3" t="str">
        <f>IF(OR($D23=0, $O$3=2, $D$11&lt;&gt;4)," ", T23)</f>
        <v xml:space="preserve"> </v>
      </c>
      <c r="H23" s="3" t="str">
        <f>IF(OR($D23=0,$O$3=2, $D$11&lt;&gt;4)," ", U23)</f>
        <v xml:space="preserve"> </v>
      </c>
      <c r="I23" s="3" t="str">
        <f>IF(OR($D$23=0,$O$3=2)," ",$V$23)</f>
        <v xml:space="preserve"> </v>
      </c>
      <c r="J23" s="3" t="str">
        <f>IF(OR($D$23=0,$O$3=2)," ",W23)</f>
        <v xml:space="preserve"> </v>
      </c>
      <c r="L23" s="43" t="str">
        <f>IF($D23&lt;$Q23, "Min. "&amp;$Q23&amp;"!", " ")</f>
        <v>Min. 254!</v>
      </c>
      <c r="M23" s="236">
        <f>SUM(213, $D$6, 66)</f>
        <v>279</v>
      </c>
      <c r="N23" s="237">
        <f>SUM(213, $D$6, 66)</f>
        <v>279</v>
      </c>
      <c r="O23" s="56">
        <f>SUM(M23, -25, -$D$6)</f>
        <v>254</v>
      </c>
      <c r="P23" s="57">
        <f>SUM(N23, -25, -$D$6)</f>
        <v>254</v>
      </c>
      <c r="Q23" s="58">
        <f t="shared" si="0"/>
        <v>254</v>
      </c>
      <c r="R23" s="4">
        <v>280</v>
      </c>
      <c r="S23" s="35">
        <f>R23-$D$9</f>
        <v>280</v>
      </c>
      <c r="T23" s="4">
        <v>280</v>
      </c>
      <c r="U23" s="35">
        <f>T23-$D$9</f>
        <v>280</v>
      </c>
      <c r="V23" s="4">
        <f>SUM($X23, $D$6)</f>
        <v>56</v>
      </c>
      <c r="W23" s="4">
        <v>37</v>
      </c>
      <c r="X23" s="4">
        <v>56</v>
      </c>
      <c r="Y23" s="6"/>
      <c r="Z23" s="77"/>
      <c r="AA23" s="9"/>
      <c r="AB23" s="5"/>
    </row>
    <row r="24" spans="1:28" ht="12.75" customHeight="1" x14ac:dyDescent="0.3"/>
    <row r="25" spans="1:28" x14ac:dyDescent="0.3">
      <c r="C25" s="2" t="s">
        <v>488</v>
      </c>
    </row>
    <row r="26" spans="1:28" x14ac:dyDescent="0.3">
      <c r="C26" s="2" t="s">
        <v>112</v>
      </c>
      <c r="P26" s="2" t="s">
        <v>437</v>
      </c>
      <c r="Q26" s="9" t="s">
        <v>438</v>
      </c>
      <c r="R26" s="2">
        <f>IF(O5=2, 0, $D$5-$D$7*2-126)</f>
        <v>0</v>
      </c>
      <c r="X26" s="11"/>
    </row>
    <row r="27" spans="1:28" ht="12" customHeight="1" x14ac:dyDescent="0.3">
      <c r="Q27" s="9" t="s">
        <v>439</v>
      </c>
      <c r="R27" s="2">
        <f>IF(O5=2, 0, $D$5-$D$7*2-111)</f>
        <v>0</v>
      </c>
    </row>
    <row r="28" spans="1:28" x14ac:dyDescent="0.3">
      <c r="C28" s="18" t="str">
        <f>IF(AND(D4&gt;0, D23&gt;0, D22&gt;0, D21&gt;0, D20&gt;0, D19&gt;0, $O$14=2), "          Rozmístění výsuvů neodpovídá výšce korpusu! Upravte úložné výšky nebo výšku korpusu.", " ")</f>
        <v xml:space="preserve"> </v>
      </c>
      <c r="Q28" s="9" t="s">
        <v>487</v>
      </c>
      <c r="R28" s="2">
        <f>IF(O6=2, 0, $D$5-$D$7*2-104)</f>
        <v>0</v>
      </c>
    </row>
    <row r="29" spans="1:28" ht="12" customHeight="1" x14ac:dyDescent="0.3"/>
    <row r="30" spans="1:28" x14ac:dyDescent="0.3">
      <c r="C30" s="2" t="s">
        <v>440</v>
      </c>
      <c r="Q30" s="9" t="s">
        <v>291</v>
      </c>
      <c r="R30" s="2">
        <f>IF($O$3=2, 0, SUM($D$5, -2*$D$7, -51))</f>
        <v>0</v>
      </c>
      <c r="S30" s="112">
        <f>IF($O$3=2, 0, SUM($D$12-26))</f>
        <v>0</v>
      </c>
    </row>
    <row r="31" spans="1:28" x14ac:dyDescent="0.3">
      <c r="C31" s="2" t="s">
        <v>528</v>
      </c>
      <c r="Q31" s="9" t="s">
        <v>293</v>
      </c>
      <c r="R31" s="2">
        <f>IF($O$3=2, 0, SUM($D$5, -2*$D$7, -51))</f>
        <v>0</v>
      </c>
    </row>
    <row r="32" spans="1:28" x14ac:dyDescent="0.3">
      <c r="C32" s="2" t="s">
        <v>442</v>
      </c>
    </row>
    <row r="36" spans="2:27" ht="14.5" thickBot="1" x14ac:dyDescent="0.35"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</row>
    <row r="37" spans="2:27" ht="25" customHeight="1" thickTop="1" x14ac:dyDescent="0.35">
      <c r="C37" s="19" t="s">
        <v>443</v>
      </c>
      <c r="Z37" s="103" t="str">
        <f>C1</f>
        <v>SPACE TOWER</v>
      </c>
    </row>
    <row r="38" spans="2:27" ht="15.5" x14ac:dyDescent="0.35">
      <c r="I38" s="47"/>
      <c r="L38" s="63"/>
      <c r="Z38" s="194" t="str">
        <f>C2</f>
        <v>MERIVOBOX</v>
      </c>
    </row>
    <row r="39" spans="2:27" ht="14.5" x14ac:dyDescent="0.35">
      <c r="D39" s="9" t="s">
        <v>444</v>
      </c>
      <c r="I39" s="47"/>
      <c r="L39" s="63"/>
    </row>
    <row r="40" spans="2:27" x14ac:dyDescent="0.3">
      <c r="D40" s="9"/>
      <c r="I40" s="77">
        <f>SUM(E18, G18)</f>
        <v>0</v>
      </c>
      <c r="L40" s="63">
        <f>SUM(F18, H18)</f>
        <v>0</v>
      </c>
    </row>
    <row r="41" spans="2:27" x14ac:dyDescent="0.3">
      <c r="D41" s="9">
        <f>IF($O$3=1, SUM($D$4, -$D$6, -$I$18, -9), 0)</f>
        <v>0</v>
      </c>
      <c r="I41" s="77"/>
      <c r="L41" s="63"/>
    </row>
    <row r="42" spans="2:27" x14ac:dyDescent="0.3">
      <c r="D42" s="9"/>
      <c r="I42" s="77"/>
      <c r="L42" s="63"/>
    </row>
    <row r="43" spans="2:27" ht="12.75" customHeight="1" x14ac:dyDescent="0.3">
      <c r="D43" s="9"/>
      <c r="I43" s="77"/>
      <c r="L43" s="63"/>
    </row>
    <row r="44" spans="2:27" x14ac:dyDescent="0.3">
      <c r="B44" s="63"/>
      <c r="D44" s="9"/>
      <c r="F44" s="2" t="str">
        <f>$I$18</f>
        <v xml:space="preserve"> </v>
      </c>
      <c r="I44" s="77"/>
      <c r="L44" s="63"/>
    </row>
    <row r="45" spans="2:27" ht="15.75" customHeight="1" x14ac:dyDescent="0.3">
      <c r="B45" s="63"/>
      <c r="D45" s="9"/>
      <c r="I45" s="77" t="str">
        <f>G19</f>
        <v xml:space="preserve"> </v>
      </c>
      <c r="L45" s="63" t="str">
        <f>$H$19</f>
        <v xml:space="preserve"> </v>
      </c>
    </row>
    <row r="46" spans="2:27" x14ac:dyDescent="0.3">
      <c r="B46" s="63"/>
      <c r="D46" s="9">
        <f>IF($O$3=1, $D$19, 0)</f>
        <v>0</v>
      </c>
      <c r="I46" s="77"/>
      <c r="L46" s="63"/>
    </row>
    <row r="47" spans="2:27" ht="17.25" customHeight="1" x14ac:dyDescent="0.3">
      <c r="B47" s="63"/>
      <c r="D47" s="9"/>
      <c r="F47" s="2" t="str">
        <f>$I$19</f>
        <v xml:space="preserve"> </v>
      </c>
      <c r="I47" s="77"/>
      <c r="L47" s="63"/>
      <c r="Z47" s="229" t="s">
        <v>445</v>
      </c>
    </row>
    <row r="48" spans="2:27" x14ac:dyDescent="0.3">
      <c r="B48" s="63"/>
      <c r="D48" s="9"/>
      <c r="I48" s="77"/>
      <c r="L48" s="63"/>
      <c r="Z48" s="128" t="str">
        <f>"dno: "&amp;$R$30&amp;" x "&amp;$S$30&amp;" mm "</f>
        <v xml:space="preserve">dno: 0 x 0 mm </v>
      </c>
    </row>
    <row r="49" spans="2:26" x14ac:dyDescent="0.3">
      <c r="B49" s="63"/>
      <c r="D49" s="9"/>
      <c r="I49" s="77"/>
      <c r="L49" s="63"/>
      <c r="Z49" s="128" t="str">
        <f>"záda M: "&amp;$R$31&amp;" x  83 mm "</f>
        <v xml:space="preserve">záda M: 0 x  83 mm </v>
      </c>
    </row>
    <row r="50" spans="2:26" x14ac:dyDescent="0.3">
      <c r="B50" s="63"/>
      <c r="D50" s="9">
        <f>IF($O$3=1, $D$20, 0)</f>
        <v>0</v>
      </c>
      <c r="I50" s="77"/>
      <c r="L50" s="63"/>
      <c r="Z50" s="128" t="str">
        <f>"záda E: "&amp;$R$31&amp;" x 184 mm "</f>
        <v xml:space="preserve">záda E: 0 x 184 mm </v>
      </c>
    </row>
    <row r="51" spans="2:26" ht="20.25" customHeight="1" x14ac:dyDescent="0.3">
      <c r="B51" s="63"/>
      <c r="D51" s="9"/>
      <c r="I51" s="77"/>
      <c r="L51" s="63"/>
    </row>
    <row r="52" spans="2:26" x14ac:dyDescent="0.3">
      <c r="B52" s="63"/>
      <c r="D52" s="9"/>
      <c r="F52" s="2" t="str">
        <f>$I$20</f>
        <v xml:space="preserve"> </v>
      </c>
      <c r="I52" s="77"/>
      <c r="L52" s="63"/>
    </row>
    <row r="53" spans="2:26" ht="20.25" customHeight="1" x14ac:dyDescent="0.3">
      <c r="B53" s="63"/>
      <c r="D53" s="9"/>
      <c r="I53" s="77">
        <f>SUM(E21, G21)</f>
        <v>0</v>
      </c>
      <c r="L53" s="4">
        <f>SUM(F21, H21)</f>
        <v>0</v>
      </c>
      <c r="Z53" s="229" t="s">
        <v>446</v>
      </c>
    </row>
    <row r="54" spans="2:26" x14ac:dyDescent="0.3">
      <c r="B54" s="63"/>
      <c r="D54" s="9"/>
      <c r="I54" s="77"/>
      <c r="L54" s="4"/>
      <c r="Z54" s="128" t="str">
        <f>"přední reling: "&amp;$R$27&amp;" mm "</f>
        <v xml:space="preserve">přední reling: 0 mm </v>
      </c>
    </row>
    <row r="55" spans="2:26" x14ac:dyDescent="0.3">
      <c r="B55" s="63"/>
      <c r="D55" s="9"/>
      <c r="I55" s="77"/>
      <c r="L55" s="4"/>
      <c r="Z55" s="128" t="str">
        <f>"čelní profil: "&amp;$R$26&amp;" mm "</f>
        <v xml:space="preserve">čelní profil: 0 mm </v>
      </c>
    </row>
    <row r="56" spans="2:26" x14ac:dyDescent="0.3">
      <c r="B56" s="63"/>
      <c r="D56" s="9">
        <f>IF($O$3=1, $D$21, 0)</f>
        <v>0</v>
      </c>
      <c r="I56" s="77"/>
      <c r="L56" s="4"/>
    </row>
    <row r="57" spans="2:26" ht="19.5" customHeight="1" x14ac:dyDescent="0.3">
      <c r="B57" s="63"/>
      <c r="D57" s="9"/>
      <c r="I57" s="77"/>
      <c r="L57" s="4"/>
      <c r="Z57" s="229" t="s">
        <v>446</v>
      </c>
    </row>
    <row r="58" spans="2:26" x14ac:dyDescent="0.3">
      <c r="B58" s="63"/>
      <c r="D58" s="9"/>
      <c r="F58" s="2" t="str">
        <f>$I$21</f>
        <v xml:space="preserve"> </v>
      </c>
      <c r="I58" s="77"/>
      <c r="L58" s="4"/>
      <c r="Z58" s="128" t="str">
        <f>"přední sklo: "&amp;$R$28&amp;" mm "</f>
        <v xml:space="preserve">přední sklo: 0 mm </v>
      </c>
    </row>
    <row r="59" spans="2:26" x14ac:dyDescent="0.3">
      <c r="B59" s="63"/>
      <c r="D59" s="9"/>
      <c r="I59" s="77"/>
      <c r="L59" s="4"/>
      <c r="Z59" s="128" t="str">
        <f>"čelní profil: "&amp;$R$26&amp;" mm "</f>
        <v xml:space="preserve">čelní profil: 0 mm </v>
      </c>
    </row>
    <row r="60" spans="2:26" x14ac:dyDescent="0.3">
      <c r="B60" s="63"/>
      <c r="D60" s="9"/>
      <c r="I60" s="77"/>
      <c r="L60" s="4"/>
    </row>
    <row r="61" spans="2:26" x14ac:dyDescent="0.3">
      <c r="B61" s="63"/>
      <c r="D61" s="9">
        <f>IF($O$3=1, $D$22, 0)</f>
        <v>0</v>
      </c>
      <c r="I61" s="77"/>
      <c r="L61" s="4"/>
    </row>
    <row r="62" spans="2:26" x14ac:dyDescent="0.3">
      <c r="B62" s="63"/>
      <c r="D62" s="9"/>
      <c r="I62" s="77"/>
      <c r="L62" s="4"/>
    </row>
    <row r="63" spans="2:26" x14ac:dyDescent="0.3">
      <c r="B63" s="63"/>
      <c r="D63" s="9"/>
      <c r="F63" s="2" t="str">
        <f>$I$22</f>
        <v xml:space="preserve"> </v>
      </c>
      <c r="I63" s="77"/>
      <c r="L63" s="4"/>
    </row>
    <row r="64" spans="2:26" x14ac:dyDescent="0.3">
      <c r="B64" s="63"/>
      <c r="D64" s="9"/>
      <c r="I64" s="77"/>
      <c r="L64" s="4"/>
    </row>
    <row r="65" spans="2:29" ht="21.75" customHeight="1" x14ac:dyDescent="0.3">
      <c r="B65" s="63"/>
      <c r="D65" s="9"/>
      <c r="I65" s="77">
        <f>SUM(E23, G23)</f>
        <v>0</v>
      </c>
      <c r="L65" s="4">
        <f>SUM(F23, H23)</f>
        <v>0</v>
      </c>
    </row>
    <row r="66" spans="2:29" x14ac:dyDescent="0.3">
      <c r="B66" s="63"/>
      <c r="D66" s="9"/>
      <c r="I66" s="47"/>
      <c r="L66" s="63"/>
    </row>
    <row r="67" spans="2:29" x14ac:dyDescent="0.3">
      <c r="B67" s="63"/>
      <c r="D67" s="9">
        <f>IF($O$3=1, $D$23, 0)</f>
        <v>0</v>
      </c>
      <c r="I67" s="47"/>
      <c r="L67" s="63"/>
    </row>
    <row r="68" spans="2:29" ht="15" customHeight="1" x14ac:dyDescent="0.3">
      <c r="B68" s="63"/>
      <c r="D68" s="9"/>
      <c r="I68" s="47"/>
      <c r="L68" s="63"/>
    </row>
    <row r="69" spans="2:29" x14ac:dyDescent="0.3">
      <c r="B69" s="63"/>
      <c r="D69" s="9"/>
      <c r="F69" s="2" t="str">
        <f>$I$23</f>
        <v xml:space="preserve"> </v>
      </c>
      <c r="I69" s="47"/>
      <c r="L69" s="63"/>
    </row>
    <row r="70" spans="2:29" x14ac:dyDescent="0.3">
      <c r="B70" s="63"/>
      <c r="L70" s="63"/>
    </row>
    <row r="71" spans="2:29" x14ac:dyDescent="0.3">
      <c r="B71" s="63"/>
      <c r="C71" s="2" t="s">
        <v>447</v>
      </c>
      <c r="AB71" s="169" t="s">
        <v>448</v>
      </c>
    </row>
    <row r="72" spans="2:29" x14ac:dyDescent="0.3">
      <c r="B72" s="63"/>
      <c r="C72" s="2" t="s">
        <v>449</v>
      </c>
    </row>
    <row r="73" spans="2:29" x14ac:dyDescent="0.3">
      <c r="B73" s="63"/>
    </row>
    <row r="74" spans="2:29" x14ac:dyDescent="0.3">
      <c r="B74" s="63"/>
    </row>
    <row r="75" spans="2:29" x14ac:dyDescent="0.3">
      <c r="B75" s="63"/>
    </row>
    <row r="76" spans="2:29" x14ac:dyDescent="0.3">
      <c r="B76" s="63"/>
    </row>
    <row r="77" spans="2:29" ht="14.5" thickBot="1" x14ac:dyDescent="0.35"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</row>
    <row r="78" spans="2:29" ht="25" customHeight="1" thickTop="1" x14ac:dyDescent="0.35">
      <c r="B78" s="139" t="s">
        <v>332</v>
      </c>
      <c r="Z78" s="195" t="str">
        <f>C1</f>
        <v>SPACE TOWER</v>
      </c>
      <c r="AC78" s="9"/>
    </row>
    <row r="79" spans="2:29" ht="25" customHeight="1" x14ac:dyDescent="0.3">
      <c r="B79" s="140" t="s">
        <v>92</v>
      </c>
      <c r="C79" s="140"/>
      <c r="D79" s="140"/>
      <c r="E79" s="140"/>
      <c r="F79" s="140" t="s">
        <v>93</v>
      </c>
      <c r="G79" s="140"/>
      <c r="H79" s="140" t="s">
        <v>94</v>
      </c>
      <c r="I79" s="140" t="s">
        <v>95</v>
      </c>
      <c r="J79" s="140"/>
      <c r="Z79" s="15" t="str">
        <f>C2</f>
        <v>MERIVOBOX</v>
      </c>
      <c r="AB79" s="47"/>
      <c r="AC79" s="9"/>
    </row>
    <row r="80" spans="2:29" x14ac:dyDescent="0.3">
      <c r="B80" s="2" t="s">
        <v>493</v>
      </c>
      <c r="F80" s="2" t="str">
        <f>IF($O$3=1, IF($D$12=270, M80, IF($D$12=300, M81, IF($D$12=350, M82, IF($D$12=400, M83, IF($D$12=450, M84, IF($D$12=500, M85, IF($D$12=550, M86, IF($D$12=600, M87, IF($D$12=650, M88, " "))))))))), " ")</f>
        <v xml:space="preserve"> </v>
      </c>
      <c r="H80" s="47" t="str">
        <f>IF($O$3=1,SUM($N$80:$N$88)," ")</f>
        <v xml:space="preserve"> </v>
      </c>
      <c r="I80" s="2" t="s">
        <v>99</v>
      </c>
      <c r="M80" s="137" t="s">
        <v>497</v>
      </c>
      <c r="N80" s="138">
        <f>IF($D$12=270, 5, 0)</f>
        <v>0</v>
      </c>
      <c r="O80" s="137" t="s">
        <v>506</v>
      </c>
      <c r="P80" s="138">
        <f>IF($D$12=270, 5, 0)</f>
        <v>0</v>
      </c>
      <c r="Q80" s="137"/>
      <c r="R80" s="137"/>
      <c r="S80" s="137" t="s">
        <v>519</v>
      </c>
      <c r="U80" s="138">
        <f>IF($D$12=270, 4, 0)</f>
        <v>0</v>
      </c>
      <c r="V80" s="137" t="s">
        <v>451</v>
      </c>
      <c r="W80" s="138">
        <f>IF($D$12=270, 4, 0)</f>
        <v>0</v>
      </c>
      <c r="X80" s="138"/>
      <c r="AB80" s="47"/>
      <c r="AC80" s="9"/>
    </row>
    <row r="81" spans="2:29" x14ac:dyDescent="0.3">
      <c r="B81" s="2" t="s">
        <v>538</v>
      </c>
      <c r="F81" s="2" t="str">
        <f>IF($O$3=1, IF($D$12=270, O80, IF($D$12=300, O81, IF($D$12=350, O82, IF($D$12=400, O83, IF($D$12=450, O84, IF($D$12=500, O85, IF($D$12=550, O86, IF($D$12=600, O87, " ")))))))), " ")</f>
        <v xml:space="preserve"> </v>
      </c>
      <c r="H81" s="47" t="str">
        <f>IF($O$3=1, SUM($P$80:$P$88), " ")</f>
        <v xml:space="preserve"> </v>
      </c>
      <c r="M81" s="137" t="s">
        <v>498</v>
      </c>
      <c r="N81" s="138">
        <f>IF($D$12=300, 5, 0)</f>
        <v>0</v>
      </c>
      <c r="O81" s="137" t="s">
        <v>507</v>
      </c>
      <c r="P81" s="138">
        <f>IF($D$12=300, 5, 0)</f>
        <v>0</v>
      </c>
      <c r="Q81" s="137"/>
      <c r="R81" s="137"/>
      <c r="S81" s="137" t="s">
        <v>520</v>
      </c>
      <c r="U81" s="138">
        <f>IF($D$12=300, 4, 0)</f>
        <v>0</v>
      </c>
      <c r="V81" s="137" t="s">
        <v>453</v>
      </c>
      <c r="W81" s="138">
        <f>IF($D$12=300, 4, 0)</f>
        <v>0</v>
      </c>
      <c r="X81" s="138"/>
      <c r="AB81" s="47"/>
      <c r="AC81" s="9"/>
    </row>
    <row r="82" spans="2:29" x14ac:dyDescent="0.3">
      <c r="B82" s="2" t="s">
        <v>539</v>
      </c>
      <c r="F82" s="2" t="str">
        <f>IF($O$3=1, IF($D$12=450, Q84, IF($D$12=500, Q85, IF($D$12=550, Q86, IF($D$12=600, Q87, IF($D$12=650, Q88, " "))))), " ")</f>
        <v xml:space="preserve"> </v>
      </c>
      <c r="H82" s="47" t="str">
        <f>IF($O$3=1, SUM($R$80:$R$88), " ")</f>
        <v xml:space="preserve"> </v>
      </c>
      <c r="M82" s="137" t="s">
        <v>499</v>
      </c>
      <c r="N82" s="138">
        <f>IF($D$12=350, 5, 0)</f>
        <v>0</v>
      </c>
      <c r="O82" s="137" t="s">
        <v>508</v>
      </c>
      <c r="P82" s="138">
        <f>IF($D$12=350, 5, 0)</f>
        <v>0</v>
      </c>
      <c r="Q82" s="137"/>
      <c r="R82" s="137"/>
      <c r="S82" s="137" t="s">
        <v>521</v>
      </c>
      <c r="U82" s="138">
        <f>IF($D$12=350, 4, 0)</f>
        <v>0</v>
      </c>
      <c r="V82" s="137" t="s">
        <v>455</v>
      </c>
      <c r="W82" s="138">
        <f>IF($D$12=350, 4, 0)</f>
        <v>0</v>
      </c>
      <c r="X82" s="138"/>
      <c r="AB82" s="47"/>
      <c r="AC82" s="9"/>
    </row>
    <row r="83" spans="2:29" x14ac:dyDescent="0.3">
      <c r="B83" s="2" t="s">
        <v>334</v>
      </c>
      <c r="F83" s="2" t="str">
        <f>IF($O$3=1, "ZB4M000S", " ")</f>
        <v xml:space="preserve"> </v>
      </c>
      <c r="H83" s="47" t="str">
        <f>IF($O$3=1, 1, " ")</f>
        <v xml:space="preserve"> </v>
      </c>
      <c r="I83" s="2" t="s">
        <v>99</v>
      </c>
      <c r="M83" s="137" t="s">
        <v>500</v>
      </c>
      <c r="N83" s="138">
        <f>IF($D$12=400, 5, 0)</f>
        <v>0</v>
      </c>
      <c r="O83" s="137" t="s">
        <v>509</v>
      </c>
      <c r="P83" s="138">
        <f>IF($D$12=400, 5, 0)</f>
        <v>0</v>
      </c>
      <c r="Q83" s="137"/>
      <c r="R83" s="137"/>
      <c r="S83" s="137" t="s">
        <v>522</v>
      </c>
      <c r="U83" s="138">
        <f>IF($D$12=400, 4, 0)</f>
        <v>0</v>
      </c>
      <c r="V83" s="137" t="s">
        <v>456</v>
      </c>
      <c r="W83" s="138">
        <f>IF($D$12=400, 4, 0)</f>
        <v>0</v>
      </c>
      <c r="X83" s="138"/>
      <c r="AB83" s="47"/>
      <c r="AC83" s="9"/>
    </row>
    <row r="84" spans="2:29" x14ac:dyDescent="0.3">
      <c r="B84" s="2" t="s">
        <v>494</v>
      </c>
      <c r="F84" s="2" t="str">
        <f>IF($O$3=1, "ZB4E000S", " ")</f>
        <v xml:space="preserve"> </v>
      </c>
      <c r="H84" s="47" t="str">
        <f>IF($O$3=1, 4, " ")</f>
        <v xml:space="preserve"> </v>
      </c>
      <c r="I84" s="2" t="s">
        <v>99</v>
      </c>
      <c r="M84" s="137" t="s">
        <v>501</v>
      </c>
      <c r="N84" s="138">
        <f>IF($D$12=450, 5, 0)</f>
        <v>0</v>
      </c>
      <c r="O84" s="137" t="s">
        <v>510</v>
      </c>
      <c r="P84" s="138">
        <f>IF(AND($D$12=450, $D$5&lt;600), 4, IF(AND($D$12=450, $D$5&gt;600), 1, 0))</f>
        <v>0</v>
      </c>
      <c r="Q84" s="137" t="s">
        <v>514</v>
      </c>
      <c r="R84" s="138">
        <f>IF(AND($D$12=450, $D$5&lt;600), 1, IF(AND($D$12=450, $D$5&gt;599), 4, 0))</f>
        <v>0</v>
      </c>
      <c r="S84" s="137" t="s">
        <v>523</v>
      </c>
      <c r="U84" s="138">
        <f>IF($D$12=450, 4, 0)</f>
        <v>0</v>
      </c>
      <c r="V84" s="137" t="s">
        <v>457</v>
      </c>
      <c r="W84" s="138">
        <f>IF($D$12=450, 4, 0)</f>
        <v>0</v>
      </c>
      <c r="X84" s="138"/>
      <c r="AB84" s="47"/>
      <c r="AC84" s="9"/>
    </row>
    <row r="85" spans="2:29" x14ac:dyDescent="0.3">
      <c r="B85" s="2" t="s">
        <v>337</v>
      </c>
      <c r="F85" s="2" t="str">
        <f>IF($O$3=1, IF($D$12=270, S80, IF($D$12=300, S81, IF($D$12=350, S82, IF($D$12=400, S83, IF($D$12=450, S84, IF($D$12=500, S85, IF($D$12=550, S86, IF($D$12=600, S87, IF($D$12=650, S88, " "))))))))), " ")</f>
        <v xml:space="preserve"> </v>
      </c>
      <c r="H85" s="47" t="str">
        <f>IF($O$3=1, SUM($U$80:$U$88), " ")</f>
        <v xml:space="preserve"> </v>
      </c>
      <c r="I85" s="2" t="s">
        <v>99</v>
      </c>
      <c r="M85" s="137" t="s">
        <v>502</v>
      </c>
      <c r="N85" s="138">
        <f>IF($D$12=500, 5, 0)</f>
        <v>0</v>
      </c>
      <c r="O85" s="137" t="s">
        <v>511</v>
      </c>
      <c r="P85" s="138">
        <f>IF(AND($D$12=500, $D$5&lt;600), 4, IF(AND($D$12=500, $D$5&gt;599), 1, 0))</f>
        <v>0</v>
      </c>
      <c r="Q85" s="137" t="s">
        <v>515</v>
      </c>
      <c r="R85" s="138">
        <f>IF(AND($D$12=500, $D$5&lt;600), 1, IF(AND($D$12=500, $D$5&gt;599), 4, 0))</f>
        <v>0</v>
      </c>
      <c r="S85" s="137" t="s">
        <v>524</v>
      </c>
      <c r="U85" s="138">
        <f>IF($D$12=500, 4, 0)</f>
        <v>0</v>
      </c>
      <c r="V85" s="137" t="s">
        <v>458</v>
      </c>
      <c r="W85" s="138">
        <f>IF($D$12=500, 4, 0)</f>
        <v>0</v>
      </c>
      <c r="X85" s="138"/>
      <c r="AB85" s="47"/>
      <c r="AC85" s="9"/>
    </row>
    <row r="86" spans="2:29" x14ac:dyDescent="0.3">
      <c r="B86" s="2" t="s">
        <v>459</v>
      </c>
      <c r="F86" s="2" t="str">
        <f>IF($O$3=1, "ZI4.0MS1", " ")</f>
        <v xml:space="preserve"> </v>
      </c>
      <c r="H86" s="47" t="str">
        <f>IF($O$3=1, 1, " ")</f>
        <v xml:space="preserve"> </v>
      </c>
      <c r="I86" s="2" t="s">
        <v>99</v>
      </c>
      <c r="M86" s="137" t="s">
        <v>501</v>
      </c>
      <c r="N86" s="138">
        <f>IF($D$12=550, 5, 0)</f>
        <v>0</v>
      </c>
      <c r="O86" s="137" t="s">
        <v>512</v>
      </c>
      <c r="P86" s="138">
        <f>IF(AND($D$12=550, $D$5&lt;600), 3, IF(AND($D$12=550, $D$5&gt;599), 1, 0))</f>
        <v>0</v>
      </c>
      <c r="Q86" s="137" t="s">
        <v>516</v>
      </c>
      <c r="R86" s="138">
        <f>IF(AND($D$12=550, $D$5&lt;600), 2, IF(AND($D$12=550, $D$5&gt;599), 4, 0))</f>
        <v>0</v>
      </c>
      <c r="S86" s="137" t="s">
        <v>525</v>
      </c>
      <c r="U86" s="138">
        <f>IF($D$12=550, 4, 0)</f>
        <v>0</v>
      </c>
      <c r="V86" s="137" t="s">
        <v>460</v>
      </c>
      <c r="W86" s="138">
        <f>IF($D$12=550, 4, 0)</f>
        <v>0</v>
      </c>
      <c r="X86" s="138"/>
      <c r="AB86" s="47"/>
      <c r="AC86" s="9"/>
    </row>
    <row r="87" spans="2:29" x14ac:dyDescent="0.3">
      <c r="B87" s="2" t="s">
        <v>461</v>
      </c>
      <c r="F87" s="2" t="str">
        <f>IF($O$3=1, "ZI4.2ES1", " ")</f>
        <v xml:space="preserve"> </v>
      </c>
      <c r="H87" s="47" t="str">
        <f>IF($O$3=1, 4, " ")</f>
        <v xml:space="preserve"> </v>
      </c>
      <c r="I87" s="2" t="s">
        <v>99</v>
      </c>
      <c r="M87" s="137" t="s">
        <v>503</v>
      </c>
      <c r="N87" s="138">
        <f>IF($D$12=600, 5, 0)</f>
        <v>0</v>
      </c>
      <c r="O87" s="137" t="s">
        <v>513</v>
      </c>
      <c r="P87" s="138">
        <f>IF(AND($D$12=600, $D$5&lt;600), 3, IF(AND($D$12=600, $D$5&gt;599), 1, 0))</f>
        <v>0</v>
      </c>
      <c r="Q87" s="137" t="s">
        <v>517</v>
      </c>
      <c r="R87" s="138">
        <f>IF(AND($D$12=600, $D$5&lt;600), 2, IF(AND($D$12=600, $D$5&gt;599), 4, 0))</f>
        <v>0</v>
      </c>
      <c r="S87" s="137" t="s">
        <v>526</v>
      </c>
      <c r="U87" s="138">
        <f>IF($D$12=600, 4, 0)</f>
        <v>0</v>
      </c>
      <c r="V87" s="137" t="s">
        <v>462</v>
      </c>
      <c r="W87" s="138">
        <f>IF($D$12=600, 4, 0)</f>
        <v>0</v>
      </c>
      <c r="X87" s="138"/>
    </row>
    <row r="88" spans="2:29" x14ac:dyDescent="0.3">
      <c r="B88" s="2" t="s">
        <v>463</v>
      </c>
      <c r="F88" s="2" t="str">
        <f>IF($O$3=1, "ZV4.1042M", " ")</f>
        <v xml:space="preserve"> </v>
      </c>
      <c r="H88" s="47" t="str">
        <f>IF($O$3=1, N93, " ")</f>
        <v xml:space="preserve"> </v>
      </c>
      <c r="I88" s="2" t="s">
        <v>99</v>
      </c>
      <c r="M88" s="137" t="s">
        <v>504</v>
      </c>
      <c r="N88" s="138">
        <f>IF($D$12=650, 5, 0)</f>
        <v>0</v>
      </c>
      <c r="O88" s="137"/>
      <c r="P88" s="138"/>
      <c r="Q88" s="137" t="s">
        <v>518</v>
      </c>
      <c r="R88" s="138">
        <f>IF($D$12=650, 5, 0)</f>
        <v>0</v>
      </c>
      <c r="S88" s="137" t="s">
        <v>527</v>
      </c>
      <c r="U88" s="138">
        <f>IF($D$12=650, 4, 0)</f>
        <v>0</v>
      </c>
      <c r="V88" s="137" t="s">
        <v>464</v>
      </c>
      <c r="W88" s="138">
        <f>IF($D$12=650, 4, 0)</f>
        <v>0</v>
      </c>
      <c r="X88" s="138"/>
    </row>
    <row r="89" spans="2:29" x14ac:dyDescent="0.3">
      <c r="B89" s="2" t="s">
        <v>465</v>
      </c>
      <c r="F89" s="2" t="str">
        <f>IF($O$3=1, "ZR4.1059U", " ")</f>
        <v xml:space="preserve"> </v>
      </c>
      <c r="H89" s="47" t="str">
        <f>IF($O$3=1, N94, " ")</f>
        <v xml:space="preserve"> </v>
      </c>
      <c r="I89" s="2" t="s">
        <v>99</v>
      </c>
    </row>
    <row r="90" spans="2:29" x14ac:dyDescent="0.3">
      <c r="B90" s="2" t="s">
        <v>466</v>
      </c>
      <c r="F90" s="2" t="str">
        <f>IF($O$3=1, "71B7550", " ")</f>
        <v xml:space="preserve"> </v>
      </c>
      <c r="H90" s="47" t="str">
        <f>IF($O$3=1, $D$11, " ")</f>
        <v xml:space="preserve"> </v>
      </c>
      <c r="I90" s="2" t="s">
        <v>467</v>
      </c>
    </row>
    <row r="91" spans="2:29" x14ac:dyDescent="0.3">
      <c r="B91" s="2" t="s">
        <v>468</v>
      </c>
      <c r="F91" s="2" t="str">
        <f>IF($O$3=1, "177H3100E", " ")</f>
        <v xml:space="preserve"> </v>
      </c>
      <c r="H91" s="47" t="str">
        <f>IF($O$3=1, $D$11, " ")</f>
        <v xml:space="preserve"> </v>
      </c>
      <c r="I91" s="2" t="s">
        <v>469</v>
      </c>
    </row>
    <row r="92" spans="2:29" x14ac:dyDescent="0.3">
      <c r="H92" s="47"/>
    </row>
    <row r="93" spans="2:29" x14ac:dyDescent="0.3">
      <c r="C93" s="2" t="s">
        <v>470</v>
      </c>
      <c r="M93" s="2" t="s">
        <v>471</v>
      </c>
      <c r="N93" s="63">
        <f>IF($D$5&lt;371,1, IF(AND($D$5&gt;370,$D$5&lt;511),2,IF(AND($D$5&gt;510,$D$5&lt;681),3,5)))</f>
        <v>1</v>
      </c>
    </row>
    <row r="94" spans="2:29" x14ac:dyDescent="0.3">
      <c r="B94" s="2" t="s">
        <v>473</v>
      </c>
      <c r="F94" s="2" t="str">
        <f>IF($O$3=1, "956A1004", " ")</f>
        <v xml:space="preserve"> </v>
      </c>
      <c r="H94" s="47" t="str">
        <f>IF($O$3=1, 1, " ")</f>
        <v xml:space="preserve"> </v>
      </c>
      <c r="I94" s="2" t="s">
        <v>99</v>
      </c>
      <c r="M94" s="2" t="s">
        <v>472</v>
      </c>
      <c r="N94" s="63">
        <f>IF($D$5&lt;411,1,IF(AND($D$5&gt;410,$D$5&lt;681),2,4))</f>
        <v>1</v>
      </c>
    </row>
    <row r="95" spans="2:29" x14ac:dyDescent="0.3">
      <c r="H95" s="47"/>
    </row>
    <row r="96" spans="2:29" x14ac:dyDescent="0.3">
      <c r="B96" s="2" t="s">
        <v>495</v>
      </c>
    </row>
    <row r="97" spans="2:47" x14ac:dyDescent="0.3">
      <c r="B97" s="2" t="s">
        <v>496</v>
      </c>
    </row>
    <row r="99" spans="2:47" x14ac:dyDescent="0.3">
      <c r="B99" s="2" t="s">
        <v>541</v>
      </c>
      <c r="AB99" s="169" t="s">
        <v>448</v>
      </c>
    </row>
    <row r="101" spans="2:47" x14ac:dyDescent="0.3">
      <c r="B101" s="2" t="s">
        <v>590</v>
      </c>
    </row>
    <row r="110" spans="2:47" ht="17.5" x14ac:dyDescent="0.35">
      <c r="AC110" s="99" t="s">
        <v>474</v>
      </c>
      <c r="AI110" s="193"/>
      <c r="AL110" s="192"/>
      <c r="AN110" s="99" t="s">
        <v>443</v>
      </c>
      <c r="AR110" s="193" t="str">
        <f>C1</f>
        <v>SPACE TOWER</v>
      </c>
      <c r="AU110" s="192" t="str">
        <f>C2</f>
        <v>MERIVOBOX</v>
      </c>
    </row>
    <row r="111" spans="2:47" x14ac:dyDescent="0.3">
      <c r="AD111" s="17" t="s">
        <v>492</v>
      </c>
      <c r="AE111" s="17"/>
      <c r="AF111" s="17"/>
      <c r="AG111" s="17"/>
      <c r="AH111" s="190">
        <f>D8</f>
        <v>0</v>
      </c>
      <c r="AI111" s="365" t="s">
        <v>109</v>
      </c>
      <c r="AJ111" s="365"/>
      <c r="AK111" s="365"/>
      <c r="AL111" s="365"/>
      <c r="AR111" s="47"/>
      <c r="AU111" s="63"/>
    </row>
    <row r="112" spans="2:47" ht="14.5" x14ac:dyDescent="0.35">
      <c r="AC112" s="190">
        <f>D4</f>
        <v>0</v>
      </c>
      <c r="AD112" s="365" t="s">
        <v>26</v>
      </c>
      <c r="AE112" s="365"/>
      <c r="AF112" s="365"/>
      <c r="AG112" s="366"/>
      <c r="AH112" s="190">
        <f t="shared" ref="AH112:AH115" si="2">D9</f>
        <v>0</v>
      </c>
      <c r="AI112" s="365" t="s">
        <v>412</v>
      </c>
      <c r="AJ112" s="365"/>
      <c r="AK112" s="365"/>
      <c r="AL112" s="365"/>
      <c r="AN112" s="9" t="s">
        <v>444</v>
      </c>
      <c r="AR112" s="47"/>
      <c r="AU112" s="63"/>
    </row>
    <row r="113" spans="2:47" x14ac:dyDescent="0.3">
      <c r="AC113" s="190">
        <f>D5</f>
        <v>0</v>
      </c>
      <c r="AD113" s="365" t="s">
        <v>28</v>
      </c>
      <c r="AE113" s="365"/>
      <c r="AF113" s="365"/>
      <c r="AG113" s="366"/>
      <c r="AH113" s="190">
        <f t="shared" si="2"/>
        <v>0</v>
      </c>
      <c r="AI113" s="365" t="s">
        <v>413</v>
      </c>
      <c r="AJ113" s="365"/>
      <c r="AK113" s="365"/>
      <c r="AL113" s="365"/>
      <c r="AN113" s="9"/>
      <c r="AR113" s="47">
        <f>$I$40</f>
        <v>0</v>
      </c>
      <c r="AU113" s="63">
        <f>$L$40</f>
        <v>0</v>
      </c>
    </row>
    <row r="114" spans="2:47" x14ac:dyDescent="0.3">
      <c r="AC114" s="190">
        <f>D6</f>
        <v>0</v>
      </c>
      <c r="AD114" s="365" t="s">
        <v>30</v>
      </c>
      <c r="AE114" s="365"/>
      <c r="AF114" s="365"/>
      <c r="AG114" s="366"/>
      <c r="AH114" s="190">
        <f t="shared" si="2"/>
        <v>0</v>
      </c>
      <c r="AI114" s="365" t="s">
        <v>414</v>
      </c>
      <c r="AJ114" s="365"/>
      <c r="AK114" s="365"/>
      <c r="AL114" s="365"/>
      <c r="AN114" s="9">
        <f>IF($O$3=1, SUM($D$4, -$D$6, -$I$18, -9), 0)</f>
        <v>0</v>
      </c>
      <c r="AR114" s="47"/>
      <c r="AU114" s="63"/>
    </row>
    <row r="115" spans="2:47" x14ac:dyDescent="0.3">
      <c r="AC115" s="190">
        <f>D7</f>
        <v>0</v>
      </c>
      <c r="AD115" s="365" t="s">
        <v>31</v>
      </c>
      <c r="AE115" s="365"/>
      <c r="AF115" s="365"/>
      <c r="AG115" s="366"/>
      <c r="AH115" s="190">
        <f t="shared" si="2"/>
        <v>0</v>
      </c>
      <c r="AI115" s="365" t="s">
        <v>345</v>
      </c>
      <c r="AJ115" s="365"/>
      <c r="AK115" s="365"/>
      <c r="AL115" s="365"/>
      <c r="AN115" s="9"/>
      <c r="AR115" s="47"/>
      <c r="AU115" s="63"/>
    </row>
    <row r="116" spans="2:47" x14ac:dyDescent="0.3">
      <c r="AC116" s="191"/>
      <c r="AD116" s="17"/>
      <c r="AF116" s="17"/>
      <c r="AG116" s="17"/>
      <c r="AH116" s="17"/>
      <c r="AI116" s="17"/>
      <c r="AJ116" s="17"/>
      <c r="AN116" s="9"/>
      <c r="AR116" s="47"/>
      <c r="AU116" s="63"/>
    </row>
    <row r="117" spans="2:47" ht="15.5" x14ac:dyDescent="0.35">
      <c r="AC117" s="99" t="s">
        <v>475</v>
      </c>
      <c r="AN117" s="9"/>
      <c r="AP117" s="2" t="str">
        <f>$I$18</f>
        <v xml:space="preserve"> </v>
      </c>
      <c r="AR117" s="47"/>
      <c r="AU117" s="63"/>
    </row>
    <row r="118" spans="2:47" x14ac:dyDescent="0.3">
      <c r="AC118" s="370" t="s">
        <v>418</v>
      </c>
      <c r="AD118" s="362" t="s">
        <v>419</v>
      </c>
      <c r="AE118" s="371" t="s">
        <v>252</v>
      </c>
      <c r="AF118" s="372" t="s">
        <v>420</v>
      </c>
      <c r="AG118" s="363"/>
      <c r="AH118" s="363"/>
      <c r="AI118" s="364"/>
      <c r="AJ118" s="358" t="s">
        <v>140</v>
      </c>
      <c r="AK118" s="359"/>
      <c r="AN118" s="9"/>
      <c r="AR118" s="77" t="str">
        <f>$I$45</f>
        <v xml:space="preserve"> </v>
      </c>
      <c r="AU118" s="63" t="str">
        <f>$L$45</f>
        <v xml:space="preserve"> </v>
      </c>
    </row>
    <row r="119" spans="2:47" x14ac:dyDescent="0.3">
      <c r="AC119" s="370"/>
      <c r="AD119" s="362"/>
      <c r="AE119" s="371"/>
      <c r="AF119" s="362" t="s">
        <v>421</v>
      </c>
      <c r="AG119" s="362"/>
      <c r="AH119" s="363" t="s">
        <v>422</v>
      </c>
      <c r="AI119" s="364"/>
      <c r="AJ119" s="360"/>
      <c r="AK119" s="361"/>
      <c r="AN119" s="9">
        <f>IF($O$3=1, $D$19, 0)</f>
        <v>0</v>
      </c>
      <c r="AR119" s="47"/>
      <c r="AU119" s="63"/>
    </row>
    <row r="120" spans="2:47" x14ac:dyDescent="0.3">
      <c r="AC120" s="370"/>
      <c r="AD120" s="362"/>
      <c r="AE120" s="371"/>
      <c r="AF120" s="230" t="s">
        <v>428</v>
      </c>
      <c r="AG120" s="230" t="s">
        <v>429</v>
      </c>
      <c r="AH120" s="230" t="s">
        <v>428</v>
      </c>
      <c r="AI120" s="230" t="s">
        <v>429</v>
      </c>
      <c r="AJ120" s="230" t="s">
        <v>141</v>
      </c>
      <c r="AK120" s="230" t="s">
        <v>70</v>
      </c>
      <c r="AN120" s="9"/>
      <c r="AP120" s="2" t="str">
        <f>$I$19</f>
        <v xml:space="preserve"> </v>
      </c>
      <c r="AR120" s="47"/>
      <c r="AU120" s="63"/>
    </row>
    <row r="121" spans="2:47" x14ac:dyDescent="0.3">
      <c r="B121" s="63"/>
      <c r="AC121" s="367" t="s">
        <v>434</v>
      </c>
      <c r="AD121" s="368"/>
      <c r="AE121" s="369"/>
      <c r="AF121" s="3" t="str">
        <f>E18</f>
        <v xml:space="preserve"> </v>
      </c>
      <c r="AG121" s="3" t="str">
        <f t="shared" ref="AG121:AK126" si="3">F18</f>
        <v xml:space="preserve"> </v>
      </c>
      <c r="AH121" s="3" t="str">
        <f t="shared" si="3"/>
        <v xml:space="preserve"> </v>
      </c>
      <c r="AI121" s="3" t="str">
        <f t="shared" si="3"/>
        <v xml:space="preserve"> </v>
      </c>
      <c r="AJ121" s="3" t="str">
        <f t="shared" si="3"/>
        <v xml:space="preserve"> </v>
      </c>
      <c r="AK121" s="3" t="str">
        <f t="shared" si="3"/>
        <v xml:space="preserve"> </v>
      </c>
      <c r="AN121" s="9"/>
      <c r="AR121" s="47"/>
      <c r="AU121" s="63"/>
    </row>
    <row r="122" spans="2:47" ht="15.65" customHeight="1" x14ac:dyDescent="0.3">
      <c r="B122" s="63"/>
      <c r="AC122" s="164">
        <v>5</v>
      </c>
      <c r="AD122" s="51">
        <f>C19</f>
        <v>245</v>
      </c>
      <c r="AE122" s="111">
        <f>D19</f>
        <v>0</v>
      </c>
      <c r="AF122" s="3" t="str">
        <f t="shared" ref="AF122:AF126" si="4">E19</f>
        <v xml:space="preserve"> </v>
      </c>
      <c r="AG122" s="3" t="str">
        <f t="shared" si="3"/>
        <v xml:space="preserve"> </v>
      </c>
      <c r="AH122" s="3" t="str">
        <f t="shared" si="3"/>
        <v xml:space="preserve"> </v>
      </c>
      <c r="AI122" s="3" t="str">
        <f t="shared" si="3"/>
        <v xml:space="preserve"> </v>
      </c>
      <c r="AJ122" s="3" t="str">
        <f t="shared" si="3"/>
        <v xml:space="preserve"> </v>
      </c>
      <c r="AK122" s="3" t="str">
        <f t="shared" si="3"/>
        <v xml:space="preserve"> </v>
      </c>
      <c r="AN122" s="9"/>
      <c r="AR122" s="47"/>
      <c r="AU122" s="63"/>
    </row>
    <row r="123" spans="2:47" ht="15" customHeight="1" x14ac:dyDescent="0.3">
      <c r="AC123" s="164">
        <v>4</v>
      </c>
      <c r="AD123" s="51">
        <f t="shared" ref="AD123:AE126" si="5">C20</f>
        <v>235</v>
      </c>
      <c r="AE123" s="111">
        <f t="shared" si="5"/>
        <v>0</v>
      </c>
      <c r="AF123" s="3" t="str">
        <f t="shared" si="4"/>
        <v xml:space="preserve"> </v>
      </c>
      <c r="AG123" s="3" t="str">
        <f t="shared" si="3"/>
        <v xml:space="preserve"> </v>
      </c>
      <c r="AH123" s="3" t="str">
        <f t="shared" si="3"/>
        <v xml:space="preserve"> </v>
      </c>
      <c r="AI123" s="3" t="str">
        <f t="shared" si="3"/>
        <v xml:space="preserve"> </v>
      </c>
      <c r="AJ123" s="3" t="str">
        <f t="shared" si="3"/>
        <v xml:space="preserve"> </v>
      </c>
      <c r="AK123" s="3" t="str">
        <f t="shared" si="3"/>
        <v xml:space="preserve"> </v>
      </c>
      <c r="AN123" s="9">
        <f>IF($O$3=1, $D$20, 0)</f>
        <v>0</v>
      </c>
      <c r="AR123" s="47"/>
      <c r="AU123" s="63"/>
    </row>
    <row r="124" spans="2:47" ht="15" customHeight="1" x14ac:dyDescent="0.3">
      <c r="AC124" s="164">
        <v>3</v>
      </c>
      <c r="AD124" s="51">
        <f t="shared" si="5"/>
        <v>327</v>
      </c>
      <c r="AE124" s="111">
        <f t="shared" si="5"/>
        <v>0</v>
      </c>
      <c r="AF124" s="3" t="str">
        <f t="shared" si="4"/>
        <v xml:space="preserve"> </v>
      </c>
      <c r="AG124" s="3" t="str">
        <f t="shared" si="3"/>
        <v xml:space="preserve"> </v>
      </c>
      <c r="AH124" s="3" t="str">
        <f t="shared" si="3"/>
        <v xml:space="preserve"> </v>
      </c>
      <c r="AI124" s="3" t="str">
        <f t="shared" si="3"/>
        <v xml:space="preserve"> </v>
      </c>
      <c r="AJ124" s="3" t="str">
        <f t="shared" si="3"/>
        <v xml:space="preserve"> </v>
      </c>
      <c r="AK124" s="3" t="str">
        <f t="shared" si="3"/>
        <v xml:space="preserve"> </v>
      </c>
      <c r="AN124" s="9"/>
      <c r="AR124" s="47"/>
      <c r="AU124" s="63"/>
    </row>
    <row r="125" spans="2:47" ht="15" customHeight="1" x14ac:dyDescent="0.3">
      <c r="AC125" s="164">
        <v>2</v>
      </c>
      <c r="AD125" s="51">
        <f t="shared" si="5"/>
        <v>295</v>
      </c>
      <c r="AE125" s="111">
        <f t="shared" si="5"/>
        <v>0</v>
      </c>
      <c r="AF125" s="3" t="str">
        <f t="shared" si="4"/>
        <v xml:space="preserve"> </v>
      </c>
      <c r="AG125" s="3" t="str">
        <f t="shared" si="3"/>
        <v xml:space="preserve"> </v>
      </c>
      <c r="AH125" s="3" t="str">
        <f t="shared" si="3"/>
        <v xml:space="preserve"> </v>
      </c>
      <c r="AI125" s="3" t="str">
        <f t="shared" si="3"/>
        <v xml:space="preserve"> </v>
      </c>
      <c r="AJ125" s="3" t="str">
        <f t="shared" si="3"/>
        <v xml:space="preserve"> </v>
      </c>
      <c r="AK125" s="3" t="str">
        <f t="shared" si="3"/>
        <v xml:space="preserve"> </v>
      </c>
      <c r="AN125" s="9"/>
      <c r="AP125" s="2" t="str">
        <f>$I$20</f>
        <v xml:space="preserve"> </v>
      </c>
      <c r="AR125" s="47"/>
      <c r="AU125" s="63"/>
    </row>
    <row r="126" spans="2:47" ht="15" customHeight="1" x14ac:dyDescent="0.3">
      <c r="AC126" s="164" t="s">
        <v>267</v>
      </c>
      <c r="AD126" s="51">
        <f t="shared" si="5"/>
        <v>360</v>
      </c>
      <c r="AE126" s="111">
        <f t="shared" si="5"/>
        <v>0</v>
      </c>
      <c r="AF126" s="3" t="str">
        <f t="shared" si="4"/>
        <v xml:space="preserve"> </v>
      </c>
      <c r="AG126" s="3" t="str">
        <f t="shared" si="3"/>
        <v xml:space="preserve"> </v>
      </c>
      <c r="AH126" s="3" t="str">
        <f t="shared" si="3"/>
        <v xml:space="preserve"> </v>
      </c>
      <c r="AI126" s="3" t="str">
        <f t="shared" si="3"/>
        <v xml:space="preserve"> </v>
      </c>
      <c r="AJ126" s="3" t="str">
        <f t="shared" si="3"/>
        <v xml:space="preserve"> </v>
      </c>
      <c r="AK126" s="3" t="str">
        <f t="shared" si="3"/>
        <v xml:space="preserve"> </v>
      </c>
      <c r="AN126" s="9"/>
      <c r="AR126" s="47">
        <f>$I$53</f>
        <v>0</v>
      </c>
      <c r="AU126" s="63">
        <f>$L$53</f>
        <v>0</v>
      </c>
    </row>
    <row r="127" spans="2:47" ht="15" customHeight="1" x14ac:dyDescent="0.3">
      <c r="AN127" s="9"/>
      <c r="AR127" s="47"/>
      <c r="AU127" s="63"/>
    </row>
    <row r="128" spans="2:47" ht="15" customHeight="1" x14ac:dyDescent="0.35">
      <c r="AC128" s="99" t="s">
        <v>476</v>
      </c>
      <c r="AN128" s="9">
        <f>IF($O$3=1, $D$21, 0)</f>
        <v>0</v>
      </c>
      <c r="AR128" s="47"/>
      <c r="AU128" s="63"/>
    </row>
    <row r="129" spans="29:47" ht="15" customHeight="1" x14ac:dyDescent="0.35">
      <c r="AC129" s="98" t="str">
        <f>B79</f>
        <v>popis</v>
      </c>
      <c r="AD129" s="98"/>
      <c r="AE129" s="98"/>
      <c r="AF129" s="98"/>
      <c r="AG129" s="98" t="str">
        <f>F79</f>
        <v>označení</v>
      </c>
      <c r="AH129" s="98"/>
      <c r="AI129" s="185" t="str">
        <f>H79</f>
        <v>počet</v>
      </c>
      <c r="AJ129" s="98" t="str">
        <f>I79</f>
        <v>poznámka</v>
      </c>
      <c r="AK129" s="98"/>
      <c r="AL129" s="98"/>
      <c r="AR129" s="47"/>
      <c r="AU129" s="63"/>
    </row>
    <row r="130" spans="29:47" ht="15" customHeight="1" x14ac:dyDescent="0.3">
      <c r="AC130" s="2" t="str">
        <f t="shared" ref="AC130:AC141" si="6">B80</f>
        <v>Bočnice MERIVOBOX M</v>
      </c>
      <c r="AG130" s="2" t="str">
        <f t="shared" ref="AG130:AG141" si="7">F80</f>
        <v xml:space="preserve"> </v>
      </c>
      <c r="AI130" s="63" t="str">
        <f t="shared" ref="AI130:AJ141" si="8">H80</f>
        <v xml:space="preserve"> </v>
      </c>
      <c r="AJ130" s="2" t="str">
        <f t="shared" si="8"/>
        <v>zvolte barvu</v>
      </c>
      <c r="AN130" s="9"/>
      <c r="AR130" s="47"/>
      <c r="AU130" s="63"/>
    </row>
    <row r="131" spans="29:47" ht="15" customHeight="1" x14ac:dyDescent="0.3">
      <c r="AC131" s="2" t="str">
        <f t="shared" si="6"/>
        <v>Korpusové lišty 40 kg</v>
      </c>
      <c r="AG131" s="2" t="str">
        <f t="shared" si="7"/>
        <v xml:space="preserve"> </v>
      </c>
      <c r="AI131" s="63" t="str">
        <f t="shared" si="8"/>
        <v xml:space="preserve"> </v>
      </c>
      <c r="AN131" s="9"/>
      <c r="AP131" s="2" t="str">
        <f>$I$21</f>
        <v xml:space="preserve"> </v>
      </c>
      <c r="AR131" s="47"/>
      <c r="AU131" s="63"/>
    </row>
    <row r="132" spans="29:47" x14ac:dyDescent="0.3">
      <c r="AC132" s="2" t="str">
        <f t="shared" si="6"/>
        <v>Korpusové lišty 70 kg</v>
      </c>
      <c r="AG132" s="2" t="str">
        <f t="shared" si="7"/>
        <v xml:space="preserve"> </v>
      </c>
      <c r="AI132" s="63" t="str">
        <f t="shared" si="8"/>
        <v xml:space="preserve"> </v>
      </c>
      <c r="AN132" s="9"/>
      <c r="AR132" s="47"/>
      <c r="AU132" s="63"/>
    </row>
    <row r="133" spans="29:47" x14ac:dyDescent="0.3">
      <c r="AC133" s="2" t="str">
        <f t="shared" si="6"/>
        <v>Držáky zad M</v>
      </c>
      <c r="AG133" s="2" t="str">
        <f t="shared" si="7"/>
        <v xml:space="preserve"> </v>
      </c>
      <c r="AI133" s="63" t="str">
        <f t="shared" si="8"/>
        <v xml:space="preserve"> </v>
      </c>
      <c r="AJ133" s="2" t="str">
        <f t="shared" si="8"/>
        <v>zvolte barvu</v>
      </c>
      <c r="AN133" s="9"/>
      <c r="AR133" s="47"/>
      <c r="AU133" s="63"/>
    </row>
    <row r="134" spans="29:47" x14ac:dyDescent="0.3">
      <c r="AC134" s="2" t="str">
        <f t="shared" si="6"/>
        <v>Držáky zad E</v>
      </c>
      <c r="AG134" s="2" t="str">
        <f t="shared" si="7"/>
        <v xml:space="preserve"> </v>
      </c>
      <c r="AI134" s="63" t="str">
        <f t="shared" si="8"/>
        <v xml:space="preserve"> </v>
      </c>
      <c r="AJ134" s="2" t="str">
        <f t="shared" si="8"/>
        <v>zvolte barvu</v>
      </c>
      <c r="AN134" s="9">
        <f>IF($O$3=1, $D$22, 0)</f>
        <v>0</v>
      </c>
      <c r="AR134" s="47"/>
      <c r="AU134" s="63"/>
    </row>
    <row r="135" spans="29:47" x14ac:dyDescent="0.3">
      <c r="AC135" s="2" t="str">
        <f t="shared" si="6"/>
        <v>Podélný reling</v>
      </c>
      <c r="AG135" s="2" t="str">
        <f t="shared" si="7"/>
        <v xml:space="preserve"> </v>
      </c>
      <c r="AI135" s="63" t="str">
        <f t="shared" si="8"/>
        <v xml:space="preserve"> </v>
      </c>
      <c r="AJ135" s="2" t="str">
        <f t="shared" si="8"/>
        <v>zvolte barvu</v>
      </c>
      <c r="AN135" s="9"/>
      <c r="AR135" s="47"/>
      <c r="AU135" s="63"/>
    </row>
    <row r="136" spans="29:47" x14ac:dyDescent="0.3">
      <c r="AC136" s="2" t="str">
        <f t="shared" si="6"/>
        <v>Upevnění čela M</v>
      </c>
      <c r="AG136" s="2" t="str">
        <f t="shared" si="7"/>
        <v xml:space="preserve"> </v>
      </c>
      <c r="AI136" s="63" t="str">
        <f t="shared" si="8"/>
        <v xml:space="preserve"> </v>
      </c>
      <c r="AJ136" s="2" t="str">
        <f t="shared" si="8"/>
        <v>zvolte barvu</v>
      </c>
      <c r="AN136" s="9"/>
      <c r="AP136" s="2" t="str">
        <f>$I$22</f>
        <v xml:space="preserve"> </v>
      </c>
      <c r="AR136" s="47"/>
      <c r="AU136" s="63"/>
    </row>
    <row r="137" spans="29:47" x14ac:dyDescent="0.3">
      <c r="AC137" s="2" t="str">
        <f t="shared" si="6"/>
        <v>Upevnění čela D</v>
      </c>
      <c r="AG137" s="2" t="str">
        <f t="shared" si="7"/>
        <v xml:space="preserve"> </v>
      </c>
      <c r="AI137" s="63" t="str">
        <f t="shared" si="8"/>
        <v xml:space="preserve"> </v>
      </c>
      <c r="AJ137" s="2" t="str">
        <f t="shared" si="8"/>
        <v>zvolte barvu</v>
      </c>
      <c r="AN137" s="9"/>
      <c r="AR137" s="47"/>
      <c r="AU137" s="63"/>
    </row>
    <row r="138" spans="29:47" x14ac:dyDescent="0.3">
      <c r="AC138" s="2" t="str">
        <f t="shared" si="6"/>
        <v xml:space="preserve">Přední díl </v>
      </c>
      <c r="AG138" s="2" t="str">
        <f t="shared" si="7"/>
        <v xml:space="preserve"> </v>
      </c>
      <c r="AI138" s="63" t="str">
        <f t="shared" si="8"/>
        <v xml:space="preserve"> </v>
      </c>
      <c r="AJ138" s="2" t="str">
        <f t="shared" si="8"/>
        <v>zvolte barvu</v>
      </c>
      <c r="AN138" s="9"/>
      <c r="AR138" s="47">
        <f>$I$65</f>
        <v>0</v>
      </c>
      <c r="AU138" s="63">
        <f>$L$65</f>
        <v>0</v>
      </c>
    </row>
    <row r="139" spans="29:47" x14ac:dyDescent="0.3">
      <c r="AC139" s="2" t="str">
        <f t="shared" si="6"/>
        <v>Přední reling</v>
      </c>
      <c r="AG139" s="2" t="str">
        <f t="shared" si="7"/>
        <v xml:space="preserve"> </v>
      </c>
      <c r="AI139" s="63" t="str">
        <f t="shared" si="8"/>
        <v xml:space="preserve"> </v>
      </c>
      <c r="AJ139" s="2" t="str">
        <f t="shared" si="8"/>
        <v>zvolte barvu</v>
      </c>
      <c r="AN139" s="9">
        <f>IF($O$3=1, $D$23, 0)</f>
        <v>0</v>
      </c>
      <c r="AR139" s="47"/>
      <c r="AU139" s="63"/>
    </row>
    <row r="140" spans="29:47" x14ac:dyDescent="0.3">
      <c r="AC140" s="2" t="str">
        <f t="shared" si="6"/>
        <v>Závěs 155° s nul.přesahem</v>
      </c>
      <c r="AG140" s="2" t="str">
        <f t="shared" si="7"/>
        <v xml:space="preserve"> </v>
      </c>
      <c r="AI140" s="63" t="str">
        <f t="shared" si="8"/>
        <v xml:space="preserve"> </v>
      </c>
      <c r="AJ140" s="2" t="str">
        <f t="shared" si="8"/>
        <v xml:space="preserve">pro TIP-ON: 70T7550.TL </v>
      </c>
      <c r="AR140" s="47"/>
      <c r="AU140" s="63"/>
    </row>
    <row r="141" spans="29:47" x14ac:dyDescent="0.3">
      <c r="AC141" s="2" t="str">
        <f t="shared" si="6"/>
        <v>Mont. podložka přímá</v>
      </c>
      <c r="AG141" s="2" t="str">
        <f t="shared" si="7"/>
        <v xml:space="preserve"> </v>
      </c>
      <c r="AI141" s="63" t="str">
        <f t="shared" si="8"/>
        <v xml:space="preserve"> </v>
      </c>
      <c r="AJ141" s="2" t="str">
        <f t="shared" si="8"/>
        <v xml:space="preserve">verze na vruty: 175H3100 </v>
      </c>
      <c r="AN141" s="9"/>
      <c r="AP141" s="307" t="str">
        <f>$I$23</f>
        <v xml:space="preserve"> </v>
      </c>
      <c r="AR141" s="47"/>
      <c r="AU141" s="63"/>
    </row>
    <row r="142" spans="29:47" ht="14.5" x14ac:dyDescent="0.35">
      <c r="AC142" s="98" t="str">
        <f>C93</f>
        <v>Volitelně:</v>
      </c>
      <c r="AI142" s="63"/>
      <c r="AN142" s="9"/>
      <c r="AP142" s="307"/>
      <c r="AR142" s="47"/>
      <c r="AU142" s="63"/>
    </row>
    <row r="143" spans="29:47" x14ac:dyDescent="0.3">
      <c r="AC143" s="2" t="str">
        <f>B94</f>
        <v>TIP-ON dlouhá verze</v>
      </c>
      <c r="AG143" s="2" t="str">
        <f>F94</f>
        <v xml:space="preserve"> </v>
      </c>
      <c r="AI143" s="63" t="str">
        <f>H94</f>
        <v xml:space="preserve"> </v>
      </c>
      <c r="AJ143" s="2" t="str">
        <f>I94</f>
        <v>zvolte barvu</v>
      </c>
    </row>
    <row r="144" spans="29:47" x14ac:dyDescent="0.3">
      <c r="AO144" s="2" t="s">
        <v>477</v>
      </c>
    </row>
    <row r="145" spans="29:47" x14ac:dyDescent="0.3">
      <c r="AC145" s="2" t="str">
        <f>B96</f>
        <v xml:space="preserve">Soupis platí pro verzi s relingem. Chcete-li BOXCAP nebo BOXCOVER, </v>
      </c>
      <c r="AI145" s="63"/>
      <c r="AO145" s="2" t="s">
        <v>478</v>
      </c>
    </row>
    <row r="146" spans="29:47" x14ac:dyDescent="0.3">
      <c r="AC146" s="2" t="str">
        <f>B97</f>
        <v>použijte brožuru nebo E-SERVICES</v>
      </c>
    </row>
    <row r="147" spans="29:47" x14ac:dyDescent="0.3">
      <c r="AC147" s="2" t="str">
        <f>B99</f>
        <v xml:space="preserve">Barvy MERIVOBOX: IG-M = světle šedá | OG-M = tmavě šedá | SW-M = hedvábně bílá </v>
      </c>
    </row>
    <row r="148" spans="29:47" x14ac:dyDescent="0.3">
      <c r="AN148" s="2" t="s">
        <v>437</v>
      </c>
      <c r="AO148" s="357" t="str">
        <f>"dno: "&amp;$R$30&amp;" x "&amp;$S$30&amp;" mm"</f>
        <v>dno: 0 x 0 mm</v>
      </c>
      <c r="AP148" s="357" t="str">
        <f>"dno: "&amp;$R$30&amp;" x "&amp;$S$30&amp;" mm "</f>
        <v xml:space="preserve">dno: 0 x 0 mm </v>
      </c>
      <c r="AQ148" s="357" t="str">
        <f>Z49</f>
        <v xml:space="preserve">záda M: 0 x  83 mm </v>
      </c>
      <c r="AR148" s="357" t="str">
        <f>"záda M: "&amp;$R$31&amp;" x  84 mm "</f>
        <v xml:space="preserve">záda M: 0 x  84 mm </v>
      </c>
      <c r="AS148" s="377" t="str">
        <f>Z50</f>
        <v xml:space="preserve">záda E: 0 x 184 mm </v>
      </c>
      <c r="AT148" s="378"/>
      <c r="AU148" s="379"/>
    </row>
    <row r="149" spans="29:47" x14ac:dyDescent="0.3">
      <c r="AC149" s="2" t="str">
        <f>B101</f>
        <v>Barvy TIP-ON: R7036 = světle šedá | SW = hedvábně bílá | CS = karbonově černá</v>
      </c>
      <c r="AN149" s="2" t="s">
        <v>479</v>
      </c>
      <c r="AP149" s="357" t="str">
        <f>Z55</f>
        <v xml:space="preserve">čelní profil: 0 mm </v>
      </c>
      <c r="AQ149" s="357"/>
      <c r="AR149" s="357" t="str">
        <f>Z54</f>
        <v xml:space="preserve">přední reling: 0 mm </v>
      </c>
      <c r="AS149" s="380"/>
      <c r="AT149" s="380"/>
    </row>
  </sheetData>
  <sheetProtection algorithmName="SHA-512" hashValue="g36zX8uJM1P8jupzpt8sOMt65aimKp4T9GBImemZDVr7u1Tr2CrxOxnZCNpH9TXsK+2uRvfqijM7RZtN02Y0lg==" saltValue="nxqhQ/p9RS7QjdcvfWWDfQ==" spinCount="100000" sheet="1" objects="1" scenarios="1"/>
  <mergeCells count="40">
    <mergeCell ref="AP149:AQ149"/>
    <mergeCell ref="AR149:AT149"/>
    <mergeCell ref="AD114:AG114"/>
    <mergeCell ref="AI114:AL114"/>
    <mergeCell ref="AD115:AG115"/>
    <mergeCell ref="AI115:AL115"/>
    <mergeCell ref="AD118:AD120"/>
    <mergeCell ref="AE118:AE120"/>
    <mergeCell ref="AF118:AI118"/>
    <mergeCell ref="AJ118:AK119"/>
    <mergeCell ref="AF119:AG119"/>
    <mergeCell ref="AH119:AI119"/>
    <mergeCell ref="AC121:AE121"/>
    <mergeCell ref="AO148:AP148"/>
    <mergeCell ref="AQ148:AR148"/>
    <mergeCell ref="AP141:AP142"/>
    <mergeCell ref="B18:D18"/>
    <mergeCell ref="AI111:AL111"/>
    <mergeCell ref="AD112:AG112"/>
    <mergeCell ref="AI112:AL112"/>
    <mergeCell ref="AD113:AG113"/>
    <mergeCell ref="AI113:AL113"/>
    <mergeCell ref="AC118:AC120"/>
    <mergeCell ref="AS148:AU148"/>
    <mergeCell ref="E10:J10"/>
    <mergeCell ref="E11:J11"/>
    <mergeCell ref="E12:J12"/>
    <mergeCell ref="B15:B17"/>
    <mergeCell ref="C15:C17"/>
    <mergeCell ref="D15:D17"/>
    <mergeCell ref="E15:H15"/>
    <mergeCell ref="I15:J16"/>
    <mergeCell ref="E16:F16"/>
    <mergeCell ref="G16:H16"/>
    <mergeCell ref="E9:J9"/>
    <mergeCell ref="E4:J4"/>
    <mergeCell ref="E5:J5"/>
    <mergeCell ref="E6:J6"/>
    <mergeCell ref="E7:J7"/>
    <mergeCell ref="E8:J8"/>
  </mergeCells>
  <hyperlinks>
    <hyperlink ref="AB1" location="STR!A1" tooltip="Úvodní strana SPACE TOWER" display="► Úvod potr.skř." xr:uid="{1C969762-E443-45BC-8BB8-4742EFBB6B53}"/>
    <hyperlink ref="AB71" location="ST_MVX!A1" tooltip="Zpět na plánování" display="Nahoru" xr:uid="{E11B8024-1F7C-4B1A-8F20-42A7B8CFA9B4}"/>
    <hyperlink ref="AB99" location="ST_MVX!A1" tooltip="Zpět na plánování" display="Nahoru" xr:uid="{B8B4E6C9-3413-47F9-9D6A-DA208426D7CF}"/>
  </hyperlinks>
  <pageMargins left="0.23622047244094491" right="0.23622047244094491" top="0.35433070866141736" bottom="0.35433070866141736" header="0" footer="0"/>
  <pageSetup paperSize="9" scale="95" orientation="landscape" verticalDpi="599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74F8BA70-C2C6-41A0-86B0-2046095FC698}">
            <x14:iconSet showValue="0" custom="1">
              <x14:cfvo type="percent">
                <xm:f>0</xm:f>
              </x14:cfvo>
              <x14:cfvo type="num">
                <xm:f>1</xm:f>
              </x14:cfvo>
              <x14:cfvo type="num">
                <xm:f>6</xm:f>
              </x14:cfvo>
              <x14:cfIcon iconSet="NoIcons" iconId="0"/>
              <x14:cfIcon iconSet="3Symbols2" iconId="2"/>
              <x14:cfIcon iconSet="3Symbols2" iconId="0"/>
            </x14:iconSet>
          </x14:cfRule>
          <xm:sqref>C12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 tint="-0.499984740745262"/>
  </sheetPr>
  <dimension ref="A1:AU149"/>
  <sheetViews>
    <sheetView showGridLines="0" showRowColHeaders="0" zoomScaleNormal="100" workbookViewId="0">
      <selection activeCell="AC47" sqref="AC47"/>
    </sheetView>
  </sheetViews>
  <sheetFormatPr defaultColWidth="8.9140625" defaultRowHeight="14" x14ac:dyDescent="0.3"/>
  <cols>
    <col min="1" max="1" width="1" style="2" customWidth="1"/>
    <col min="2" max="2" width="2.6640625" style="2" customWidth="1"/>
    <col min="3" max="10" width="9.83203125" style="2" customWidth="1"/>
    <col min="11" max="11" width="0.75" style="2" customWidth="1"/>
    <col min="12" max="12" width="18.5" style="2" customWidth="1"/>
    <col min="13" max="14" width="7.5" style="2" hidden="1" customWidth="1"/>
    <col min="15" max="17" width="8.9140625" style="2" hidden="1" customWidth="1"/>
    <col min="18" max="24" width="7.5" style="2" hidden="1" customWidth="1"/>
    <col min="25" max="25" width="1.25" style="2" customWidth="1"/>
    <col min="26" max="26" width="20.25" style="2" customWidth="1"/>
    <col min="27" max="27" width="18.5" style="2" customWidth="1"/>
    <col min="28" max="28" width="8.9140625" style="2"/>
    <col min="29" max="38" width="6.33203125" style="2" customWidth="1"/>
    <col min="39" max="40" width="7.5" style="2" customWidth="1"/>
    <col min="41" max="42" width="8.9140625" style="2"/>
    <col min="43" max="43" width="7.58203125" style="2" customWidth="1"/>
    <col min="44" max="45" width="8.9140625" style="2"/>
    <col min="46" max="46" width="7.58203125" style="2" customWidth="1"/>
    <col min="47" max="47" width="6.83203125" style="2" customWidth="1"/>
    <col min="48" max="16384" width="8.9140625" style="2"/>
  </cols>
  <sheetData>
    <row r="1" spans="2:27" ht="25" x14ac:dyDescent="0.5">
      <c r="C1" s="1" t="s">
        <v>410</v>
      </c>
      <c r="AA1" s="68" t="s">
        <v>411</v>
      </c>
    </row>
    <row r="2" spans="2:27" ht="20" x14ac:dyDescent="0.4">
      <c r="C2" s="22" t="s">
        <v>480</v>
      </c>
    </row>
    <row r="3" spans="2:27" ht="16.5" customHeight="1" x14ac:dyDescent="0.3">
      <c r="C3" s="6"/>
      <c r="D3" s="17" t="s">
        <v>108</v>
      </c>
      <c r="E3" s="17"/>
      <c r="F3" s="17"/>
      <c r="G3" s="17"/>
      <c r="H3" s="17"/>
      <c r="I3" s="17"/>
      <c r="J3" s="17"/>
      <c r="N3" s="9" t="s">
        <v>24</v>
      </c>
      <c r="O3" s="30">
        <f>IF(AND(O4=1, O5=1, O6=1, O7=1, O8=1, O9=1, O10=1, O11=1, O12=1, O13=1, O14=1),1,2)</f>
        <v>2</v>
      </c>
      <c r="P3" s="31" t="s">
        <v>25</v>
      </c>
    </row>
    <row r="4" spans="2:27" ht="16.5" customHeight="1" x14ac:dyDescent="0.3">
      <c r="C4" s="6"/>
      <c r="D4" s="79"/>
      <c r="E4" s="311" t="s">
        <v>26</v>
      </c>
      <c r="F4" s="312"/>
      <c r="G4" s="312"/>
      <c r="H4" s="312"/>
      <c r="I4" s="312"/>
      <c r="J4" s="313"/>
      <c r="L4" s="12" t="str">
        <f>IF(D4&lt;X14, "Minimálně "&amp;X14&amp;" mm!", IF(D4&gt;2500, "Maximálně 2500 mm!", " "))</f>
        <v>Minimálně 1232 mm!</v>
      </c>
      <c r="O4" s="63">
        <f>IF(OR(D4&lt;$X$14, D4&gt;2500), 2, 1)</f>
        <v>2</v>
      </c>
      <c r="P4" s="31" t="s">
        <v>27</v>
      </c>
    </row>
    <row r="5" spans="2:27" ht="16.5" customHeight="1" x14ac:dyDescent="0.3">
      <c r="C5" s="6"/>
      <c r="D5" s="79"/>
      <c r="E5" s="311" t="s">
        <v>28</v>
      </c>
      <c r="F5" s="312"/>
      <c r="G5" s="312"/>
      <c r="H5" s="312"/>
      <c r="I5" s="312"/>
      <c r="J5" s="313"/>
      <c r="L5" s="12" t="str">
        <f>IF(D5&lt;300, "Minimálně 300 mm!", IF(D5&gt;1200, "Maximálně 1200 mm!", " "))</f>
        <v>Minimálně 300 mm!</v>
      </c>
      <c r="O5" s="63">
        <f>IF(OR(D5&lt;250, D5&gt;1200), 2, 1)</f>
        <v>2</v>
      </c>
    </row>
    <row r="6" spans="2:27" ht="16.5" customHeight="1" x14ac:dyDescent="0.3">
      <c r="C6" s="6"/>
      <c r="D6" s="78"/>
      <c r="E6" s="311" t="s">
        <v>30</v>
      </c>
      <c r="F6" s="312"/>
      <c r="G6" s="312"/>
      <c r="H6" s="312"/>
      <c r="I6" s="312"/>
      <c r="J6" s="313"/>
      <c r="L6" s="12" t="str">
        <f>IF(D6&gt;20,"Maximálně 20 mm!",IF(D6&lt;16,"Minimálně 16 mm!", " "))</f>
        <v>Minimálně 16 mm!</v>
      </c>
      <c r="O6" s="63">
        <f>IF(OR(D6&lt;16, D6&gt;20),2, 1)</f>
        <v>2</v>
      </c>
    </row>
    <row r="7" spans="2:27" ht="16.5" customHeight="1" x14ac:dyDescent="0.3">
      <c r="C7" s="6"/>
      <c r="D7" s="78"/>
      <c r="E7" s="311" t="s">
        <v>31</v>
      </c>
      <c r="F7" s="312"/>
      <c r="G7" s="312"/>
      <c r="H7" s="312"/>
      <c r="I7" s="312"/>
      <c r="J7" s="313"/>
      <c r="L7" s="12" t="str">
        <f>IF(D7&lt;16,"Minimálně 16 mm!"," ")</f>
        <v>Minimálně 16 mm!</v>
      </c>
      <c r="O7" s="63">
        <f>IF(D7&lt;16, 2, 1)</f>
        <v>2</v>
      </c>
    </row>
    <row r="8" spans="2:27" ht="16.5" customHeight="1" x14ac:dyDescent="0.3">
      <c r="C8" s="6"/>
      <c r="D8" s="78"/>
      <c r="E8" s="311" t="s">
        <v>109</v>
      </c>
      <c r="F8" s="312"/>
      <c r="G8" s="312"/>
      <c r="H8" s="312"/>
      <c r="I8" s="312"/>
      <c r="J8" s="313"/>
      <c r="L8" s="12" t="str">
        <f>IF(D8&gt;$D$6,"Maximálně "&amp;$D$6&amp;" mm!"," ")</f>
        <v xml:space="preserve"> </v>
      </c>
      <c r="O8" s="63">
        <f>IF(D8&gt;$D$6, 2, 1)</f>
        <v>1</v>
      </c>
    </row>
    <row r="9" spans="2:27" ht="16.5" customHeight="1" x14ac:dyDescent="0.3">
      <c r="C9" s="6"/>
      <c r="D9" s="78"/>
      <c r="E9" s="311" t="s">
        <v>412</v>
      </c>
      <c r="F9" s="312"/>
      <c r="G9" s="312"/>
      <c r="H9" s="312"/>
      <c r="I9" s="312"/>
      <c r="J9" s="313"/>
      <c r="L9" s="12" t="str">
        <f>IF(D9&gt;$D$6,"Maximálně "&amp;$D$6&amp;" mm!"," ")</f>
        <v xml:space="preserve"> </v>
      </c>
      <c r="O9" s="63">
        <f>IF(D9&gt;$D$6, 2, 1)</f>
        <v>1</v>
      </c>
    </row>
    <row r="10" spans="2:27" ht="16.5" customHeight="1" x14ac:dyDescent="0.3">
      <c r="C10" s="6"/>
      <c r="D10" s="78"/>
      <c r="E10" s="311" t="s">
        <v>413</v>
      </c>
      <c r="F10" s="312"/>
      <c r="G10" s="312"/>
      <c r="H10" s="312"/>
      <c r="I10" s="312"/>
      <c r="J10" s="313"/>
      <c r="L10" s="12" t="str">
        <f>IF($D$7&gt;15.999, IF(D10&lt;&gt;($D$7-16), "Musí být "&amp;($D$7-16)&amp;" mm! ***", " "), " ")</f>
        <v xml:space="preserve"> </v>
      </c>
      <c r="O10" s="63">
        <f>IF(D10=($D$7-16), 1, 2)</f>
        <v>2</v>
      </c>
    </row>
    <row r="11" spans="2:27" ht="16.5" customHeight="1" x14ac:dyDescent="0.3">
      <c r="C11" s="6"/>
      <c r="D11" s="79"/>
      <c r="E11" s="311" t="s">
        <v>414</v>
      </c>
      <c r="F11" s="312"/>
      <c r="G11" s="312"/>
      <c r="H11" s="312"/>
      <c r="I11" s="312"/>
      <c r="J11" s="313"/>
      <c r="L11" s="12" t="str">
        <f>IF(OR($D$11=3, $D$11=4), " ", "Musí být 3 nebo 4!")</f>
        <v>Musí být 3 nebo 4!</v>
      </c>
      <c r="O11" s="63">
        <f>IF(OR(D11=3, D11=4), 1, 2)</f>
        <v>2</v>
      </c>
    </row>
    <row r="12" spans="2:27" ht="16.5" customHeight="1" x14ac:dyDescent="0.3">
      <c r="C12" s="124"/>
      <c r="D12" s="79"/>
      <c r="E12" s="311" t="s">
        <v>241</v>
      </c>
      <c r="F12" s="312"/>
      <c r="G12" s="312"/>
      <c r="H12" s="312"/>
      <c r="I12" s="312"/>
      <c r="J12" s="313"/>
      <c r="L12"/>
      <c r="M12" s="14" t="str">
        <f>IF((OR($C$12=0, $N$12=1)), " ", "Nesprávná hodnota***")</f>
        <v xml:space="preserve"> </v>
      </c>
      <c r="N12" s="114" t="s">
        <v>242</v>
      </c>
      <c r="O12" s="20">
        <f>IF(OR(D12=270, D12=300, D12=350, D12=400, D12=500, D12=550, D12=600, D12=650), 1, 2)</f>
        <v>2</v>
      </c>
    </row>
    <row r="13" spans="2:27" ht="16.5" customHeight="1" thickBot="1" x14ac:dyDescent="0.35">
      <c r="C13" s="6"/>
      <c r="D13" s="18" t="str">
        <f>IF(SUM(O4:O11)&gt;9, "Vyplňte správně všechny parametry!"," ")</f>
        <v>Vyplňte správně všechny parametry!</v>
      </c>
      <c r="E13" s="5"/>
      <c r="F13" s="5"/>
      <c r="G13" s="5"/>
      <c r="H13" s="5"/>
      <c r="I13" s="5"/>
      <c r="J13" s="5"/>
      <c r="N13" s="9" t="s">
        <v>415</v>
      </c>
      <c r="O13" s="63">
        <f>IF(OR(D19&lt;Q19, D20&lt;Q20, D21&lt;Q21, D22&lt;Q22, D23&lt;Q23), 2, 1)</f>
        <v>2</v>
      </c>
      <c r="S13" s="63" t="s">
        <v>430</v>
      </c>
      <c r="T13" s="63"/>
      <c r="U13" s="63" t="s">
        <v>431</v>
      </c>
    </row>
    <row r="14" spans="2:27" ht="13.5" customHeight="1" thickBot="1" x14ac:dyDescent="0.35">
      <c r="N14" s="9" t="s">
        <v>57</v>
      </c>
      <c r="O14" s="63">
        <f>IF($D$4&lt;$X$14, 2, 1)</f>
        <v>2</v>
      </c>
      <c r="Q14" s="9"/>
      <c r="R14" s="232" t="s">
        <v>416</v>
      </c>
      <c r="S14" s="3">
        <f>SUM(M18:M23, 10)</f>
        <v>1232</v>
      </c>
      <c r="T14" s="232" t="s">
        <v>114</v>
      </c>
      <c r="U14" s="3">
        <f>SUM(N18:N23, 10)</f>
        <v>1315</v>
      </c>
      <c r="V14" s="232" t="s">
        <v>417</v>
      </c>
      <c r="W14" s="66">
        <f>SUM($V$18, 260)</f>
        <v>470</v>
      </c>
      <c r="X14" s="67">
        <f>IF(AND(D11&lt;&gt;4, S14&gt;W14), S14, IF(AND(D11=4, U14&gt;W14), U14, W14))</f>
        <v>1232</v>
      </c>
    </row>
    <row r="15" spans="2:27" ht="17.25" customHeight="1" x14ac:dyDescent="0.3">
      <c r="B15" s="370" t="s">
        <v>418</v>
      </c>
      <c r="C15" s="362" t="s">
        <v>419</v>
      </c>
      <c r="D15" s="362" t="s">
        <v>252</v>
      </c>
      <c r="E15" s="372" t="s">
        <v>420</v>
      </c>
      <c r="F15" s="363"/>
      <c r="G15" s="363"/>
      <c r="H15" s="364"/>
      <c r="I15" s="373" t="s">
        <v>140</v>
      </c>
      <c r="J15" s="374"/>
      <c r="O15" s="63"/>
      <c r="P15" s="63"/>
      <c r="Q15" s="63"/>
      <c r="R15" s="63"/>
      <c r="S15" s="63"/>
      <c r="T15" s="63"/>
      <c r="Z15" s="172"/>
    </row>
    <row r="16" spans="2:27" ht="17.25" customHeight="1" x14ac:dyDescent="0.3">
      <c r="B16" s="370"/>
      <c r="C16" s="362"/>
      <c r="D16" s="362"/>
      <c r="E16" s="362" t="s">
        <v>421</v>
      </c>
      <c r="F16" s="362"/>
      <c r="G16" s="363" t="s">
        <v>422</v>
      </c>
      <c r="H16" s="364"/>
      <c r="I16" s="375"/>
      <c r="J16" s="376"/>
      <c r="M16" s="2" t="s">
        <v>423</v>
      </c>
      <c r="O16" s="81" t="s">
        <v>424</v>
      </c>
      <c r="Q16" s="80"/>
      <c r="R16" s="82" t="s">
        <v>425</v>
      </c>
      <c r="S16" s="82"/>
      <c r="T16" s="82" t="s">
        <v>426</v>
      </c>
      <c r="U16" s="82"/>
      <c r="V16" s="83" t="s">
        <v>427</v>
      </c>
      <c r="W16" s="84"/>
      <c r="X16" s="85"/>
      <c r="Z16" s="307"/>
    </row>
    <row r="17" spans="2:28" ht="15" customHeight="1" x14ac:dyDescent="0.3">
      <c r="B17" s="370"/>
      <c r="C17" s="362"/>
      <c r="D17" s="362"/>
      <c r="E17" s="230" t="s">
        <v>428</v>
      </c>
      <c r="F17" s="230" t="s">
        <v>429</v>
      </c>
      <c r="G17" s="230" t="s">
        <v>428</v>
      </c>
      <c r="H17" s="230" t="s">
        <v>429</v>
      </c>
      <c r="I17" s="230" t="s">
        <v>141</v>
      </c>
      <c r="J17" s="230" t="s">
        <v>70</v>
      </c>
      <c r="M17" s="13" t="s">
        <v>430</v>
      </c>
      <c r="N17" s="59" t="s">
        <v>431</v>
      </c>
      <c r="O17" s="60" t="s">
        <v>430</v>
      </c>
      <c r="P17" s="59" t="s">
        <v>431</v>
      </c>
      <c r="Q17" s="61" t="s">
        <v>432</v>
      </c>
      <c r="R17" s="62" t="s">
        <v>428</v>
      </c>
      <c r="S17" s="62" t="s">
        <v>429</v>
      </c>
      <c r="T17" s="62" t="s">
        <v>428</v>
      </c>
      <c r="U17" s="62" t="s">
        <v>429</v>
      </c>
      <c r="V17" s="62" t="s">
        <v>141</v>
      </c>
      <c r="W17" s="62" t="s">
        <v>70</v>
      </c>
      <c r="X17" s="62" t="s">
        <v>433</v>
      </c>
      <c r="Z17" s="307"/>
    </row>
    <row r="18" spans="2:28" ht="24" customHeight="1" x14ac:dyDescent="0.3">
      <c r="B18" s="381" t="s">
        <v>481</v>
      </c>
      <c r="C18" s="382"/>
      <c r="D18" s="383"/>
      <c r="E18" s="3" t="str">
        <f>IF(OR($D$19=0, $O$3=2, $D$11&lt;&gt;3)," ", R18)</f>
        <v xml:space="preserve"> </v>
      </c>
      <c r="F18" s="3" t="str">
        <f>IF(OR($D19=0,$O$3=2, $D$11&lt;&gt;3)," ", S18)</f>
        <v xml:space="preserve"> </v>
      </c>
      <c r="G18" s="3" t="str">
        <f>IF(OR($D19=0, $O$3=2, $D$11&lt;&gt;4)," ", T18)</f>
        <v xml:space="preserve"> </v>
      </c>
      <c r="H18" s="3" t="str">
        <f>IF(OR($D19=0,$O$3=2, $D$11&lt;&gt;4)," ", U18)</f>
        <v xml:space="preserve"> </v>
      </c>
      <c r="I18" s="3" t="str">
        <f>IF(OR($D19=0,$O$3=2)," ",$V18)</f>
        <v xml:space="preserve"> </v>
      </c>
      <c r="J18" s="3" t="str">
        <f>IF(OR($O$3=2,$D$19=0)," ",$W$18)</f>
        <v xml:space="preserve"> </v>
      </c>
      <c r="M18" s="64">
        <v>260</v>
      </c>
      <c r="N18" s="65">
        <v>260</v>
      </c>
      <c r="O18" s="64">
        <f>SUM(M18, -$D$6, -9)</f>
        <v>251</v>
      </c>
      <c r="P18" s="65">
        <f>SUM(N18, -$D$6, -9)</f>
        <v>251</v>
      </c>
      <c r="Q18" s="58">
        <f t="shared" ref="Q18:Q23" si="0">IF($D$11=3, O18, P18)</f>
        <v>251</v>
      </c>
      <c r="R18" s="4">
        <f>SUM($D$4, -80)</f>
        <v>-80</v>
      </c>
      <c r="S18" s="35">
        <f>R18-$D$9</f>
        <v>-80</v>
      </c>
      <c r="T18" s="4">
        <f>SUM($D$4, -80)</f>
        <v>-80</v>
      </c>
      <c r="U18" s="35">
        <f>T18-$D$9</f>
        <v>-80</v>
      </c>
      <c r="V18" s="4">
        <f>SUM($V$19, $D$19, -38, 40, 9)</f>
        <v>210</v>
      </c>
      <c r="W18" s="4">
        <v>37</v>
      </c>
      <c r="X18" s="63"/>
      <c r="Z18" s="232"/>
    </row>
    <row r="19" spans="2:28" ht="24" customHeight="1" x14ac:dyDescent="0.3">
      <c r="B19" s="164">
        <v>5</v>
      </c>
      <c r="C19" s="164">
        <v>245</v>
      </c>
      <c r="D19" s="79"/>
      <c r="E19" s="3" t="str">
        <f>IF(OR($D19=0, $O$3=2, $D$11&lt;&gt;3)," ", R19)</f>
        <v xml:space="preserve"> </v>
      </c>
      <c r="F19" s="3" t="str">
        <f>IF(OR($D19=0,$O$3=2, $D$11&lt;&gt;3)," ", S19)</f>
        <v xml:space="preserve"> </v>
      </c>
      <c r="G19" s="3" t="str">
        <f>IF(OR($D19=0, $O$3=2, $D$11&lt;&gt;4)," ", T19)</f>
        <v xml:space="preserve"> </v>
      </c>
      <c r="H19" s="3" t="str">
        <f>IF(OR($D19=0,$O$3=2, $D$11&lt;&gt;4)," ", U19)</f>
        <v xml:space="preserve"> </v>
      </c>
      <c r="I19" s="3" t="str">
        <f>IF(OR($D20=0,$O$3=2)," ",$V19)</f>
        <v xml:space="preserve"> </v>
      </c>
      <c r="J19" s="3" t="str">
        <f>IF(OR($O$3=2,$D$19=0)," ",$W$19)</f>
        <v xml:space="preserve"> </v>
      </c>
      <c r="L19" s="43" t="str">
        <f>IF($D19&lt;$Q19, "Min. "&amp;$Q19&amp;"!", " ")</f>
        <v>Min. 172!</v>
      </c>
      <c r="M19" s="52">
        <f>SUM(109, 20)</f>
        <v>129</v>
      </c>
      <c r="N19" s="53">
        <f>SUM(109, 33, 70)</f>
        <v>212</v>
      </c>
      <c r="O19" s="54">
        <f t="shared" ref="O19:P22" si="1">SUM(M19, -40)</f>
        <v>89</v>
      </c>
      <c r="P19" s="55">
        <f t="shared" si="1"/>
        <v>172</v>
      </c>
      <c r="Q19" s="58">
        <f t="shared" si="0"/>
        <v>172</v>
      </c>
      <c r="R19" s="4" t="s">
        <v>435</v>
      </c>
      <c r="S19" s="35" t="s">
        <v>435</v>
      </c>
      <c r="T19" s="4">
        <f>V19+112</f>
        <v>311</v>
      </c>
      <c r="U19" s="35">
        <f>T19-$D$9</f>
        <v>311</v>
      </c>
      <c r="V19" s="4">
        <f>SUM($V$20, $D$20, 40)</f>
        <v>199</v>
      </c>
      <c r="W19" s="4">
        <v>37</v>
      </c>
      <c r="X19" s="4">
        <v>38</v>
      </c>
      <c r="Y19" s="24"/>
      <c r="Z19" s="232"/>
      <c r="AA19" s="63"/>
    </row>
    <row r="20" spans="2:28" ht="24" customHeight="1" x14ac:dyDescent="0.3">
      <c r="B20" s="164">
        <v>4</v>
      </c>
      <c r="C20" s="164">
        <v>220</v>
      </c>
      <c r="D20" s="79"/>
      <c r="E20" s="3" t="str">
        <f>IF(OR($D20=0, $O$3=2, $D$11&lt;&gt;3)," ", R20)</f>
        <v xml:space="preserve"> </v>
      </c>
      <c r="F20" s="3" t="str">
        <f>IF(OR($D20=0,$O$3=2, $D$11&lt;&gt;3)," ", S20)</f>
        <v xml:space="preserve"> </v>
      </c>
      <c r="G20" s="3" t="str">
        <f>IF(OR($D20=0, $O$3=2, $D$11&lt;&gt;4)," ", T20)</f>
        <v xml:space="preserve"> </v>
      </c>
      <c r="H20" s="3" t="str">
        <f>IF(OR($D20=0,$O$3=2, $D$11&lt;&gt;4)," ", U20)</f>
        <v xml:space="preserve"> </v>
      </c>
      <c r="I20" s="3" t="str">
        <f>IF(OR($D21=0,$O$3=2)," ",$V20)</f>
        <v xml:space="preserve"> </v>
      </c>
      <c r="J20" s="3" t="str">
        <f>IF(OR($O$3=2,$D$20=0)," ",$W$20)</f>
        <v xml:space="preserve"> </v>
      </c>
      <c r="L20" s="43" t="str">
        <f>IF($D20&lt;$Q20, "Min. "&amp;$Q20&amp;"!", " ")</f>
        <v>Min. 120!</v>
      </c>
      <c r="M20" s="52">
        <v>160</v>
      </c>
      <c r="N20" s="53">
        <v>160</v>
      </c>
      <c r="O20" s="56">
        <f t="shared" si="1"/>
        <v>120</v>
      </c>
      <c r="P20" s="57">
        <f t="shared" si="1"/>
        <v>120</v>
      </c>
      <c r="Q20" s="58">
        <f t="shared" si="0"/>
        <v>120</v>
      </c>
      <c r="R20" s="4" t="s">
        <v>435</v>
      </c>
      <c r="S20" s="35" t="s">
        <v>435</v>
      </c>
      <c r="T20" s="4" t="s">
        <v>435</v>
      </c>
      <c r="U20" s="35" t="s">
        <v>435</v>
      </c>
      <c r="V20" s="4">
        <f>SUM($V$21, $D$21, 40)</f>
        <v>159</v>
      </c>
      <c r="W20" s="4">
        <v>37</v>
      </c>
      <c r="X20" s="4">
        <v>38</v>
      </c>
      <c r="Y20" s="6"/>
      <c r="Z20" s="172"/>
    </row>
    <row r="21" spans="2:28" ht="24" customHeight="1" x14ac:dyDescent="0.3">
      <c r="B21" s="164">
        <v>3</v>
      </c>
      <c r="C21" s="164">
        <v>312</v>
      </c>
      <c r="D21" s="79"/>
      <c r="E21" s="3" t="str">
        <f>IF(OR($D21=0, $O$3=2, $D$11&lt;&gt;3)," ", R21)</f>
        <v xml:space="preserve"> </v>
      </c>
      <c r="F21" s="3" t="str">
        <f>IF(OR($D21=0,$O$3=2, $D$11&lt;&gt;3)," ", S21)</f>
        <v xml:space="preserve"> </v>
      </c>
      <c r="G21" s="3" t="str">
        <f>IF(OR($D21=0, $O$3=2, $D$11&lt;&gt;4)," ", T21)</f>
        <v xml:space="preserve"> </v>
      </c>
      <c r="H21" s="3" t="str">
        <f>IF(OR($D21=0,$O$3=2, $D$11&lt;&gt;4)," ", U21)</f>
        <v xml:space="preserve"> </v>
      </c>
      <c r="I21" s="3" t="str">
        <f>IF(OR($D22=0,$O$3=2)," ",$V21)</f>
        <v xml:space="preserve"> </v>
      </c>
      <c r="J21" s="3" t="str">
        <f>IF(OR($O$3=2,$D$21=0)," ",$W$21)</f>
        <v xml:space="preserve"> </v>
      </c>
      <c r="L21" s="43" t="str">
        <f>IF($D21&lt;$Q21, "Min. "&amp;$Q21&amp;"!", " ")</f>
        <v>Min. 180!</v>
      </c>
      <c r="M21" s="52">
        <v>220</v>
      </c>
      <c r="N21" s="53">
        <v>220</v>
      </c>
      <c r="O21" s="56">
        <f t="shared" si="1"/>
        <v>180</v>
      </c>
      <c r="P21" s="57">
        <f t="shared" si="1"/>
        <v>180</v>
      </c>
      <c r="Q21" s="58">
        <f t="shared" si="0"/>
        <v>180</v>
      </c>
      <c r="R21" s="4">
        <f>SUM($V$20, -38, -45)</f>
        <v>76</v>
      </c>
      <c r="S21" s="35">
        <f>R21-$D$9</f>
        <v>76</v>
      </c>
      <c r="T21" s="4">
        <f>SUM($V$20, -38, -45)</f>
        <v>76</v>
      </c>
      <c r="U21" s="35">
        <f>T21-$D$9</f>
        <v>76</v>
      </c>
      <c r="V21" s="4">
        <f>SUM($V$22, $D$22, 40)</f>
        <v>119</v>
      </c>
      <c r="W21" s="4">
        <v>37</v>
      </c>
      <c r="X21" s="4">
        <v>38</v>
      </c>
      <c r="Y21" s="6"/>
      <c r="Z21" s="232"/>
      <c r="AA21" s="15"/>
    </row>
    <row r="22" spans="2:28" ht="24" customHeight="1" x14ac:dyDescent="0.3">
      <c r="B22" s="164">
        <v>2</v>
      </c>
      <c r="C22" s="164">
        <v>260</v>
      </c>
      <c r="D22" s="79"/>
      <c r="E22" s="3" t="str">
        <f>IF(OR($D22=0, $O$3=2, $D$11&lt;&gt;3)," ", R22)</f>
        <v xml:space="preserve"> </v>
      </c>
      <c r="F22" s="3" t="str">
        <f>IF(OR($D22=0,$O$3=2, $D$11&lt;&gt;3)," ", S22)</f>
        <v xml:space="preserve"> </v>
      </c>
      <c r="G22" s="3" t="str">
        <f>IF(OR($D22=0, $O$3=2, $D$11&lt;&gt;4)," ", T22)</f>
        <v xml:space="preserve"> </v>
      </c>
      <c r="H22" s="3" t="str">
        <f>IF(OR($D22=0,$O$3=2, $D$11&lt;&gt;4)," ", U22)</f>
        <v xml:space="preserve"> </v>
      </c>
      <c r="I22" s="3" t="str">
        <f>IF(OR($D23=0,$O$3=2)," ",$V22)</f>
        <v xml:space="preserve"> </v>
      </c>
      <c r="J22" s="3" t="str">
        <f>IF(OR($D$23=0,$O$3=2)," ",W22)</f>
        <v xml:space="preserve"> </v>
      </c>
      <c r="L22" s="43" t="str">
        <f>IF($D22&lt;$Q22, "Min. "&amp;$Q22&amp;"!", " ")</f>
        <v>Min. 120!</v>
      </c>
      <c r="M22" s="52">
        <v>160</v>
      </c>
      <c r="N22" s="53">
        <v>160</v>
      </c>
      <c r="O22" s="56">
        <f t="shared" si="1"/>
        <v>120</v>
      </c>
      <c r="P22" s="57">
        <f t="shared" si="1"/>
        <v>120</v>
      </c>
      <c r="Q22" s="58">
        <f t="shared" si="0"/>
        <v>120</v>
      </c>
      <c r="R22" s="4" t="s">
        <v>435</v>
      </c>
      <c r="S22" s="35" t="s">
        <v>435</v>
      </c>
      <c r="T22" s="4" t="s">
        <v>435</v>
      </c>
      <c r="U22" s="35" t="s">
        <v>435</v>
      </c>
      <c r="V22" s="4">
        <f>SUM($V$23, $D$23, 40)</f>
        <v>79</v>
      </c>
      <c r="W22" s="4">
        <v>37</v>
      </c>
      <c r="X22" s="4">
        <v>38</v>
      </c>
      <c r="Y22" s="6"/>
      <c r="Z22" s="232"/>
      <c r="AA22" s="15"/>
    </row>
    <row r="23" spans="2:28" ht="24" customHeight="1" x14ac:dyDescent="0.3">
      <c r="B23" s="165" t="s">
        <v>267</v>
      </c>
      <c r="C23" s="164">
        <v>359</v>
      </c>
      <c r="D23" s="79"/>
      <c r="E23" s="3" t="str">
        <f>IF(OR($D23=0, $O$3=2, $D$11&lt;&gt;3)," ", R23)</f>
        <v xml:space="preserve"> </v>
      </c>
      <c r="F23" s="3" t="str">
        <f>IF(OR($D23=0,$O$3=2, $D$11&lt;&gt;3)," ", S23)</f>
        <v xml:space="preserve"> </v>
      </c>
      <c r="G23" s="3" t="str">
        <f>IF(OR($D23=0, $O$3=2, $D$11&lt;&gt;4)," ", T23)</f>
        <v xml:space="preserve"> </v>
      </c>
      <c r="H23" s="3" t="str">
        <f>IF(OR($D23=0,$O$3=2, $D$11&lt;&gt;4)," ", U23)</f>
        <v xml:space="preserve"> </v>
      </c>
      <c r="I23" s="3" t="str">
        <f>IF(OR($D$23=0,$O$3=2)," ",$V$23)</f>
        <v xml:space="preserve"> </v>
      </c>
      <c r="J23" s="3" t="str">
        <f>IF(OR($D$23=0,$O$3=2)," ",W23)</f>
        <v xml:space="preserve"> </v>
      </c>
      <c r="L23" s="43" t="str">
        <f>IF($D23&lt;$Q23, "Min. "&amp;$Q23&amp;"!", " ")</f>
        <v>Min. 253!</v>
      </c>
      <c r="M23" s="52">
        <f>SUM(227, $D$6, 66)</f>
        <v>293</v>
      </c>
      <c r="N23" s="53">
        <f>SUM(227, $D$6, 66)</f>
        <v>293</v>
      </c>
      <c r="O23" s="56">
        <f>SUM(M23, -40, -$D$6)</f>
        <v>253</v>
      </c>
      <c r="P23" s="57">
        <f>SUM(N23, -40, -$D$6)</f>
        <v>253</v>
      </c>
      <c r="Q23" s="58">
        <f t="shared" si="0"/>
        <v>253</v>
      </c>
      <c r="R23" s="4">
        <v>280</v>
      </c>
      <c r="S23" s="35">
        <f>R23-$D$9</f>
        <v>280</v>
      </c>
      <c r="T23" s="4">
        <v>280</v>
      </c>
      <c r="U23" s="35">
        <f>T23-$D$9</f>
        <v>280</v>
      </c>
      <c r="V23" s="4">
        <f>SUM($X23, $D$6)</f>
        <v>39</v>
      </c>
      <c r="W23" s="4">
        <v>37</v>
      </c>
      <c r="X23" s="4">
        <v>39</v>
      </c>
      <c r="Y23" s="6"/>
      <c r="Z23" s="232"/>
      <c r="AA23" s="9"/>
      <c r="AB23" s="5"/>
    </row>
    <row r="24" spans="2:28" ht="12.75" customHeight="1" x14ac:dyDescent="0.3"/>
    <row r="25" spans="2:28" x14ac:dyDescent="0.3">
      <c r="C25" s="2" t="s">
        <v>436</v>
      </c>
    </row>
    <row r="26" spans="2:28" x14ac:dyDescent="0.3">
      <c r="C26" s="2" t="s">
        <v>112</v>
      </c>
      <c r="P26" s="2" t="s">
        <v>437</v>
      </c>
      <c r="Q26" s="9" t="s">
        <v>438</v>
      </c>
      <c r="R26" s="2">
        <f>IF(O5=2, 0, $D$5-$D$7*2-126)</f>
        <v>0</v>
      </c>
      <c r="X26" s="11"/>
    </row>
    <row r="27" spans="2:28" ht="12" customHeight="1" x14ac:dyDescent="0.3">
      <c r="Q27" s="9" t="s">
        <v>439</v>
      </c>
      <c r="R27" s="2">
        <f>IF(O5=2, 0, $D$5-$D$7*2-90)</f>
        <v>0</v>
      </c>
    </row>
    <row r="28" spans="2:28" x14ac:dyDescent="0.3">
      <c r="C28" s="18" t="str">
        <f>IF(AND(D4&gt;0, D23&gt;0, D22&gt;0, D21&gt;0, D20&gt;0, D19&gt;0, $O$14=2), "          Rozmístění výsuvů neodpovídá výšce korpusu! Upravte úložné výšky nebo výšku korpusu.", " ")</f>
        <v xml:space="preserve"> </v>
      </c>
      <c r="Q28" s="2" t="s">
        <v>482</v>
      </c>
      <c r="R28" s="2">
        <f>IF(O5=2, 0, $D$5-$D$7*2-80)</f>
        <v>0</v>
      </c>
    </row>
    <row r="29" spans="2:28" ht="12" customHeight="1" x14ac:dyDescent="0.3">
      <c r="Q29" s="9" t="s">
        <v>291</v>
      </c>
      <c r="R29" s="2">
        <f>IF($O$3=2, 0, SUM($D$5, -2*$D$7, -35))</f>
        <v>0</v>
      </c>
      <c r="S29" s="112">
        <f>IF($O$3=2, 0, SUM($D$12-10))</f>
        <v>0</v>
      </c>
    </row>
    <row r="30" spans="2:28" x14ac:dyDescent="0.3">
      <c r="C30" s="2" t="s">
        <v>440</v>
      </c>
      <c r="Q30" s="9" t="s">
        <v>293</v>
      </c>
      <c r="R30" s="2">
        <f>IF($O$3=2, 0, SUM($D$5, -2*$D$7, -38))</f>
        <v>0</v>
      </c>
    </row>
    <row r="31" spans="2:28" x14ac:dyDescent="0.3">
      <c r="C31" s="2" t="s">
        <v>441</v>
      </c>
    </row>
    <row r="32" spans="2:28" x14ac:dyDescent="0.3">
      <c r="C32" s="2" t="s">
        <v>442</v>
      </c>
    </row>
    <row r="36" spans="1:26" ht="17.5" x14ac:dyDescent="0.35">
      <c r="A36" s="303"/>
      <c r="C36" s="19" t="s">
        <v>443</v>
      </c>
      <c r="Z36" s="103" t="str">
        <f>C1</f>
        <v>SPACE TOWER</v>
      </c>
    </row>
    <row r="37" spans="1:26" ht="15.5" x14ac:dyDescent="0.35">
      <c r="A37" s="303"/>
      <c r="H37" s="17"/>
      <c r="L37" s="63"/>
      <c r="Z37" s="129" t="str">
        <f>C2</f>
        <v>LEGRABOX pure/free</v>
      </c>
    </row>
    <row r="38" spans="1:26" ht="14.5" x14ac:dyDescent="0.35">
      <c r="A38" s="303"/>
      <c r="D38" s="9" t="s">
        <v>444</v>
      </c>
      <c r="H38" s="17"/>
      <c r="L38" s="63"/>
    </row>
    <row r="39" spans="1:26" x14ac:dyDescent="0.3">
      <c r="A39" s="303"/>
      <c r="D39" s="9"/>
      <c r="H39" s="4">
        <f>SUM(E18, G18)</f>
        <v>0</v>
      </c>
      <c r="L39" s="4">
        <f>SUM(F18, H18)</f>
        <v>0</v>
      </c>
    </row>
    <row r="40" spans="1:26" x14ac:dyDescent="0.3">
      <c r="A40" s="303"/>
      <c r="D40" s="9">
        <f>IF($O$3=1, SUM($D$4, -$D$6, -$I$18, -9), 0)</f>
        <v>0</v>
      </c>
      <c r="H40" s="4"/>
      <c r="L40" s="4"/>
    </row>
    <row r="41" spans="1:26" x14ac:dyDescent="0.3">
      <c r="A41" s="303"/>
      <c r="D41" s="9"/>
      <c r="H41" s="4"/>
      <c r="L41" s="4"/>
    </row>
    <row r="42" spans="1:26" x14ac:dyDescent="0.3">
      <c r="A42" s="303"/>
      <c r="D42" s="9"/>
      <c r="H42" s="4"/>
      <c r="L42" s="4"/>
    </row>
    <row r="43" spans="1:26" x14ac:dyDescent="0.3">
      <c r="A43" s="303"/>
      <c r="B43" s="63"/>
      <c r="D43" s="9"/>
      <c r="F43" s="2" t="str">
        <f>I18</f>
        <v xml:space="preserve"> </v>
      </c>
      <c r="H43" s="4"/>
      <c r="L43" s="4"/>
    </row>
    <row r="44" spans="1:26" ht="15.75" customHeight="1" x14ac:dyDescent="0.3">
      <c r="A44" s="303"/>
      <c r="B44" s="63"/>
      <c r="D44" s="9"/>
      <c r="H44" s="4" t="str">
        <f>G19</f>
        <v xml:space="preserve"> </v>
      </c>
      <c r="L44" s="4" t="str">
        <f>H19</f>
        <v xml:space="preserve"> </v>
      </c>
    </row>
    <row r="45" spans="1:26" x14ac:dyDescent="0.3">
      <c r="A45" s="303"/>
      <c r="B45" s="63"/>
      <c r="D45" s="9">
        <f>IF($O$3=1, $D$19, 0)</f>
        <v>0</v>
      </c>
      <c r="H45" s="4"/>
      <c r="L45" s="4"/>
    </row>
    <row r="46" spans="1:26" x14ac:dyDescent="0.3">
      <c r="A46" s="303"/>
      <c r="B46" s="63"/>
      <c r="D46" s="9"/>
      <c r="F46" s="2" t="str">
        <f>I19</f>
        <v xml:space="preserve"> </v>
      </c>
      <c r="H46" s="4"/>
      <c r="L46" s="4"/>
      <c r="Z46" s="229" t="s">
        <v>445</v>
      </c>
    </row>
    <row r="47" spans="1:26" x14ac:dyDescent="0.3">
      <c r="A47" s="303"/>
      <c r="B47" s="63"/>
      <c r="D47" s="9"/>
      <c r="H47" s="4"/>
      <c r="L47" s="4"/>
      <c r="Z47" s="128" t="str">
        <f>"dno: "&amp;$R$29&amp;" x "&amp;$S$29&amp;" mm "</f>
        <v xml:space="preserve">dno: 0 x 0 mm </v>
      </c>
    </row>
    <row r="48" spans="1:26" x14ac:dyDescent="0.3">
      <c r="A48" s="303"/>
      <c r="B48" s="63"/>
      <c r="D48" s="9"/>
      <c r="H48" s="4"/>
      <c r="L48" s="4"/>
      <c r="Z48" s="128" t="str">
        <f>"záda M: "&amp;$R$30&amp;" x  63 mm "</f>
        <v xml:space="preserve">záda M: 0 x  63 mm </v>
      </c>
    </row>
    <row r="49" spans="1:26" x14ac:dyDescent="0.3">
      <c r="A49" s="303"/>
      <c r="B49" s="63"/>
      <c r="D49" s="9">
        <f>IF($O$3=1, $D$20, 0)</f>
        <v>0</v>
      </c>
      <c r="H49" s="4"/>
      <c r="L49" s="4"/>
      <c r="Z49" s="128" t="str">
        <f>"záda C: "&amp;$R$30&amp;" x 148 mm "</f>
        <v xml:space="preserve">záda C: 0 x 148 mm </v>
      </c>
    </row>
    <row r="50" spans="1:26" ht="20.25" customHeight="1" x14ac:dyDescent="0.3">
      <c r="A50" s="303"/>
      <c r="B50" s="63"/>
      <c r="D50" s="9"/>
      <c r="H50" s="4"/>
      <c r="L50" s="4"/>
    </row>
    <row r="51" spans="1:26" ht="17.25" customHeight="1" x14ac:dyDescent="0.3">
      <c r="A51" s="303"/>
      <c r="B51" s="63"/>
      <c r="D51" s="9"/>
      <c r="F51" s="2" t="str">
        <f>I20</f>
        <v xml:space="preserve"> </v>
      </c>
      <c r="H51" s="4"/>
      <c r="L51" s="4"/>
    </row>
    <row r="52" spans="1:26" ht="20.25" customHeight="1" x14ac:dyDescent="0.3">
      <c r="A52" s="303"/>
      <c r="B52" s="63"/>
      <c r="D52" s="9"/>
      <c r="H52" s="4">
        <f>SUM(E21, G21)</f>
        <v>0</v>
      </c>
      <c r="L52" s="4">
        <f>SUM(F21, H21)</f>
        <v>0</v>
      </c>
      <c r="Z52" s="229" t="s">
        <v>446</v>
      </c>
    </row>
    <row r="53" spans="1:26" x14ac:dyDescent="0.3">
      <c r="A53" s="303"/>
      <c r="B53" s="63"/>
      <c r="D53" s="9"/>
      <c r="H53" s="4"/>
      <c r="L53" s="4"/>
      <c r="Z53" s="128" t="str">
        <f>"čelní sklo: "&amp;$R$28&amp;" mm "</f>
        <v xml:space="preserve">čelní sklo: 0 mm </v>
      </c>
    </row>
    <row r="54" spans="1:26" x14ac:dyDescent="0.3">
      <c r="A54" s="303"/>
      <c r="B54" s="63"/>
      <c r="D54" s="9"/>
      <c r="H54" s="4"/>
      <c r="L54" s="4"/>
      <c r="Z54" s="128" t="str">
        <f>"přední reling: "&amp;$R$27&amp;" mm "</f>
        <v xml:space="preserve">přední reling: 0 mm </v>
      </c>
    </row>
    <row r="55" spans="1:26" x14ac:dyDescent="0.3">
      <c r="A55" s="303"/>
      <c r="B55" s="63"/>
      <c r="D55" s="9">
        <f>IF($O$3=1, $D$21, 0)</f>
        <v>0</v>
      </c>
      <c r="H55" s="4"/>
      <c r="L55" s="4"/>
      <c r="Z55" s="128" t="str">
        <f>"čelní profil: "&amp;$R$26&amp;" mm "</f>
        <v xml:space="preserve">čelní profil: 0 mm </v>
      </c>
    </row>
    <row r="56" spans="1:26" ht="19.5" customHeight="1" x14ac:dyDescent="0.3">
      <c r="A56" s="303"/>
      <c r="B56" s="63"/>
      <c r="D56" s="9"/>
      <c r="H56" s="4"/>
      <c r="L56" s="4"/>
    </row>
    <row r="57" spans="1:26" x14ac:dyDescent="0.3">
      <c r="A57" s="303"/>
      <c r="B57" s="63"/>
      <c r="D57" s="9"/>
      <c r="F57" s="2" t="str">
        <f>I21</f>
        <v xml:space="preserve"> </v>
      </c>
      <c r="H57" s="4"/>
      <c r="L57" s="4"/>
    </row>
    <row r="58" spans="1:26" x14ac:dyDescent="0.3">
      <c r="A58" s="303"/>
      <c r="B58" s="63"/>
      <c r="D58" s="9"/>
      <c r="H58" s="4"/>
      <c r="L58" s="4"/>
    </row>
    <row r="59" spans="1:26" x14ac:dyDescent="0.3">
      <c r="A59" s="303"/>
      <c r="B59" s="63"/>
      <c r="D59" s="9"/>
      <c r="H59" s="4"/>
      <c r="L59" s="4"/>
    </row>
    <row r="60" spans="1:26" x14ac:dyDescent="0.3">
      <c r="A60" s="303"/>
      <c r="B60" s="63"/>
      <c r="D60" s="9">
        <f>IF($O$3=1, $D$22, 0)</f>
        <v>0</v>
      </c>
      <c r="H60" s="4"/>
      <c r="L60" s="4"/>
    </row>
    <row r="61" spans="1:26" x14ac:dyDescent="0.3">
      <c r="A61" s="303"/>
      <c r="B61" s="63"/>
      <c r="D61" s="9"/>
      <c r="H61" s="4"/>
      <c r="L61" s="4"/>
    </row>
    <row r="62" spans="1:26" x14ac:dyDescent="0.3">
      <c r="A62" s="303"/>
      <c r="B62" s="63"/>
      <c r="D62" s="9"/>
      <c r="F62" s="2" t="str">
        <f>I22</f>
        <v xml:space="preserve"> </v>
      </c>
      <c r="H62" s="4"/>
      <c r="L62" s="4"/>
    </row>
    <row r="63" spans="1:26" x14ac:dyDescent="0.3">
      <c r="A63" s="303"/>
      <c r="B63" s="63"/>
      <c r="D63" s="9"/>
      <c r="H63" s="4"/>
      <c r="L63" s="4"/>
    </row>
    <row r="64" spans="1:26" ht="21.75" customHeight="1" x14ac:dyDescent="0.3">
      <c r="A64" s="303"/>
      <c r="B64" s="63"/>
      <c r="D64" s="9"/>
      <c r="H64" s="4">
        <f>SUM(E23, G23)</f>
        <v>0</v>
      </c>
      <c r="L64" s="4">
        <f>SUM(F23, H23)</f>
        <v>0</v>
      </c>
    </row>
    <row r="65" spans="1:28" x14ac:dyDescent="0.3">
      <c r="A65" s="303"/>
      <c r="B65" s="63"/>
      <c r="D65" s="9"/>
      <c r="H65" s="17"/>
      <c r="L65" s="63"/>
    </row>
    <row r="66" spans="1:28" x14ac:dyDescent="0.3">
      <c r="A66" s="303"/>
      <c r="B66" s="63"/>
      <c r="D66" s="9">
        <f>IF($O$3=1, $D$23, 0)</f>
        <v>0</v>
      </c>
      <c r="H66" s="17"/>
      <c r="L66" s="63"/>
    </row>
    <row r="67" spans="1:28" ht="15" customHeight="1" x14ac:dyDescent="0.3">
      <c r="A67" s="303"/>
      <c r="B67" s="63"/>
      <c r="D67" s="9"/>
      <c r="H67" s="17"/>
      <c r="L67" s="63"/>
    </row>
    <row r="68" spans="1:28" x14ac:dyDescent="0.3">
      <c r="A68" s="303"/>
      <c r="B68" s="63"/>
      <c r="D68" s="9"/>
      <c r="F68" s="2" t="str">
        <f>I23</f>
        <v xml:space="preserve"> </v>
      </c>
      <c r="L68" s="63"/>
    </row>
    <row r="69" spans="1:28" x14ac:dyDescent="0.3">
      <c r="A69" s="303"/>
      <c r="B69" s="63"/>
    </row>
    <row r="70" spans="1:28" ht="7.5" customHeight="1" x14ac:dyDescent="0.3">
      <c r="A70" s="303"/>
      <c r="B70" s="63"/>
    </row>
    <row r="71" spans="1:28" x14ac:dyDescent="0.3">
      <c r="A71" s="303"/>
      <c r="B71" s="63"/>
      <c r="C71" s="2" t="s">
        <v>447</v>
      </c>
      <c r="AA71" s="315" t="s">
        <v>88</v>
      </c>
      <c r="AB71" s="315"/>
    </row>
    <row r="72" spans="1:28" x14ac:dyDescent="0.3">
      <c r="A72" s="303"/>
      <c r="B72" s="63"/>
      <c r="C72" s="2" t="s">
        <v>449</v>
      </c>
    </row>
    <row r="73" spans="1:28" x14ac:dyDescent="0.3">
      <c r="A73" s="303"/>
      <c r="B73" s="63"/>
    </row>
    <row r="74" spans="1:28" x14ac:dyDescent="0.3">
      <c r="A74" s="303"/>
      <c r="B74" s="63"/>
    </row>
    <row r="75" spans="1:28" x14ac:dyDescent="0.3">
      <c r="A75" s="303"/>
      <c r="B75" s="63"/>
    </row>
    <row r="76" spans="1:28" x14ac:dyDescent="0.3">
      <c r="A76" s="303"/>
      <c r="B76" s="63"/>
    </row>
    <row r="77" spans="1:28" x14ac:dyDescent="0.3">
      <c r="A77" s="303"/>
      <c r="B77" s="63"/>
    </row>
    <row r="110" spans="29:47" ht="17.5" x14ac:dyDescent="0.35">
      <c r="AC110" s="99" t="s">
        <v>474</v>
      </c>
      <c r="AI110" s="193"/>
      <c r="AL110" s="192"/>
      <c r="AN110" s="99" t="s">
        <v>443</v>
      </c>
      <c r="AR110" s="193" t="str">
        <f>C1</f>
        <v>SPACE TOWER</v>
      </c>
      <c r="AU110" s="192" t="str">
        <f>C2</f>
        <v>LEGRABOX pure/free</v>
      </c>
    </row>
    <row r="111" spans="29:47" x14ac:dyDescent="0.3">
      <c r="AD111" s="17" t="s">
        <v>108</v>
      </c>
      <c r="AE111" s="17"/>
      <c r="AF111" s="17"/>
      <c r="AG111" s="17"/>
      <c r="AH111" s="190">
        <f>D8</f>
        <v>0</v>
      </c>
      <c r="AI111" s="365" t="s">
        <v>109</v>
      </c>
      <c r="AJ111" s="365"/>
      <c r="AK111" s="365"/>
      <c r="AL111" s="365"/>
      <c r="AR111" s="47"/>
      <c r="AU111" s="63"/>
    </row>
    <row r="112" spans="29:47" ht="14.5" x14ac:dyDescent="0.35">
      <c r="AC112" s="190">
        <f>D4</f>
        <v>0</v>
      </c>
      <c r="AD112" s="365" t="s">
        <v>26</v>
      </c>
      <c r="AE112" s="365"/>
      <c r="AF112" s="365"/>
      <c r="AG112" s="366"/>
      <c r="AH112" s="190">
        <f t="shared" ref="AH112:AH115" si="2">D9</f>
        <v>0</v>
      </c>
      <c r="AI112" s="365" t="s">
        <v>412</v>
      </c>
      <c r="AJ112" s="365"/>
      <c r="AK112" s="365"/>
      <c r="AL112" s="365"/>
      <c r="AN112" s="9" t="s">
        <v>444</v>
      </c>
      <c r="AR112" s="47"/>
      <c r="AU112" s="63"/>
    </row>
    <row r="113" spans="2:47" x14ac:dyDescent="0.3">
      <c r="AC113" s="190">
        <f>D5</f>
        <v>0</v>
      </c>
      <c r="AD113" s="365" t="s">
        <v>28</v>
      </c>
      <c r="AE113" s="365"/>
      <c r="AF113" s="365"/>
      <c r="AG113" s="366"/>
      <c r="AH113" s="190">
        <f t="shared" si="2"/>
        <v>0</v>
      </c>
      <c r="AI113" s="365" t="s">
        <v>413</v>
      </c>
      <c r="AJ113" s="365"/>
      <c r="AK113" s="365"/>
      <c r="AL113" s="365"/>
      <c r="AN113" s="9"/>
      <c r="AR113" s="47">
        <f>$H$39</f>
        <v>0</v>
      </c>
      <c r="AU113" s="63">
        <f>$L$39</f>
        <v>0</v>
      </c>
    </row>
    <row r="114" spans="2:47" x14ac:dyDescent="0.3">
      <c r="AC114" s="190">
        <f>D6</f>
        <v>0</v>
      </c>
      <c r="AD114" s="365" t="s">
        <v>30</v>
      </c>
      <c r="AE114" s="365"/>
      <c r="AF114" s="365"/>
      <c r="AG114" s="366"/>
      <c r="AH114" s="190">
        <f t="shared" si="2"/>
        <v>0</v>
      </c>
      <c r="AI114" s="365" t="s">
        <v>414</v>
      </c>
      <c r="AJ114" s="365"/>
      <c r="AK114" s="365"/>
      <c r="AL114" s="365"/>
      <c r="AN114" s="9">
        <f>IF($O$3=1, SUM($D$4, -$D$6, -$I$18, -9), 0)</f>
        <v>0</v>
      </c>
      <c r="AR114" s="47"/>
      <c r="AU114" s="63"/>
    </row>
    <row r="115" spans="2:47" x14ac:dyDescent="0.3">
      <c r="AC115" s="190">
        <f>D7</f>
        <v>0</v>
      </c>
      <c r="AD115" s="365" t="s">
        <v>31</v>
      </c>
      <c r="AE115" s="365"/>
      <c r="AF115" s="365"/>
      <c r="AG115" s="366"/>
      <c r="AH115" s="190">
        <f t="shared" si="2"/>
        <v>0</v>
      </c>
      <c r="AI115" s="365" t="s">
        <v>345</v>
      </c>
      <c r="AJ115" s="365"/>
      <c r="AK115" s="365"/>
      <c r="AL115" s="365"/>
      <c r="AN115" s="9"/>
      <c r="AR115" s="47"/>
      <c r="AU115" s="63"/>
    </row>
    <row r="116" spans="2:47" x14ac:dyDescent="0.3">
      <c r="AC116" s="191"/>
      <c r="AD116" s="17"/>
      <c r="AF116" s="17"/>
      <c r="AG116" s="17"/>
      <c r="AH116" s="17"/>
      <c r="AI116" s="17"/>
      <c r="AJ116" s="17"/>
      <c r="AN116" s="9"/>
      <c r="AR116" s="47"/>
      <c r="AU116" s="63"/>
    </row>
    <row r="117" spans="2:47" ht="15.5" x14ac:dyDescent="0.35">
      <c r="AC117" s="99" t="s">
        <v>475</v>
      </c>
      <c r="AN117" s="9"/>
      <c r="AP117" s="2" t="str">
        <f>$F$43</f>
        <v xml:space="preserve"> </v>
      </c>
      <c r="AR117" s="47"/>
      <c r="AU117" s="63"/>
    </row>
    <row r="118" spans="2:47" x14ac:dyDescent="0.3">
      <c r="AC118" s="370" t="s">
        <v>418</v>
      </c>
      <c r="AD118" s="362" t="s">
        <v>419</v>
      </c>
      <c r="AE118" s="371" t="s">
        <v>252</v>
      </c>
      <c r="AF118" s="372" t="s">
        <v>420</v>
      </c>
      <c r="AG118" s="363"/>
      <c r="AH118" s="363"/>
      <c r="AI118" s="364"/>
      <c r="AJ118" s="358" t="s">
        <v>140</v>
      </c>
      <c r="AK118" s="359"/>
      <c r="AN118" s="9"/>
      <c r="AR118" s="47" t="str">
        <f>$H$44</f>
        <v xml:space="preserve"> </v>
      </c>
      <c r="AU118" s="63" t="str">
        <f>$L$44</f>
        <v xml:space="preserve"> </v>
      </c>
    </row>
    <row r="119" spans="2:47" x14ac:dyDescent="0.3">
      <c r="AC119" s="370"/>
      <c r="AD119" s="362"/>
      <c r="AE119" s="371"/>
      <c r="AF119" s="362" t="s">
        <v>421</v>
      </c>
      <c r="AG119" s="362"/>
      <c r="AH119" s="363" t="s">
        <v>422</v>
      </c>
      <c r="AI119" s="364"/>
      <c r="AJ119" s="360"/>
      <c r="AK119" s="361"/>
      <c r="AN119" s="9">
        <f>IF($O$3=1, $D$19, 0)</f>
        <v>0</v>
      </c>
      <c r="AR119" s="47"/>
      <c r="AU119" s="63"/>
    </row>
    <row r="120" spans="2:47" x14ac:dyDescent="0.3">
      <c r="AC120" s="370"/>
      <c r="AD120" s="362"/>
      <c r="AE120" s="371"/>
      <c r="AF120" s="230" t="s">
        <v>428</v>
      </c>
      <c r="AG120" s="230" t="s">
        <v>429</v>
      </c>
      <c r="AH120" s="230" t="s">
        <v>428</v>
      </c>
      <c r="AI120" s="230" t="s">
        <v>429</v>
      </c>
      <c r="AJ120" s="230" t="s">
        <v>141</v>
      </c>
      <c r="AK120" s="230" t="s">
        <v>70</v>
      </c>
      <c r="AN120" s="9"/>
      <c r="AP120" s="2" t="str">
        <f>$I$19</f>
        <v xml:space="preserve"> </v>
      </c>
      <c r="AR120" s="47"/>
      <c r="AU120" s="63"/>
    </row>
    <row r="121" spans="2:47" x14ac:dyDescent="0.3">
      <c r="B121" s="63"/>
      <c r="AC121" s="367" t="s">
        <v>434</v>
      </c>
      <c r="AD121" s="368"/>
      <c r="AE121" s="369"/>
      <c r="AF121" s="3" t="str">
        <f>E18</f>
        <v xml:space="preserve"> </v>
      </c>
      <c r="AG121" s="3" t="str">
        <f t="shared" ref="AG121:AK126" si="3">F18</f>
        <v xml:space="preserve"> </v>
      </c>
      <c r="AH121" s="3" t="str">
        <f t="shared" si="3"/>
        <v xml:space="preserve"> </v>
      </c>
      <c r="AI121" s="3" t="str">
        <f t="shared" si="3"/>
        <v xml:space="preserve"> </v>
      </c>
      <c r="AJ121" s="3" t="str">
        <f t="shared" si="3"/>
        <v xml:space="preserve"> </v>
      </c>
      <c r="AK121" s="3" t="str">
        <f t="shared" si="3"/>
        <v xml:space="preserve"> </v>
      </c>
      <c r="AN121" s="9"/>
      <c r="AR121" s="47"/>
      <c r="AU121" s="63"/>
    </row>
    <row r="122" spans="2:47" ht="15" customHeight="1" x14ac:dyDescent="0.3">
      <c r="B122" s="63"/>
      <c r="AC122" s="164">
        <v>5</v>
      </c>
      <c r="AD122" s="51">
        <f>C19</f>
        <v>245</v>
      </c>
      <c r="AE122" s="111">
        <f>D19</f>
        <v>0</v>
      </c>
      <c r="AF122" s="3" t="str">
        <f t="shared" ref="AF122:AF126" si="4">E19</f>
        <v xml:space="preserve"> </v>
      </c>
      <c r="AG122" s="3" t="str">
        <f t="shared" si="3"/>
        <v xml:space="preserve"> </v>
      </c>
      <c r="AH122" s="3" t="str">
        <f t="shared" si="3"/>
        <v xml:space="preserve"> </v>
      </c>
      <c r="AI122" s="3" t="str">
        <f t="shared" si="3"/>
        <v xml:space="preserve"> </v>
      </c>
      <c r="AJ122" s="3" t="str">
        <f t="shared" si="3"/>
        <v xml:space="preserve"> </v>
      </c>
      <c r="AK122" s="3" t="str">
        <f t="shared" si="3"/>
        <v xml:space="preserve"> </v>
      </c>
      <c r="AN122" s="9"/>
      <c r="AR122" s="47"/>
      <c r="AU122" s="63"/>
    </row>
    <row r="123" spans="2:47" ht="15" customHeight="1" x14ac:dyDescent="0.3">
      <c r="AC123" s="164">
        <v>4</v>
      </c>
      <c r="AD123" s="51">
        <f t="shared" ref="AD123:AE126" si="5">C20</f>
        <v>220</v>
      </c>
      <c r="AE123" s="111">
        <f t="shared" si="5"/>
        <v>0</v>
      </c>
      <c r="AF123" s="3" t="str">
        <f t="shared" si="4"/>
        <v xml:space="preserve"> </v>
      </c>
      <c r="AG123" s="3" t="str">
        <f t="shared" si="3"/>
        <v xml:space="preserve"> </v>
      </c>
      <c r="AH123" s="3" t="str">
        <f t="shared" si="3"/>
        <v xml:space="preserve"> </v>
      </c>
      <c r="AI123" s="3" t="str">
        <f t="shared" si="3"/>
        <v xml:space="preserve"> </v>
      </c>
      <c r="AJ123" s="3" t="str">
        <f t="shared" si="3"/>
        <v xml:space="preserve"> </v>
      </c>
      <c r="AK123" s="3" t="str">
        <f t="shared" si="3"/>
        <v xml:space="preserve"> </v>
      </c>
      <c r="AN123" s="9">
        <f>IF($O$3=1, $D$20, 0)</f>
        <v>0</v>
      </c>
      <c r="AR123" s="47"/>
      <c r="AU123" s="63"/>
    </row>
    <row r="124" spans="2:47" ht="15" customHeight="1" x14ac:dyDescent="0.3">
      <c r="AC124" s="164">
        <v>3</v>
      </c>
      <c r="AD124" s="51">
        <f t="shared" si="5"/>
        <v>312</v>
      </c>
      <c r="AE124" s="111">
        <f t="shared" si="5"/>
        <v>0</v>
      </c>
      <c r="AF124" s="3" t="str">
        <f t="shared" si="4"/>
        <v xml:space="preserve"> </v>
      </c>
      <c r="AG124" s="3" t="str">
        <f t="shared" si="3"/>
        <v xml:space="preserve"> </v>
      </c>
      <c r="AH124" s="3" t="str">
        <f t="shared" si="3"/>
        <v xml:space="preserve"> </v>
      </c>
      <c r="AI124" s="3" t="str">
        <f t="shared" si="3"/>
        <v xml:space="preserve"> </v>
      </c>
      <c r="AJ124" s="3" t="str">
        <f t="shared" si="3"/>
        <v xml:space="preserve"> </v>
      </c>
      <c r="AK124" s="3" t="str">
        <f t="shared" si="3"/>
        <v xml:space="preserve"> </v>
      </c>
      <c r="AN124" s="9"/>
      <c r="AR124" s="47"/>
      <c r="AU124" s="63"/>
    </row>
    <row r="125" spans="2:47" ht="15" customHeight="1" x14ac:dyDescent="0.3">
      <c r="AC125" s="164">
        <v>2</v>
      </c>
      <c r="AD125" s="51">
        <f t="shared" si="5"/>
        <v>260</v>
      </c>
      <c r="AE125" s="111">
        <f t="shared" si="5"/>
        <v>0</v>
      </c>
      <c r="AF125" s="3" t="str">
        <f t="shared" si="4"/>
        <v xml:space="preserve"> </v>
      </c>
      <c r="AG125" s="3" t="str">
        <f t="shared" si="3"/>
        <v xml:space="preserve"> </v>
      </c>
      <c r="AH125" s="3" t="str">
        <f t="shared" si="3"/>
        <v xml:space="preserve"> </v>
      </c>
      <c r="AI125" s="3" t="str">
        <f t="shared" si="3"/>
        <v xml:space="preserve"> </v>
      </c>
      <c r="AJ125" s="3" t="str">
        <f t="shared" si="3"/>
        <v xml:space="preserve"> </v>
      </c>
      <c r="AK125" s="3" t="str">
        <f t="shared" si="3"/>
        <v xml:space="preserve"> </v>
      </c>
      <c r="AN125" s="9"/>
      <c r="AP125" s="2" t="str">
        <f>$I$20</f>
        <v xml:space="preserve"> </v>
      </c>
      <c r="AR125" s="47"/>
      <c r="AU125" s="63"/>
    </row>
    <row r="126" spans="2:47" ht="15" customHeight="1" x14ac:dyDescent="0.3">
      <c r="AC126" s="164" t="s">
        <v>267</v>
      </c>
      <c r="AD126" s="51">
        <f t="shared" si="5"/>
        <v>359</v>
      </c>
      <c r="AE126" s="111">
        <f t="shared" si="5"/>
        <v>0</v>
      </c>
      <c r="AF126" s="3" t="str">
        <f t="shared" si="4"/>
        <v xml:space="preserve"> </v>
      </c>
      <c r="AG126" s="3" t="str">
        <f t="shared" si="3"/>
        <v xml:space="preserve"> </v>
      </c>
      <c r="AH126" s="3" t="str">
        <f t="shared" si="3"/>
        <v xml:space="preserve"> </v>
      </c>
      <c r="AI126" s="3" t="str">
        <f t="shared" si="3"/>
        <v xml:space="preserve"> </v>
      </c>
      <c r="AJ126" s="3" t="str">
        <f t="shared" si="3"/>
        <v xml:space="preserve"> </v>
      </c>
      <c r="AK126" s="3" t="str">
        <f t="shared" si="3"/>
        <v xml:space="preserve"> </v>
      </c>
      <c r="AN126" s="9"/>
      <c r="AR126" s="47">
        <f>$H$52</f>
        <v>0</v>
      </c>
      <c r="AU126" s="63">
        <f>$L$52</f>
        <v>0</v>
      </c>
    </row>
    <row r="127" spans="2:47" ht="15" customHeight="1" x14ac:dyDescent="0.3">
      <c r="AN127" s="9"/>
      <c r="AR127" s="47"/>
      <c r="AU127" s="63"/>
    </row>
    <row r="128" spans="2:47" ht="15" customHeight="1" x14ac:dyDescent="0.35">
      <c r="AC128" s="99"/>
      <c r="AN128" s="9">
        <f>IF($O$3=1, $D$21, 0)</f>
        <v>0</v>
      </c>
      <c r="AR128" s="47"/>
      <c r="AU128" s="63"/>
    </row>
    <row r="129" spans="29:47" ht="15" customHeight="1" x14ac:dyDescent="0.35">
      <c r="AC129" s="98"/>
      <c r="AD129" s="98"/>
      <c r="AE129" s="98"/>
      <c r="AF129" s="98"/>
      <c r="AG129" s="98"/>
      <c r="AH129" s="98"/>
      <c r="AI129" s="185"/>
      <c r="AJ129" s="98"/>
      <c r="AK129" s="98"/>
      <c r="AL129" s="98"/>
      <c r="AR129" s="47"/>
      <c r="AU129" s="63"/>
    </row>
    <row r="130" spans="29:47" ht="15" customHeight="1" x14ac:dyDescent="0.3">
      <c r="AI130" s="63"/>
      <c r="AN130" s="9"/>
      <c r="AR130" s="47"/>
      <c r="AU130" s="63"/>
    </row>
    <row r="131" spans="29:47" ht="15" customHeight="1" x14ac:dyDescent="0.3">
      <c r="AI131" s="63"/>
      <c r="AN131" s="9"/>
      <c r="AP131" s="2" t="str">
        <f>$I$21</f>
        <v xml:space="preserve"> </v>
      </c>
      <c r="AR131" s="47"/>
      <c r="AU131" s="63"/>
    </row>
    <row r="132" spans="29:47" x14ac:dyDescent="0.3">
      <c r="AI132" s="63"/>
      <c r="AN132" s="9"/>
      <c r="AR132" s="47"/>
      <c r="AU132" s="63"/>
    </row>
    <row r="133" spans="29:47" x14ac:dyDescent="0.3">
      <c r="AI133" s="63"/>
      <c r="AN133" s="9"/>
      <c r="AR133" s="47"/>
      <c r="AU133" s="63"/>
    </row>
    <row r="134" spans="29:47" x14ac:dyDescent="0.3">
      <c r="AI134" s="63"/>
      <c r="AN134" s="9">
        <f>IF($O$3=1, $D$22, 0)</f>
        <v>0</v>
      </c>
      <c r="AR134" s="47"/>
      <c r="AU134" s="63"/>
    </row>
    <row r="135" spans="29:47" x14ac:dyDescent="0.3">
      <c r="AI135" s="63"/>
      <c r="AN135" s="9"/>
      <c r="AR135" s="47"/>
      <c r="AU135" s="63"/>
    </row>
    <row r="136" spans="29:47" x14ac:dyDescent="0.3">
      <c r="AI136" s="63"/>
      <c r="AN136" s="9"/>
      <c r="AP136" s="2" t="str">
        <f>$I$22</f>
        <v xml:space="preserve"> </v>
      </c>
      <c r="AR136" s="47"/>
      <c r="AU136" s="63"/>
    </row>
    <row r="137" spans="29:47" x14ac:dyDescent="0.3">
      <c r="AI137" s="63"/>
      <c r="AN137" s="9"/>
      <c r="AR137" s="47"/>
      <c r="AU137" s="63"/>
    </row>
    <row r="138" spans="29:47" x14ac:dyDescent="0.3">
      <c r="AI138" s="63"/>
      <c r="AN138" s="9"/>
      <c r="AR138" s="47">
        <f>$H$64</f>
        <v>0</v>
      </c>
      <c r="AU138" s="63">
        <f>$L$64</f>
        <v>0</v>
      </c>
    </row>
    <row r="139" spans="29:47" x14ac:dyDescent="0.3">
      <c r="AI139" s="63"/>
      <c r="AN139" s="9">
        <f>IF($O$3=1, $D$23, 0)</f>
        <v>0</v>
      </c>
      <c r="AR139" s="47"/>
      <c r="AU139" s="63"/>
    </row>
    <row r="140" spans="29:47" x14ac:dyDescent="0.3">
      <c r="AI140" s="63"/>
      <c r="AR140" s="47"/>
      <c r="AU140" s="63"/>
    </row>
    <row r="141" spans="29:47" x14ac:dyDescent="0.3">
      <c r="AI141" s="63"/>
      <c r="AN141" s="9"/>
      <c r="AR141" s="47"/>
      <c r="AU141" s="63"/>
    </row>
    <row r="142" spans="29:47" x14ac:dyDescent="0.3">
      <c r="AI142" s="63"/>
      <c r="AN142" s="9"/>
      <c r="AP142" s="2" t="str">
        <f>$I$23</f>
        <v xml:space="preserve"> </v>
      </c>
      <c r="AR142" s="47"/>
      <c r="AU142" s="63"/>
    </row>
    <row r="143" spans="29:47" x14ac:dyDescent="0.3">
      <c r="AI143" s="63"/>
    </row>
    <row r="144" spans="29:47" ht="9" customHeight="1" x14ac:dyDescent="0.3">
      <c r="AI144" s="63"/>
    </row>
    <row r="145" spans="35:46" x14ac:dyDescent="0.3">
      <c r="AI145" s="63"/>
      <c r="AO145" s="2" t="s">
        <v>477</v>
      </c>
    </row>
    <row r="146" spans="35:46" x14ac:dyDescent="0.3">
      <c r="AI146" s="63"/>
      <c r="AO146" s="2" t="s">
        <v>478</v>
      </c>
    </row>
    <row r="148" spans="35:46" x14ac:dyDescent="0.3">
      <c r="AN148" s="2" t="s">
        <v>437</v>
      </c>
      <c r="AO148" s="357" t="str">
        <f>"dno: "&amp;$R$29&amp;" x "&amp;$S$29&amp;" mm"</f>
        <v>dno: 0 x 0 mm</v>
      </c>
      <c r="AP148" s="357" t="str">
        <f t="shared" ref="AP148" si="6">"dno: "&amp;$R$29&amp;" x "&amp;$S$29&amp;" mm "</f>
        <v xml:space="preserve">dno: 0 x 0 mm </v>
      </c>
      <c r="AQ148" s="357" t="str">
        <f>"záda M: "&amp;$R$30&amp;" x  84 "</f>
        <v xml:space="preserve">záda M: 0 x  84 </v>
      </c>
      <c r="AR148" s="357" t="str">
        <f t="shared" ref="AR148" si="7">"záda M: "&amp;$R$30&amp;" x  84 mm "</f>
        <v xml:space="preserve">záda M: 0 x  84 mm </v>
      </c>
      <c r="AS148" s="357" t="str">
        <f>"záda D: "&amp;$R$30&amp;" x 199"</f>
        <v>záda D: 0 x 199</v>
      </c>
      <c r="AT148" s="357" t="str">
        <f t="shared" ref="AT148" si="8">"záda D: "&amp;$R$30&amp;" x 199 mm "</f>
        <v xml:space="preserve">záda D: 0 x 199 mm </v>
      </c>
    </row>
    <row r="149" spans="35:46" x14ac:dyDescent="0.3">
      <c r="AN149" s="2" t="s">
        <v>479</v>
      </c>
      <c r="AP149" s="357" t="str">
        <f>Z55</f>
        <v xml:space="preserve">čelní profil: 0 mm </v>
      </c>
      <c r="AQ149" s="357"/>
      <c r="AR149" s="357" t="str">
        <f>Z54</f>
        <v xml:space="preserve">přední reling: 0 mm </v>
      </c>
      <c r="AS149" s="357"/>
      <c r="AT149" s="357"/>
    </row>
  </sheetData>
  <sheetProtection algorithmName="SHA-512" hashValue="+r0LOqErZlLLHVzcmlEHhAV8DTlMRok1YqnH2tKBxztnd0Y97FO/HfAkhvCToslyMaYmnYyELgIIza7mKzw+BA==" saltValue="daqwwdk5no1UoTvwNxctpw==" spinCount="100000" sheet="1" objects="1" scenarios="1"/>
  <mergeCells count="42">
    <mergeCell ref="AA71:AB71"/>
    <mergeCell ref="A36:A77"/>
    <mergeCell ref="E10:J10"/>
    <mergeCell ref="E11:J11"/>
    <mergeCell ref="B15:B17"/>
    <mergeCell ref="C15:C17"/>
    <mergeCell ref="D15:D17"/>
    <mergeCell ref="E15:H15"/>
    <mergeCell ref="I15:J16"/>
    <mergeCell ref="E16:F16"/>
    <mergeCell ref="G16:H16"/>
    <mergeCell ref="B18:D18"/>
    <mergeCell ref="E12:J12"/>
    <mergeCell ref="Z16:Z17"/>
    <mergeCell ref="E9:J9"/>
    <mergeCell ref="E4:J4"/>
    <mergeCell ref="E5:J5"/>
    <mergeCell ref="E6:J6"/>
    <mergeCell ref="E7:J7"/>
    <mergeCell ref="E8:J8"/>
    <mergeCell ref="AI111:AL111"/>
    <mergeCell ref="AD112:AG112"/>
    <mergeCell ref="AI112:AL112"/>
    <mergeCell ref="AD113:AG113"/>
    <mergeCell ref="AI113:AL113"/>
    <mergeCell ref="AD114:AG114"/>
    <mergeCell ref="AI114:AL114"/>
    <mergeCell ref="AD115:AG115"/>
    <mergeCell ref="AI115:AL115"/>
    <mergeCell ref="AC118:AC120"/>
    <mergeCell ref="AD118:AD120"/>
    <mergeCell ref="AE118:AE120"/>
    <mergeCell ref="AF118:AI118"/>
    <mergeCell ref="AJ118:AK119"/>
    <mergeCell ref="AF119:AG119"/>
    <mergeCell ref="AH119:AI119"/>
    <mergeCell ref="AC121:AE121"/>
    <mergeCell ref="AO148:AP148"/>
    <mergeCell ref="AQ148:AR148"/>
    <mergeCell ref="AS148:AT148"/>
    <mergeCell ref="AP149:AQ149"/>
    <mergeCell ref="AR149:AT149"/>
  </mergeCells>
  <hyperlinks>
    <hyperlink ref="AA1" location="STR!A1" tooltip="Úvodní strana SPACE TOWER" display="► Úvod potr.skř." xr:uid="{00000000-0004-0000-0F00-000001000000}"/>
    <hyperlink ref="AA71:AB71" location="ST_LBX!A1" tooltip="Zpět na plánování" display="Zpět" xr:uid="{00000000-0004-0000-0F00-000002000000}"/>
  </hyperlinks>
  <pageMargins left="0.43307086614173229" right="0.23622047244094491" top="0.35433070866141736" bottom="0.55118110236220474" header="0.31496062992125984" footer="0.31496062992125984"/>
  <pageSetup paperSize="9" scale="95" orientation="landscape" verticalDpi="599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8403B49A-A4A0-497F-B871-E1FA4399C359}">
            <x14:iconSet showValue="0" custom="1">
              <x14:cfvo type="percent">
                <xm:f>0</xm:f>
              </x14:cfvo>
              <x14:cfvo type="num">
                <xm:f>1</xm:f>
              </x14:cfvo>
              <x14:cfvo type="num">
                <xm:f>6</xm:f>
              </x14:cfvo>
              <x14:cfIcon iconSet="NoIcons" iconId="0"/>
              <x14:cfIcon iconSet="3Symbols2" iconId="2"/>
              <x14:cfIcon iconSet="3Symbols2" iconId="0"/>
            </x14:iconSet>
          </x14:cfRule>
          <xm:sqref>C12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B1:F13"/>
  <sheetViews>
    <sheetView showGridLines="0" showRowColHeaders="0" zoomScaleNormal="100" workbookViewId="0">
      <selection activeCell="E2" sqref="E2"/>
    </sheetView>
  </sheetViews>
  <sheetFormatPr defaultRowHeight="14" x14ac:dyDescent="0.3"/>
  <cols>
    <col min="1" max="1" width="4.25" customWidth="1"/>
    <col min="2" max="7" width="19.5" customWidth="1"/>
  </cols>
  <sheetData>
    <row r="1" spans="2:6" ht="6" customHeight="1" x14ac:dyDescent="0.3"/>
    <row r="2" spans="2:6" ht="24" customHeight="1" x14ac:dyDescent="0.5">
      <c r="B2" s="27" t="s">
        <v>16</v>
      </c>
      <c r="E2" s="49" t="s">
        <v>17</v>
      </c>
      <c r="F2" s="224"/>
    </row>
    <row r="3" spans="2:6" ht="24" customHeight="1" x14ac:dyDescent="0.3">
      <c r="B3" s="302" t="s">
        <v>18</v>
      </c>
      <c r="C3" s="302"/>
      <c r="D3" s="302"/>
    </row>
    <row r="4" spans="2:6" ht="109.5" customHeight="1" x14ac:dyDescent="0.3"/>
    <row r="5" spans="2:6" ht="24" customHeight="1" x14ac:dyDescent="0.3">
      <c r="B5" s="28" t="s">
        <v>614</v>
      </c>
      <c r="C5" s="16" t="s">
        <v>615</v>
      </c>
      <c r="D5" s="16" t="s">
        <v>616</v>
      </c>
    </row>
    <row r="7" spans="2:6" ht="109.5" customHeight="1" x14ac:dyDescent="0.3"/>
    <row r="8" spans="2:6" ht="24" customHeight="1" x14ac:dyDescent="0.3">
      <c r="B8" s="28" t="s">
        <v>19</v>
      </c>
      <c r="C8" s="16" t="s">
        <v>20</v>
      </c>
      <c r="D8" s="16" t="s">
        <v>21</v>
      </c>
      <c r="E8" s="16" t="s">
        <v>595</v>
      </c>
    </row>
    <row r="9" spans="2:6" x14ac:dyDescent="0.3">
      <c r="B9" s="20"/>
      <c r="C9" s="20"/>
      <c r="D9" s="20"/>
    </row>
    <row r="11" spans="2:6" ht="44.25" customHeight="1" x14ac:dyDescent="0.3">
      <c r="B11" s="301" t="s">
        <v>7</v>
      </c>
      <c r="C11" s="301"/>
      <c r="D11" s="301"/>
    </row>
    <row r="13" spans="2:6" x14ac:dyDescent="0.3">
      <c r="B13" t="s">
        <v>8</v>
      </c>
    </row>
  </sheetData>
  <sheetProtection algorithmName="SHA-512" hashValue="IO9EiKxIARc34tPcebtvnUEJShQ/bVid6fROJSAZbEfI1t5Bo8RccB2jjwa+6JpX0Nv6SL2LmZlJsukIhoHVCQ==" saltValue="8Gj6evQ6i3Fp8BPvP6o8bA==" spinCount="100000" sheet="1" objects="1" scenarios="1"/>
  <mergeCells count="2">
    <mergeCell ref="B3:D3"/>
    <mergeCell ref="B11:D11"/>
  </mergeCells>
  <hyperlinks>
    <hyperlink ref="B8" location="HK!A1" tooltip=" " display="AVENTOS HK" xr:uid="{00000000-0004-0000-0100-000000000000}"/>
    <hyperlink ref="C8" location="'HK-S'!A1" tooltip=" " display="AVENTOS HK-S" xr:uid="{00000000-0004-0000-0100-000001000000}"/>
    <hyperlink ref="D8" location="'HK-XS'!A1" tooltip=" " display="AVENTOS HK-XS" xr:uid="{00000000-0004-0000-0100-000002000000}"/>
    <hyperlink ref="B5" location="HF!A1" tooltip=" " display="AVENTOS HF" xr:uid="{00000000-0004-0000-0100-000003000000}"/>
    <hyperlink ref="C5" location="HS!A1" tooltip=" " display="AVENTOS HS" xr:uid="{00000000-0004-0000-0100-000004000000}"/>
    <hyperlink ref="D5" location="HL!A1" tooltip=" " display="AVENTOS HL" xr:uid="{00000000-0004-0000-0100-000005000000}"/>
    <hyperlink ref="E2" location="Uvod!A1" tooltip=" " display="Úvodní strana" xr:uid="{00000000-0004-0000-0100-000006000000}"/>
    <hyperlink ref="E8" location="HKi!A1" tooltip=" " display="AVENTOS Hki" xr:uid="{043A69E2-F76A-4E21-9D76-5244C8421FF3}"/>
  </hyperlinks>
  <pageMargins left="0.51181102362204722" right="0.51181102362204722" top="0.78740157480314965" bottom="0.78740157480314965" header="0.31496062992125984" footer="0.31496062992125984"/>
  <pageSetup paperSize="9" orientation="portrait" verticalDpi="599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E6625-DAFC-4582-84AA-F0FDD5648ADA}">
  <dimension ref="A1"/>
  <sheetViews>
    <sheetView workbookViewId="0">
      <selection activeCell="B1" sqref="B1"/>
    </sheetView>
  </sheetViews>
  <sheetFormatPr defaultRowHeight="14" x14ac:dyDescent="0.3"/>
  <cols>
    <col min="1" max="1" width="2.58203125" customWidth="1"/>
    <col min="2" max="2" width="42.5" customWidth="1"/>
    <col min="3" max="3" width="51.83203125" customWidth="1"/>
  </cols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AT152"/>
  <sheetViews>
    <sheetView showGridLines="0" showRowColHeaders="0" zoomScaleNormal="100" workbookViewId="0">
      <selection activeCell="AA13" sqref="AA13"/>
    </sheetView>
  </sheetViews>
  <sheetFormatPr defaultColWidth="8.9140625" defaultRowHeight="14" x14ac:dyDescent="0.3"/>
  <cols>
    <col min="1" max="1" width="1" style="2" customWidth="1"/>
    <col min="2" max="2" width="3.08203125" style="2" customWidth="1"/>
    <col min="3" max="3" width="8.9140625" style="2" customWidth="1"/>
    <col min="4" max="6" width="8.9140625" style="2"/>
    <col min="7" max="7" width="8.9140625" style="2" customWidth="1"/>
    <col min="8" max="8" width="8.9140625" style="2"/>
    <col min="9" max="9" width="0.75" style="2" customWidth="1"/>
    <col min="10" max="10" width="6.5" style="2" customWidth="1"/>
    <col min="11" max="11" width="11" style="2" hidden="1" customWidth="1"/>
    <col min="12" max="20" width="8.9140625" style="2" hidden="1" customWidth="1"/>
    <col min="21" max="21" width="17.75" style="2" customWidth="1"/>
    <col min="22" max="22" width="18.4140625" style="2" customWidth="1"/>
    <col min="23" max="23" width="8.9140625" style="2" customWidth="1"/>
    <col min="24" max="24" width="10.08203125" style="2" customWidth="1"/>
    <col min="25" max="25" width="1.25" style="2" customWidth="1"/>
    <col min="26" max="26" width="8.9140625" style="2"/>
    <col min="27" max="27" width="19.08203125" style="2" customWidth="1"/>
    <col min="28" max="28" width="8.9140625" style="2"/>
    <col min="29" max="37" width="6.58203125" style="2" customWidth="1"/>
    <col min="38" max="38" width="1.08203125" style="2" customWidth="1"/>
    <col min="39" max="39" width="6.58203125" style="2" customWidth="1"/>
    <col min="40" max="40" width="12.25" style="2" customWidth="1"/>
    <col min="41" max="41" width="8.9140625" style="2"/>
    <col min="42" max="42" width="6.83203125" style="2" customWidth="1"/>
    <col min="43" max="43" width="9.4140625" style="2" customWidth="1"/>
    <col min="44" max="44" width="5.9140625" style="2" customWidth="1"/>
    <col min="45" max="45" width="9.4140625" style="2" customWidth="1"/>
    <col min="46" max="46" width="8.25" style="2" customWidth="1"/>
    <col min="47" max="47" width="4.5" style="2" customWidth="1"/>
    <col min="48" max="48" width="8.9140625" style="2" customWidth="1"/>
    <col min="49" max="16384" width="8.9140625" style="2"/>
  </cols>
  <sheetData>
    <row r="1" spans="2:27" ht="25" x14ac:dyDescent="0.5">
      <c r="B1" s="1" t="s">
        <v>596</v>
      </c>
      <c r="AA1" s="49" t="s">
        <v>22</v>
      </c>
    </row>
    <row r="2" spans="2:27" ht="18" customHeight="1" x14ac:dyDescent="0.4">
      <c r="B2" s="22"/>
      <c r="U2" s="133"/>
    </row>
    <row r="3" spans="2:27" ht="18" customHeight="1" x14ac:dyDescent="0.3">
      <c r="B3" s="6"/>
      <c r="C3" s="17" t="s">
        <v>23</v>
      </c>
      <c r="D3" s="17"/>
      <c r="E3" s="17"/>
      <c r="F3" s="17"/>
      <c r="G3" s="17"/>
      <c r="H3" s="17"/>
      <c r="K3" s="9" t="s">
        <v>24</v>
      </c>
      <c r="L3" s="30">
        <f>IF(AND(L4=1, L5=1, L6=1, L7=1, L8=1, L9=1, L10=1, L11=1),1,2)</f>
        <v>2</v>
      </c>
      <c r="M3" s="31" t="s">
        <v>25</v>
      </c>
    </row>
    <row r="4" spans="2:27" ht="16.5" customHeight="1" x14ac:dyDescent="0.3">
      <c r="B4" s="6"/>
      <c r="C4" s="78"/>
      <c r="D4" s="304" t="s">
        <v>26</v>
      </c>
      <c r="E4" s="304"/>
      <c r="F4" s="304"/>
      <c r="G4" s="304"/>
      <c r="H4" s="304"/>
      <c r="J4" s="12" t="str">
        <f>IF(C4&lt;480, "Minimálně 480 mm!", IF(C4&gt;1200, "Maximálně 1200 mm!", " "))</f>
        <v>Minimálně 480 mm!</v>
      </c>
      <c r="L4" s="63">
        <f>IF(OR(C4&lt;480, C4&gt;1200), 2, 1)</f>
        <v>2</v>
      </c>
      <c r="M4" s="31" t="s">
        <v>27</v>
      </c>
    </row>
    <row r="5" spans="2:27" ht="16.5" customHeight="1" x14ac:dyDescent="0.3">
      <c r="B5" s="6"/>
      <c r="C5" s="78"/>
      <c r="D5" s="304" t="s">
        <v>28</v>
      </c>
      <c r="E5" s="304"/>
      <c r="F5" s="304"/>
      <c r="G5" s="304"/>
      <c r="H5" s="304"/>
      <c r="J5" s="12" t="str">
        <f>IF(C5&lt;200, "Minimálně 200 mm!", " ")</f>
        <v>Minimálně 200 mm!</v>
      </c>
      <c r="L5" s="63">
        <f>IF(C5&lt;200, 2, 1)</f>
        <v>2</v>
      </c>
      <c r="M5" s="167" t="s">
        <v>29</v>
      </c>
      <c r="N5" s="152">
        <f>IF(OR($O$15&lt;$N$44, $O$15&gt;$O$47), 2, 1)</f>
        <v>2</v>
      </c>
    </row>
    <row r="6" spans="2:27" ht="16.5" customHeight="1" x14ac:dyDescent="0.3">
      <c r="B6" s="6"/>
      <c r="C6" s="78"/>
      <c r="D6" s="304" t="s">
        <v>30</v>
      </c>
      <c r="E6" s="304"/>
      <c r="F6" s="304"/>
      <c r="G6" s="304"/>
      <c r="H6" s="304"/>
      <c r="J6" s="12" t="str">
        <f>IF(C6&lt;16,"Minimálně 16 mm!", IF(C6&gt;19, "Maximálně 19 mm!", " "))</f>
        <v>Minimálně 16 mm!</v>
      </c>
      <c r="L6" s="63">
        <f>IF(OR(C6&lt;16, C6&gt;19), 2, 1)</f>
        <v>2</v>
      </c>
      <c r="W6" s="46"/>
      <c r="X6" s="46"/>
    </row>
    <row r="7" spans="2:27" ht="16.5" customHeight="1" x14ac:dyDescent="0.3">
      <c r="B7" s="6"/>
      <c r="C7" s="78"/>
      <c r="D7" s="304" t="s">
        <v>31</v>
      </c>
      <c r="E7" s="304"/>
      <c r="F7" s="304"/>
      <c r="G7" s="304"/>
      <c r="H7" s="304"/>
      <c r="J7" s="12" t="str">
        <f>IF(C7&lt;14,"Minimálně 16 mm!"," ")</f>
        <v>Minimálně 16 mm!</v>
      </c>
      <c r="L7" s="63">
        <f>IF(C7&lt;16, 2, 1)</f>
        <v>2</v>
      </c>
      <c r="W7" s="224"/>
      <c r="X7" s="224"/>
    </row>
    <row r="8" spans="2:27" ht="16.5" customHeight="1" x14ac:dyDescent="0.3">
      <c r="B8" s="6"/>
      <c r="C8" s="78"/>
      <c r="D8" s="304" t="s">
        <v>32</v>
      </c>
      <c r="E8" s="304"/>
      <c r="F8" s="304"/>
      <c r="G8" s="304"/>
      <c r="H8" s="304"/>
      <c r="J8" s="12" t="str">
        <f>IF($C$6&gt;15.999, IF(C8&lt;&gt;($C$6-16), "Musí být "&amp;($C$6-16)&amp;" mm! ***", " "), " ")</f>
        <v xml:space="preserve"> </v>
      </c>
      <c r="L8" s="63">
        <f>IF(C8=($C$6-16), 1, 2)</f>
        <v>2</v>
      </c>
      <c r="W8" s="224"/>
      <c r="X8" s="224"/>
    </row>
    <row r="9" spans="2:27" ht="16.5" customHeight="1" x14ac:dyDescent="0.3">
      <c r="B9" s="6"/>
      <c r="C9" s="78"/>
      <c r="D9" s="304" t="s">
        <v>33</v>
      </c>
      <c r="E9" s="304"/>
      <c r="F9" s="304"/>
      <c r="G9" s="304"/>
      <c r="H9" s="304"/>
      <c r="J9" s="12" t="str">
        <f>IF(C9&lt;1.5,"Minimálně 1,5 mm!"," ")</f>
        <v>Minimálně 1,5 mm!</v>
      </c>
      <c r="L9" s="63">
        <f>IF(C9&lt;1.5, 2, 1)</f>
        <v>2</v>
      </c>
      <c r="W9" s="224"/>
      <c r="X9" s="224"/>
    </row>
    <row r="10" spans="2:27" ht="16.5" customHeight="1" x14ac:dyDescent="0.3">
      <c r="B10" s="6"/>
      <c r="C10" s="78"/>
      <c r="D10" s="304" t="s">
        <v>34</v>
      </c>
      <c r="E10" s="304"/>
      <c r="F10" s="304"/>
      <c r="G10" s="304"/>
      <c r="H10" s="304"/>
      <c r="J10" s="12" t="str">
        <f>IF(C10&gt;C6,"Maximálně "&amp;C6&amp;" mm!"," ")</f>
        <v xml:space="preserve"> </v>
      </c>
      <c r="L10" s="63">
        <f>IF(C10&gt;C6, 2, 1)</f>
        <v>1</v>
      </c>
      <c r="W10" s="224"/>
      <c r="X10" s="224"/>
    </row>
    <row r="11" spans="2:27" ht="16.5" customHeight="1" x14ac:dyDescent="0.3">
      <c r="B11" s="6"/>
      <c r="C11" s="78"/>
      <c r="D11" s="304" t="s">
        <v>35</v>
      </c>
      <c r="E11" s="304"/>
      <c r="F11" s="304"/>
      <c r="G11" s="304"/>
      <c r="H11" s="304"/>
      <c r="J11" s="12" t="str">
        <f>IF(C11&gt;C7,"Maximálně "&amp;C7&amp;" mm!"," ")</f>
        <v xml:space="preserve"> </v>
      </c>
      <c r="L11" s="63">
        <f>IF(C11&gt;C7, 2, 1)</f>
        <v>1</v>
      </c>
      <c r="W11" s="224"/>
      <c r="X11" s="224"/>
    </row>
    <row r="12" spans="2:27" ht="17.25" customHeight="1" x14ac:dyDescent="0.3">
      <c r="C12" s="12" t="str">
        <f>IF(L3=2, "Vyplňte správně všechny parametry!"," ")</f>
        <v>Vyplňte správně všechny parametry!</v>
      </c>
      <c r="L12" s="63"/>
      <c r="M12" s="63"/>
      <c r="N12" s="63"/>
      <c r="O12" s="63"/>
      <c r="P12" s="63"/>
      <c r="Q12" s="63"/>
    </row>
    <row r="13" spans="2:27" ht="25" customHeight="1" x14ac:dyDescent="0.3">
      <c r="C13" s="2" t="s">
        <v>36</v>
      </c>
      <c r="Q13" s="63"/>
    </row>
    <row r="14" spans="2:27" ht="16.5" customHeight="1" x14ac:dyDescent="0.3">
      <c r="B14" s="26"/>
      <c r="C14" s="78"/>
      <c r="D14" s="304" t="s">
        <v>37</v>
      </c>
      <c r="E14" s="304"/>
      <c r="F14" s="304"/>
      <c r="G14" s="304"/>
      <c r="H14" s="304"/>
      <c r="M14" s="9" t="s">
        <v>38</v>
      </c>
      <c r="O14" s="9" t="s">
        <v>39</v>
      </c>
    </row>
    <row r="15" spans="2:27" ht="16.5" customHeight="1" x14ac:dyDescent="0.3">
      <c r="B15" s="26"/>
      <c r="C15" s="78"/>
      <c r="D15" s="304" t="s">
        <v>40</v>
      </c>
      <c r="E15" s="304"/>
      <c r="F15" s="304"/>
      <c r="G15" s="304"/>
      <c r="H15" s="304"/>
      <c r="M15" s="2">
        <f>(C4*C5*C14/1000000000*C15)+C16</f>
        <v>0</v>
      </c>
      <c r="O15" s="112">
        <f>IF($L$3=1, $C$4*$M$15, 0)</f>
        <v>0</v>
      </c>
      <c r="U15" s="261" t="s">
        <v>617</v>
      </c>
      <c r="X15" s="9" t="s">
        <v>603</v>
      </c>
    </row>
    <row r="16" spans="2:27" ht="16.5" customHeight="1" x14ac:dyDescent="0.3">
      <c r="B16" s="26"/>
      <c r="C16" s="78"/>
      <c r="D16" s="304" t="s">
        <v>41</v>
      </c>
      <c r="E16" s="304"/>
      <c r="F16" s="304"/>
      <c r="G16" s="304"/>
      <c r="H16" s="304"/>
      <c r="O16" s="112"/>
      <c r="X16" s="249">
        <f>$F$36</f>
        <v>0</v>
      </c>
    </row>
    <row r="17" spans="1:24" ht="16.5" customHeight="1" x14ac:dyDescent="0.3">
      <c r="B17" s="26"/>
      <c r="C17" s="90">
        <f>IF(L3=1, M15, 0)</f>
        <v>0</v>
      </c>
      <c r="D17" s="304" t="s">
        <v>42</v>
      </c>
      <c r="E17" s="304"/>
      <c r="F17" s="304"/>
      <c r="G17" s="304"/>
      <c r="H17" s="304"/>
      <c r="J17" s="18" t="str">
        <f>IF($O$15&gt;38600, "Příliš velká váha nebo výška. Naplánujte výklop v E-SERVICES", " ")</f>
        <v xml:space="preserve"> </v>
      </c>
      <c r="U17" s="9">
        <f>$C$36</f>
        <v>0</v>
      </c>
    </row>
    <row r="18" spans="1:24" ht="19" customHeight="1" x14ac:dyDescent="0.3">
      <c r="B18" s="25"/>
      <c r="C18" s="298" t="str">
        <f>IF(AND($L$3=1,$N$5=2, $C$17&gt;0),"Ukazatel výkonnosti LF je mimo rozsah. Upravte rozměry korpusu nebo hmotnost čela.", " ")</f>
        <v xml:space="preserve"> </v>
      </c>
      <c r="Q18" s="9"/>
      <c r="R18" s="23"/>
      <c r="S18" s="24"/>
      <c r="T18" s="9"/>
      <c r="U18" s="2">
        <f>$U$17+64</f>
        <v>64</v>
      </c>
      <c r="W18" s="63">
        <f>$H$36</f>
        <v>0</v>
      </c>
    </row>
    <row r="19" spans="1:24" ht="15.75" customHeight="1" x14ac:dyDescent="0.3">
      <c r="C19" s="2" t="s">
        <v>44</v>
      </c>
      <c r="L19" s="149" t="s">
        <v>46</v>
      </c>
      <c r="M19" s="149"/>
      <c r="N19" s="149" t="s">
        <v>47</v>
      </c>
      <c r="O19" s="149"/>
    </row>
    <row r="20" spans="1:24" ht="14.25" customHeight="1" x14ac:dyDescent="0.3">
      <c r="C20" s="2" t="s">
        <v>45</v>
      </c>
      <c r="L20" s="86"/>
      <c r="M20" s="87"/>
      <c r="N20" s="86" t="s">
        <v>49</v>
      </c>
      <c r="O20" s="87">
        <f>IF(AND($N$24&gt;$N53, $N$24&lt;=$O53), SUM(M21:M22), 0)</f>
        <v>0</v>
      </c>
      <c r="W20" s="15">
        <f>$H$36</f>
        <v>0</v>
      </c>
    </row>
    <row r="21" spans="1:24" ht="14.25" customHeight="1" x14ac:dyDescent="0.3">
      <c r="C21" s="2" t="s">
        <v>48</v>
      </c>
      <c r="L21" s="86" t="s">
        <v>51</v>
      </c>
      <c r="M21" s="87">
        <f>IF(AND($O$15&gt;N44,$O$15&lt;O44),1,0)</f>
        <v>0</v>
      </c>
      <c r="N21" s="86" t="s">
        <v>52</v>
      </c>
      <c r="O21" s="87">
        <f>IF(AND($N$24&gt;$N54, $N$24&lt;=$O54), SUM(M21:M22), 0)</f>
        <v>0</v>
      </c>
      <c r="T21" s="11"/>
    </row>
    <row r="22" spans="1:24" ht="14.25" customHeight="1" x14ac:dyDescent="0.3">
      <c r="C22" s="2" t="s">
        <v>50</v>
      </c>
      <c r="L22" s="86" t="s">
        <v>54</v>
      </c>
      <c r="M22" s="87">
        <f>IF(AND($O$15&gt;$N$45,$O$15&lt;=$O$45),1, IF(AND($O$15&gt;$N$46, $O$15&lt;=$O$47), 2, 0))</f>
        <v>0</v>
      </c>
      <c r="N22" s="86" t="s">
        <v>56</v>
      </c>
      <c r="O22" s="87">
        <f>IF(AND($N$24&gt;$N55, $N$24&lt;=$O55), SUM(M21:M22), 0)</f>
        <v>0</v>
      </c>
    </row>
    <row r="23" spans="1:24" ht="14.25" customHeight="1" x14ac:dyDescent="0.3">
      <c r="C23" s="2" t="s">
        <v>53</v>
      </c>
      <c r="L23" s="86"/>
      <c r="M23" s="87"/>
      <c r="N23" s="86"/>
      <c r="O23" s="87"/>
      <c r="W23" s="15">
        <f>$H$36</f>
        <v>0</v>
      </c>
    </row>
    <row r="24" spans="1:24" ht="14.25" customHeight="1" x14ac:dyDescent="0.3">
      <c r="C24" s="2" t="s">
        <v>55</v>
      </c>
      <c r="L24" s="89"/>
      <c r="M24" s="150" t="s">
        <v>57</v>
      </c>
      <c r="N24" s="151">
        <f>IF($N$5=1, $C$4, 0)</f>
        <v>0</v>
      </c>
      <c r="O24" s="89"/>
    </row>
    <row r="25" spans="1:24" ht="18" customHeight="1" x14ac:dyDescent="0.3">
      <c r="W25" s="2" t="s">
        <v>43</v>
      </c>
    </row>
    <row r="26" spans="1:24" ht="14.25" customHeight="1" x14ac:dyDescent="0.3">
      <c r="C26" s="2" t="s">
        <v>672</v>
      </c>
      <c r="W26" s="9"/>
    </row>
    <row r="27" spans="1:24" ht="14.25" customHeight="1" x14ac:dyDescent="0.3">
      <c r="C27" s="2" t="s">
        <v>673</v>
      </c>
    </row>
    <row r="28" spans="1:24" ht="15.75" customHeight="1" x14ac:dyDescent="0.3"/>
    <row r="29" spans="1:24" ht="21.75" customHeight="1" x14ac:dyDescent="0.3">
      <c r="C29" s="17" t="s">
        <v>62</v>
      </c>
    </row>
    <row r="30" spans="1:24" ht="15.75" customHeight="1" x14ac:dyDescent="0.3">
      <c r="G30" s="306" t="s">
        <v>63</v>
      </c>
      <c r="H30" s="306"/>
    </row>
    <row r="31" spans="1:24" ht="15.75" customHeight="1" thickBot="1" x14ac:dyDescent="0.35"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</row>
    <row r="32" spans="1:24" ht="25" customHeight="1" thickTop="1" x14ac:dyDescent="0.35">
      <c r="A32" s="303"/>
      <c r="B32" s="76" t="str">
        <f>"Výsledky pro výšku korpusu KH "&amp;$C$4&amp;" mm"</f>
        <v>Výsledky pro výšku korpusu KH  mm</v>
      </c>
      <c r="X32" s="103" t="str">
        <f>$B$1</f>
        <v xml:space="preserve"> AVENTOS HF top</v>
      </c>
    </row>
    <row r="33" spans="1:24" ht="6.65" customHeight="1" x14ac:dyDescent="0.35">
      <c r="A33" s="303"/>
      <c r="B33" s="76"/>
      <c r="L33" s="63"/>
      <c r="M33" s="63"/>
      <c r="N33" s="63"/>
      <c r="O33" s="63"/>
      <c r="P33" s="63"/>
      <c r="X33" s="103"/>
    </row>
    <row r="34" spans="1:24" ht="17.5" x14ac:dyDescent="0.35">
      <c r="A34" s="303"/>
      <c r="B34" s="76"/>
      <c r="C34" s="305" t="s">
        <v>65</v>
      </c>
      <c r="D34" s="305"/>
      <c r="E34" s="305"/>
      <c r="F34" s="305" t="s">
        <v>64</v>
      </c>
      <c r="G34" s="305"/>
      <c r="H34" s="305"/>
      <c r="L34" s="63"/>
      <c r="M34" s="63"/>
      <c r="N34" s="33" t="s">
        <v>597</v>
      </c>
      <c r="O34" s="29" t="s">
        <v>598</v>
      </c>
      <c r="P34" s="63"/>
      <c r="X34" s="103"/>
    </row>
    <row r="35" spans="1:24" ht="17.5" x14ac:dyDescent="0.35">
      <c r="A35" s="303"/>
      <c r="B35" s="76"/>
      <c r="C35" s="229" t="s">
        <v>66</v>
      </c>
      <c r="D35" s="229" t="s">
        <v>70</v>
      </c>
      <c r="E35" s="229" t="s">
        <v>71</v>
      </c>
      <c r="F35" s="229" t="s">
        <v>69</v>
      </c>
      <c r="G35" s="229" t="s">
        <v>67</v>
      </c>
      <c r="H35" s="229" t="s">
        <v>68</v>
      </c>
      <c r="L35" s="63"/>
      <c r="M35" s="9" t="s">
        <v>72</v>
      </c>
      <c r="N35" s="248">
        <f>SUM($C$6, 93)</f>
        <v>93</v>
      </c>
      <c r="O35" s="248">
        <f>SUM($C$6, 116)</f>
        <v>116</v>
      </c>
      <c r="P35" s="63"/>
      <c r="X35" s="103"/>
    </row>
    <row r="36" spans="1:24" ht="17.5" x14ac:dyDescent="0.35">
      <c r="A36" s="303"/>
      <c r="B36" s="76"/>
      <c r="C36" s="32">
        <f>IF(AND($L$3=1, $C$4&lt;=519, $C$4&gt;=480), $N$35, IF(AND($L$3=1, $C$4&gt;=520, $C$4&lt;=1200), $O$35, 0))</f>
        <v>0</v>
      </c>
      <c r="D36" s="32">
        <f>IF($L$3=1, 101, 0)</f>
        <v>0</v>
      </c>
      <c r="E36" s="32">
        <f>IF($L$3=1, 128, 0)</f>
        <v>0</v>
      </c>
      <c r="F36" s="32">
        <f>IF(AND($L$3=1, $C$4&lt;=519, $C$4&gt;=480), $N$37, IF(AND($L$3=1, $C$4&gt;=520, $C$4&lt;=1200), $O$37, 0))</f>
        <v>0</v>
      </c>
      <c r="G36" s="32">
        <f>IF($L$3=1, SUM($C$7-$C$11+12.5), 0)</f>
        <v>0</v>
      </c>
      <c r="H36" s="32">
        <f>IF($L$3=1, SUM($C$7-$C$11+12.5), 0)</f>
        <v>0</v>
      </c>
      <c r="K36" s="9"/>
      <c r="L36" s="251"/>
      <c r="M36" s="252" t="s">
        <v>73</v>
      </c>
      <c r="N36" s="258">
        <f>ROUND($C$4-$N$35, 0)</f>
        <v>-93</v>
      </c>
      <c r="O36" s="259">
        <f>ROUND($C$4-$O$35, 0)</f>
        <v>-116</v>
      </c>
      <c r="X36" s="103"/>
    </row>
    <row r="37" spans="1:24" ht="17.5" x14ac:dyDescent="0.35">
      <c r="A37" s="303"/>
      <c r="B37" s="76"/>
      <c r="C37" s="18" t="s">
        <v>74</v>
      </c>
      <c r="K37" s="9" t="s">
        <v>75</v>
      </c>
      <c r="L37" s="4">
        <f>SUM(C4-C8-C9-C10)/2</f>
        <v>0</v>
      </c>
      <c r="M37" s="232" t="s">
        <v>76</v>
      </c>
      <c r="N37" s="130">
        <v>170</v>
      </c>
      <c r="O37" s="91">
        <v>189</v>
      </c>
      <c r="X37" s="103"/>
    </row>
    <row r="38" spans="1:24" ht="17.5" customHeight="1" x14ac:dyDescent="0.35">
      <c r="A38" s="303"/>
      <c r="C38" s="18" t="s">
        <v>599</v>
      </c>
      <c r="K38" s="9"/>
      <c r="L38" s="4"/>
      <c r="M38" s="232"/>
      <c r="N38" s="4"/>
      <c r="O38" s="4"/>
      <c r="X38" s="103"/>
    </row>
    <row r="39" spans="1:24" ht="15" customHeight="1" x14ac:dyDescent="0.35">
      <c r="A39" s="303"/>
      <c r="C39" s="18" t="s">
        <v>601</v>
      </c>
      <c r="K39" s="9"/>
      <c r="L39" s="4"/>
      <c r="M39" s="232"/>
      <c r="N39" s="4"/>
      <c r="O39" s="4"/>
      <c r="X39" s="103"/>
    </row>
    <row r="40" spans="1:24" ht="20" customHeight="1" x14ac:dyDescent="0.35">
      <c r="A40" s="303"/>
      <c r="B40" s="76"/>
      <c r="C40" s="2" t="s">
        <v>618</v>
      </c>
      <c r="K40" s="9"/>
      <c r="L40" s="4"/>
      <c r="M40" s="232"/>
      <c r="N40" s="4"/>
      <c r="O40" s="4"/>
      <c r="X40" s="103"/>
    </row>
    <row r="41" spans="1:24" ht="15" customHeight="1" x14ac:dyDescent="0.35">
      <c r="A41" s="303"/>
      <c r="B41" s="76"/>
      <c r="C41" s="2" t="s">
        <v>619</v>
      </c>
      <c r="K41" s="9"/>
      <c r="L41" s="4"/>
      <c r="M41" s="232"/>
      <c r="N41" s="4"/>
      <c r="O41" s="4"/>
      <c r="X41" s="103"/>
    </row>
    <row r="42" spans="1:24" ht="15" customHeight="1" x14ac:dyDescent="0.35">
      <c r="A42" s="303"/>
      <c r="B42" s="76"/>
      <c r="C42" s="2" t="s">
        <v>600</v>
      </c>
      <c r="K42" s="9"/>
      <c r="L42" s="4"/>
      <c r="M42" s="232"/>
      <c r="N42" s="4"/>
      <c r="O42" s="4"/>
      <c r="X42" s="103"/>
    </row>
    <row r="43" spans="1:24" ht="17.5" x14ac:dyDescent="0.35">
      <c r="A43" s="303"/>
      <c r="B43" s="76"/>
      <c r="K43" s="9"/>
      <c r="L43" s="144" t="s">
        <v>77</v>
      </c>
      <c r="M43" s="145" t="s">
        <v>78</v>
      </c>
      <c r="N43" s="145" t="s">
        <v>79</v>
      </c>
      <c r="O43" s="145" t="s">
        <v>80</v>
      </c>
      <c r="X43" s="103"/>
    </row>
    <row r="44" spans="1:24" ht="17.5" x14ac:dyDescent="0.35">
      <c r="A44" s="303"/>
      <c r="B44" s="19" t="s">
        <v>81</v>
      </c>
      <c r="L44" s="146" t="s">
        <v>608</v>
      </c>
      <c r="M44" s="146">
        <v>1</v>
      </c>
      <c r="N44" s="146">
        <v>2700</v>
      </c>
      <c r="O44" s="146">
        <v>11500</v>
      </c>
      <c r="U44" s="19" t="s">
        <v>82</v>
      </c>
    </row>
    <row r="45" spans="1:24" x14ac:dyDescent="0.3">
      <c r="A45" s="303"/>
      <c r="L45" s="146" t="s">
        <v>609</v>
      </c>
      <c r="M45" s="146">
        <v>1</v>
      </c>
      <c r="N45" s="146">
        <v>11500</v>
      </c>
      <c r="O45" s="146">
        <v>19300</v>
      </c>
    </row>
    <row r="46" spans="1:24" x14ac:dyDescent="0.3">
      <c r="A46" s="303"/>
      <c r="M46" s="137">
        <v>1.5</v>
      </c>
      <c r="N46" s="137">
        <v>19300</v>
      </c>
      <c r="O46" s="137">
        <v>28950</v>
      </c>
    </row>
    <row r="47" spans="1:24" x14ac:dyDescent="0.3">
      <c r="A47" s="303"/>
      <c r="L47" s="146" t="s">
        <v>662</v>
      </c>
      <c r="M47" s="137">
        <v>2</v>
      </c>
      <c r="N47" s="137">
        <v>28950</v>
      </c>
      <c r="O47" s="137">
        <v>38600</v>
      </c>
    </row>
    <row r="48" spans="1:24" x14ac:dyDescent="0.3">
      <c r="A48" s="303"/>
      <c r="L48" s="146" t="s">
        <v>661</v>
      </c>
      <c r="M48" s="146"/>
      <c r="N48" s="146"/>
      <c r="O48" s="146"/>
    </row>
    <row r="49" spans="1:27" ht="14.5" x14ac:dyDescent="0.35">
      <c r="A49" s="303"/>
      <c r="C49" s="176">
        <f>$C$36</f>
        <v>0</v>
      </c>
      <c r="L49" s="146"/>
      <c r="M49" s="146"/>
      <c r="N49" s="147"/>
      <c r="O49" s="147"/>
    </row>
    <row r="50" spans="1:27" x14ac:dyDescent="0.3">
      <c r="A50" s="303"/>
      <c r="L50" s="146"/>
      <c r="M50" s="146"/>
      <c r="N50" s="146"/>
      <c r="O50" s="146"/>
    </row>
    <row r="51" spans="1:27" x14ac:dyDescent="0.3">
      <c r="A51" s="303"/>
    </row>
    <row r="52" spans="1:27" x14ac:dyDescent="0.3">
      <c r="A52" s="303"/>
      <c r="C52" s="2">
        <v>64</v>
      </c>
      <c r="L52" s="144" t="s">
        <v>83</v>
      </c>
      <c r="M52" s="144"/>
      <c r="N52" s="145" t="s">
        <v>79</v>
      </c>
      <c r="O52" s="145" t="s">
        <v>80</v>
      </c>
    </row>
    <row r="53" spans="1:27" x14ac:dyDescent="0.3">
      <c r="A53" s="303"/>
      <c r="L53" s="146" t="s">
        <v>610</v>
      </c>
      <c r="M53" s="146"/>
      <c r="N53" s="146">
        <v>480</v>
      </c>
      <c r="O53" s="146">
        <v>605</v>
      </c>
      <c r="U53" s="250">
        <f>$F$36</f>
        <v>0</v>
      </c>
    </row>
    <row r="54" spans="1:27" x14ac:dyDescent="0.3">
      <c r="A54" s="303"/>
      <c r="L54" s="146" t="s">
        <v>611</v>
      </c>
      <c r="M54" s="146"/>
      <c r="N54" s="146">
        <v>605</v>
      </c>
      <c r="O54" s="146">
        <v>875</v>
      </c>
    </row>
    <row r="55" spans="1:27" x14ac:dyDescent="0.3">
      <c r="A55" s="303"/>
      <c r="C55" s="48"/>
      <c r="L55" s="146" t="s">
        <v>612</v>
      </c>
      <c r="M55" s="146"/>
      <c r="N55" s="146">
        <v>875</v>
      </c>
      <c r="O55" s="146">
        <v>1200</v>
      </c>
      <c r="U55" s="47">
        <v>32</v>
      </c>
    </row>
    <row r="56" spans="1:27" x14ac:dyDescent="0.3">
      <c r="A56" s="303"/>
      <c r="M56" s="146"/>
      <c r="N56" s="146"/>
      <c r="O56" s="146"/>
    </row>
    <row r="57" spans="1:27" ht="14.5" x14ac:dyDescent="0.35">
      <c r="A57" s="303"/>
      <c r="L57" s="147"/>
      <c r="M57" s="147"/>
      <c r="N57" s="148" t="s">
        <v>84</v>
      </c>
      <c r="O57" s="146">
        <v>1200</v>
      </c>
    </row>
    <row r="58" spans="1:27" x14ac:dyDescent="0.3">
      <c r="A58" s="303"/>
      <c r="L58" s="146"/>
      <c r="M58" s="146"/>
      <c r="N58" s="146"/>
    </row>
    <row r="59" spans="1:27" x14ac:dyDescent="0.3">
      <c r="A59" s="303"/>
      <c r="L59" s="146" t="s">
        <v>613</v>
      </c>
      <c r="M59" s="153">
        <f>SUM(M20:M22)</f>
        <v>0</v>
      </c>
      <c r="N59" s="146"/>
      <c r="U59" s="63">
        <f>$G$36</f>
        <v>0</v>
      </c>
    </row>
    <row r="60" spans="1:27" x14ac:dyDescent="0.3">
      <c r="A60" s="303"/>
      <c r="C60" s="2" t="s">
        <v>607</v>
      </c>
      <c r="L60" s="146" t="s">
        <v>85</v>
      </c>
      <c r="M60" s="153">
        <f>IF(OR($C$5&gt;=1800,$M$15&gt;=20), 4, IF(OR($C$5&gt;=1200,$M$15&gt;=12), 3, 2))</f>
        <v>2</v>
      </c>
      <c r="N60" s="146"/>
    </row>
    <row r="61" spans="1:27" x14ac:dyDescent="0.3">
      <c r="A61" s="303"/>
      <c r="C61" s="2" t="s">
        <v>605</v>
      </c>
      <c r="L61" s="146" t="s">
        <v>86</v>
      </c>
      <c r="M61" s="153">
        <f>M60</f>
        <v>2</v>
      </c>
      <c r="N61" s="146"/>
    </row>
    <row r="62" spans="1:27" x14ac:dyDescent="0.3">
      <c r="A62" s="303"/>
      <c r="C62" s="2" t="s">
        <v>648</v>
      </c>
      <c r="L62" s="146" t="s">
        <v>87</v>
      </c>
      <c r="M62" s="153" cm="1">
        <f t="array" ref="M62">SUM(M60:M61, (O20:O23)*2)</f>
        <v>4</v>
      </c>
      <c r="N62" s="146"/>
    </row>
    <row r="63" spans="1:27" x14ac:dyDescent="0.3">
      <c r="A63" s="303"/>
      <c r="L63" s="146"/>
      <c r="M63" s="146"/>
      <c r="N63" s="146"/>
      <c r="AA63" s="168" t="s">
        <v>88</v>
      </c>
    </row>
    <row r="64" spans="1:27" x14ac:dyDescent="0.3">
      <c r="A64" s="303"/>
    </row>
    <row r="65" spans="1:24" x14ac:dyDescent="0.3">
      <c r="A65" s="303"/>
      <c r="C65" s="2" t="s">
        <v>89</v>
      </c>
      <c r="D65" s="9"/>
      <c r="E65" s="9"/>
      <c r="F65" s="2" t="s">
        <v>90</v>
      </c>
    </row>
    <row r="66" spans="1:24" x14ac:dyDescent="0.3">
      <c r="A66" s="303"/>
      <c r="C66" s="2" t="s">
        <v>91</v>
      </c>
      <c r="D66" s="9"/>
      <c r="E66" s="9"/>
      <c r="F66" s="2" t="s">
        <v>602</v>
      </c>
    </row>
    <row r="67" spans="1:24" x14ac:dyDescent="0.3">
      <c r="A67" s="303"/>
    </row>
    <row r="68" spans="1:24" x14ac:dyDescent="0.3">
      <c r="A68" s="303"/>
    </row>
    <row r="69" spans="1:24" ht="15.75" customHeight="1" thickBot="1" x14ac:dyDescent="0.35">
      <c r="A69" s="303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1:24" ht="25" customHeight="1" thickTop="1" x14ac:dyDescent="0.35">
      <c r="A70" s="303"/>
      <c r="B70" s="76" t="str">
        <f>"Kování pro výšku korpusu KH "&amp;$C$4&amp;" a šířku korpusu KB "&amp;$C$5&amp;" mm"</f>
        <v>Kování pro výšku korpusu KH  a šířku korpusu KB  mm</v>
      </c>
      <c r="X70" s="103" t="str">
        <f>$B$1</f>
        <v xml:space="preserve"> AVENTOS HF top</v>
      </c>
    </row>
    <row r="71" spans="1:24" ht="21.65" customHeight="1" x14ac:dyDescent="0.3">
      <c r="A71" s="303"/>
      <c r="B71" s="158" t="s">
        <v>92</v>
      </c>
      <c r="C71" s="140"/>
      <c r="D71" s="140"/>
      <c r="E71" s="140"/>
      <c r="F71" s="140" t="s">
        <v>93</v>
      </c>
      <c r="G71" s="140"/>
      <c r="H71" s="13" t="s">
        <v>94</v>
      </c>
      <c r="I71" s="13"/>
      <c r="J71" s="166" t="s">
        <v>95</v>
      </c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</row>
    <row r="72" spans="1:24" x14ac:dyDescent="0.3">
      <c r="A72" s="303"/>
      <c r="B72" s="2" t="s">
        <v>96</v>
      </c>
      <c r="F72" s="2" t="str">
        <f>IF($M$21&gt;0, $L$44, IF($M$22&gt;0, $L$45, " "))</f>
        <v xml:space="preserve"> </v>
      </c>
      <c r="G72" s="2" t="str">
        <f>IF($M$21&gt;0, $L$47, IF($M$22&gt;0, $L$48, " "))</f>
        <v xml:space="preserve"> </v>
      </c>
      <c r="H72" s="63" t="str">
        <f>IF($N$5=1, SUM($M$20:$M$22), " ")</f>
        <v xml:space="preserve"> </v>
      </c>
      <c r="J72" s="262" t="str">
        <f>IF(AND($O$15&gt;$N$46,$O$15&lt;=$O$46), "použijte tři zdvihače!", IF(AND($O$15&gt;$N$47, $O$15&lt;=$O$47), "použijte dva páry zdvihačů!", " "))</f>
        <v xml:space="preserve"> </v>
      </c>
    </row>
    <row r="73" spans="1:24" x14ac:dyDescent="0.3">
      <c r="A73" s="303"/>
      <c r="B73" s="2" t="s">
        <v>97</v>
      </c>
      <c r="F73" s="2" t="str">
        <f>IF($O$20&gt;0,$L$53,IF($O$21&gt;0,$L$54,IF($O$22&gt;0,$L$55," ")))</f>
        <v xml:space="preserve"> </v>
      </c>
      <c r="H73" s="63" t="str">
        <f>IF($N$5=1, SUM($O$20:$O$23), " ")</f>
        <v xml:space="preserve"> </v>
      </c>
    </row>
    <row r="74" spans="1:24" x14ac:dyDescent="0.3">
      <c r="A74" s="303"/>
      <c r="B74" s="2" t="s">
        <v>98</v>
      </c>
      <c r="F74" s="2" t="str">
        <f>IF($N$5=1, $L$59, " ")</f>
        <v xml:space="preserve"> </v>
      </c>
      <c r="H74" s="63" t="str">
        <f>IF($N$5=1, $M59, " ")</f>
        <v xml:space="preserve"> </v>
      </c>
      <c r="J74" s="2" t="s">
        <v>99</v>
      </c>
    </row>
    <row r="75" spans="1:24" x14ac:dyDescent="0.3">
      <c r="A75" s="303"/>
      <c r="B75" s="2" t="s">
        <v>100</v>
      </c>
      <c r="F75" s="2" t="str">
        <f>IF($N$5=1, $L$60, " ")</f>
        <v xml:space="preserve"> </v>
      </c>
      <c r="H75" s="63" t="str">
        <f>IF($N$5=1, $M60, " ")</f>
        <v xml:space="preserve"> </v>
      </c>
    </row>
    <row r="76" spans="1:24" x14ac:dyDescent="0.3">
      <c r="A76" s="303"/>
      <c r="B76" s="2" t="s">
        <v>101</v>
      </c>
      <c r="F76" s="2" t="str">
        <f>IF($N$5=1, $L$61, " ")</f>
        <v xml:space="preserve"> </v>
      </c>
      <c r="H76" s="63" t="str">
        <f>IF($N$5=1, $M61, " ")</f>
        <v xml:space="preserve"> </v>
      </c>
    </row>
    <row r="77" spans="1:24" x14ac:dyDescent="0.3">
      <c r="A77" s="303"/>
      <c r="B77" s="2" t="s">
        <v>102</v>
      </c>
      <c r="F77" s="2" t="str">
        <f>IF($N$5=1, $L$62, " ")</f>
        <v xml:space="preserve"> </v>
      </c>
      <c r="H77" s="63" t="str">
        <f>IF($N$5=1, $M62, " ")</f>
        <v xml:space="preserve"> </v>
      </c>
    </row>
    <row r="78" spans="1:24" x14ac:dyDescent="0.3">
      <c r="A78" s="303"/>
    </row>
    <row r="79" spans="1:24" x14ac:dyDescent="0.3">
      <c r="C79" s="2" t="s">
        <v>103</v>
      </c>
    </row>
    <row r="80" spans="1:24" x14ac:dyDescent="0.3">
      <c r="C80" s="2" t="s">
        <v>104</v>
      </c>
    </row>
    <row r="81" spans="1:27" x14ac:dyDescent="0.3">
      <c r="C81" s="18"/>
    </row>
    <row r="83" spans="1:27" x14ac:dyDescent="0.3">
      <c r="C83" s="2" t="s">
        <v>659</v>
      </c>
    </row>
    <row r="84" spans="1:27" x14ac:dyDescent="0.3">
      <c r="C84" s="2" t="s">
        <v>660</v>
      </c>
    </row>
    <row r="85" spans="1:27" x14ac:dyDescent="0.3">
      <c r="C85" s="2" t="s">
        <v>657</v>
      </c>
    </row>
    <row r="86" spans="1:27" x14ac:dyDescent="0.3">
      <c r="C86" s="2" t="s">
        <v>658</v>
      </c>
    </row>
    <row r="92" spans="1:27" x14ac:dyDescent="0.3">
      <c r="AA92" s="168" t="s">
        <v>88</v>
      </c>
    </row>
    <row r="93" spans="1:27" x14ac:dyDescent="0.3">
      <c r="A93" s="303"/>
    </row>
    <row r="94" spans="1:27" x14ac:dyDescent="0.3">
      <c r="A94" s="303"/>
    </row>
    <row r="102" spans="28:41" ht="21" customHeight="1" x14ac:dyDescent="0.35">
      <c r="AB102" s="17"/>
      <c r="AC102" s="99" t="s">
        <v>105</v>
      </c>
      <c r="AO102" s="139" t="str">
        <f>X32</f>
        <v xml:space="preserve"> AVENTOS HF top</v>
      </c>
    </row>
    <row r="103" spans="28:41" ht="16" customHeight="1" x14ac:dyDescent="0.3">
      <c r="AB103" s="171"/>
      <c r="AC103" s="17" t="s">
        <v>23</v>
      </c>
      <c r="AD103" s="17"/>
      <c r="AE103" s="17"/>
      <c r="AF103" s="17"/>
      <c r="AG103" s="17"/>
      <c r="AH103" s="17"/>
      <c r="AJ103" s="2" t="str">
        <f>C13</f>
        <v>Pro výpočet kování</v>
      </c>
    </row>
    <row r="104" spans="28:41" ht="14.15" customHeight="1" x14ac:dyDescent="0.3">
      <c r="AB104" s="171"/>
      <c r="AC104" s="170">
        <f t="shared" ref="AC104:AC111" si="0">C4</f>
        <v>0</v>
      </c>
      <c r="AD104" s="311" t="s">
        <v>26</v>
      </c>
      <c r="AE104" s="312"/>
      <c r="AF104" s="312"/>
      <c r="AG104" s="312"/>
      <c r="AH104" s="313"/>
      <c r="AJ104" s="170">
        <f>C14</f>
        <v>0</v>
      </c>
      <c r="AK104" s="304" t="s">
        <v>37</v>
      </c>
      <c r="AL104" s="304"/>
      <c r="AM104" s="304"/>
      <c r="AN104" s="304"/>
      <c r="AO104" s="304"/>
    </row>
    <row r="105" spans="28:41" x14ac:dyDescent="0.3">
      <c r="AB105" s="171"/>
      <c r="AC105" s="170">
        <f t="shared" si="0"/>
        <v>0</v>
      </c>
      <c r="AD105" s="311" t="s">
        <v>28</v>
      </c>
      <c r="AE105" s="312"/>
      <c r="AF105" s="312"/>
      <c r="AG105" s="312"/>
      <c r="AH105" s="313"/>
      <c r="AJ105" s="170">
        <f>C15</f>
        <v>0</v>
      </c>
      <c r="AK105" s="314" t="s">
        <v>40</v>
      </c>
      <c r="AL105" s="314"/>
      <c r="AM105" s="314"/>
      <c r="AN105" s="314"/>
      <c r="AO105" s="314"/>
    </row>
    <row r="106" spans="28:41" x14ac:dyDescent="0.3">
      <c r="AB106" s="171"/>
      <c r="AC106" s="170">
        <f t="shared" si="0"/>
        <v>0</v>
      </c>
      <c r="AD106" s="311" t="s">
        <v>30</v>
      </c>
      <c r="AE106" s="312"/>
      <c r="AF106" s="312"/>
      <c r="AG106" s="312"/>
      <c r="AH106" s="313"/>
      <c r="AJ106" s="170">
        <f>C16</f>
        <v>0</v>
      </c>
      <c r="AK106" s="304" t="s">
        <v>41</v>
      </c>
      <c r="AL106" s="304"/>
      <c r="AM106" s="304"/>
      <c r="AN106" s="304"/>
      <c r="AO106" s="304"/>
    </row>
    <row r="107" spans="28:41" x14ac:dyDescent="0.3">
      <c r="AB107" s="171"/>
      <c r="AC107" s="170">
        <f t="shared" si="0"/>
        <v>0</v>
      </c>
      <c r="AD107" s="311" t="s">
        <v>31</v>
      </c>
      <c r="AE107" s="312"/>
      <c r="AF107" s="312"/>
      <c r="AG107" s="312"/>
      <c r="AH107" s="313"/>
      <c r="AJ107" s="170">
        <f>C17</f>
        <v>0</v>
      </c>
      <c r="AK107" s="304" t="s">
        <v>42</v>
      </c>
      <c r="AL107" s="304"/>
      <c r="AM107" s="304"/>
      <c r="AN107" s="304"/>
      <c r="AO107" s="304"/>
    </row>
    <row r="108" spans="28:41" x14ac:dyDescent="0.3">
      <c r="AB108" s="171"/>
      <c r="AC108" s="170">
        <f t="shared" si="0"/>
        <v>0</v>
      </c>
      <c r="AD108" s="311" t="s">
        <v>32</v>
      </c>
      <c r="AE108" s="312"/>
      <c r="AF108" s="312"/>
      <c r="AG108" s="312"/>
      <c r="AH108" s="313"/>
      <c r="AN108" s="46"/>
      <c r="AO108" s="46"/>
    </row>
    <row r="109" spans="28:41" x14ac:dyDescent="0.3">
      <c r="AB109" s="171"/>
      <c r="AC109" s="170">
        <f t="shared" si="0"/>
        <v>0</v>
      </c>
      <c r="AD109" s="311" t="s">
        <v>33</v>
      </c>
      <c r="AE109" s="312"/>
      <c r="AF109" s="312"/>
      <c r="AG109" s="312"/>
      <c r="AH109" s="313"/>
      <c r="AN109" s="224"/>
      <c r="AO109" s="224"/>
    </row>
    <row r="110" spans="28:41" x14ac:dyDescent="0.3">
      <c r="AB110" s="171"/>
      <c r="AC110" s="170">
        <f t="shared" si="0"/>
        <v>0</v>
      </c>
      <c r="AD110" s="311" t="s">
        <v>34</v>
      </c>
      <c r="AE110" s="312"/>
      <c r="AF110" s="312"/>
      <c r="AG110" s="312"/>
      <c r="AH110" s="313"/>
      <c r="AN110" s="224"/>
      <c r="AO110" s="224"/>
    </row>
    <row r="111" spans="28:41" x14ac:dyDescent="0.3">
      <c r="AC111" s="170">
        <f t="shared" si="0"/>
        <v>0</v>
      </c>
      <c r="AD111" s="311" t="s">
        <v>35</v>
      </c>
      <c r="AE111" s="312"/>
      <c r="AF111" s="312"/>
      <c r="AG111" s="312"/>
      <c r="AH111" s="313"/>
      <c r="AN111" s="224"/>
      <c r="AO111" s="224"/>
    </row>
    <row r="112" spans="28:41" ht="21" customHeight="1" x14ac:dyDescent="0.3">
      <c r="AC112" s="140"/>
      <c r="AD112" s="140"/>
      <c r="AE112" s="140"/>
      <c r="AF112" s="140"/>
      <c r="AG112" s="140"/>
      <c r="AH112" s="140"/>
      <c r="AI112" s="140"/>
      <c r="AJ112" s="140"/>
      <c r="AK112" s="140"/>
      <c r="AN112" s="224"/>
      <c r="AO112" s="224"/>
    </row>
    <row r="113" spans="28:46" ht="26.15" customHeight="1" x14ac:dyDescent="0.35">
      <c r="AB113" s="171"/>
      <c r="AC113" s="99" t="s">
        <v>106</v>
      </c>
      <c r="AL113" s="180"/>
      <c r="AM113" s="132"/>
      <c r="AN113" s="132"/>
      <c r="AO113" s="132"/>
      <c r="AP113" s="132"/>
      <c r="AQ113" s="132"/>
      <c r="AR113" s="132"/>
      <c r="AS113" s="132"/>
      <c r="AT113" s="216" t="s">
        <v>107</v>
      </c>
    </row>
    <row r="114" spans="28:46" ht="15.65" customHeight="1" x14ac:dyDescent="0.35">
      <c r="AB114" s="171"/>
      <c r="AC114" s="308" t="str">
        <f>C34</f>
        <v>Vrtání korpusu</v>
      </c>
      <c r="AD114" s="309"/>
      <c r="AE114" s="310"/>
      <c r="AF114" s="308" t="str">
        <f>F34</f>
        <v>Vrtání čela</v>
      </c>
      <c r="AG114" s="309"/>
      <c r="AH114" s="310"/>
      <c r="AL114" s="81"/>
      <c r="AM114" s="98" t="str">
        <f t="shared" ref="AM114:AM120" si="1">B71</f>
        <v>popis</v>
      </c>
      <c r="AN114" s="98"/>
      <c r="AO114" s="98"/>
      <c r="AP114" s="98" t="str">
        <f t="shared" ref="AP114:AP120" si="2">F71</f>
        <v>označení</v>
      </c>
      <c r="AQ114" s="98"/>
      <c r="AR114" s="98" t="str">
        <f t="shared" ref="AR114:AR120" si="3">H71</f>
        <v>počet</v>
      </c>
      <c r="AS114" s="98" t="str">
        <f>J71</f>
        <v>poznámka</v>
      </c>
      <c r="AT114" s="182"/>
    </row>
    <row r="115" spans="28:46" x14ac:dyDescent="0.3">
      <c r="AB115" s="171"/>
      <c r="AC115" s="183" t="str">
        <f>C35</f>
        <v>výška*</v>
      </c>
      <c r="AD115" s="183" t="str">
        <f t="shared" ref="AD115:AH115" si="4">D35</f>
        <v>hloubka</v>
      </c>
      <c r="AE115" s="183" t="str">
        <f t="shared" si="4"/>
        <v>rozteč</v>
      </c>
      <c r="AF115" s="183" t="str">
        <f t="shared" si="4"/>
        <v>výška**</v>
      </c>
      <c r="AG115" s="183" t="str">
        <f t="shared" si="4"/>
        <v>vlevo</v>
      </c>
      <c r="AH115" s="183" t="str">
        <f t="shared" si="4"/>
        <v>vpravo</v>
      </c>
      <c r="AL115" s="81"/>
      <c r="AM115" s="2" t="str">
        <f t="shared" si="1"/>
        <v>Sada zdvihačů</v>
      </c>
      <c r="AP115" s="2" t="str">
        <f t="shared" si="2"/>
        <v xml:space="preserve"> </v>
      </c>
      <c r="AR115" s="47" t="str">
        <f t="shared" si="3"/>
        <v xml:space="preserve"> </v>
      </c>
      <c r="AS115" s="262" t="str">
        <f>IF(AND($O$15&gt;$N$46,$O$15&lt;=$O$46), "tři zdvihače!", IF(AND($O$15&gt;$N$47, $O$15&lt;=$O$47), "dva páry zdvihačů!", " "))</f>
        <v xml:space="preserve"> </v>
      </c>
      <c r="AT115" s="80"/>
    </row>
    <row r="116" spans="28:46" x14ac:dyDescent="0.3">
      <c r="AB116" s="171"/>
      <c r="AC116" s="32">
        <f>C36</f>
        <v>0</v>
      </c>
      <c r="AD116" s="32">
        <f t="shared" ref="AD116:AH116" si="5">D36</f>
        <v>0</v>
      </c>
      <c r="AE116" s="32">
        <f t="shared" si="5"/>
        <v>0</v>
      </c>
      <c r="AF116" s="32">
        <f t="shared" si="5"/>
        <v>0</v>
      </c>
      <c r="AG116" s="32">
        <f t="shared" si="5"/>
        <v>0</v>
      </c>
      <c r="AH116" s="32">
        <f t="shared" si="5"/>
        <v>0</v>
      </c>
      <c r="AL116" s="81"/>
      <c r="AM116" s="2" t="str">
        <f t="shared" si="1"/>
        <v>Sada teleskopů</v>
      </c>
      <c r="AP116" s="2" t="str">
        <f t="shared" si="2"/>
        <v xml:space="preserve"> </v>
      </c>
      <c r="AR116" s="47" t="str">
        <f t="shared" si="3"/>
        <v xml:space="preserve"> </v>
      </c>
      <c r="AT116" s="80"/>
    </row>
    <row r="117" spans="28:46" x14ac:dyDescent="0.3">
      <c r="AC117" s="18" t="str">
        <f>C37</f>
        <v xml:space="preserve">  Hodnoty vrtání čela platí pro ocelové montážní podložky!</v>
      </c>
      <c r="AL117" s="81"/>
      <c r="AM117" s="2" t="str">
        <f t="shared" si="1"/>
        <v>Sada krytek ****</v>
      </c>
      <c r="AP117" s="2" t="str">
        <f t="shared" si="2"/>
        <v xml:space="preserve"> </v>
      </c>
      <c r="AR117" s="47" t="str">
        <f t="shared" si="3"/>
        <v xml:space="preserve"> </v>
      </c>
      <c r="AS117" s="2" t="str">
        <f>J74</f>
        <v>zvolte barvu</v>
      </c>
      <c r="AT117" s="80"/>
    </row>
    <row r="118" spans="28:46" x14ac:dyDescent="0.3">
      <c r="AC118" s="18" t="str">
        <f t="shared" ref="AC118:AC122" si="6">C38</f>
        <v xml:space="preserve">  Hodnoty vrtání do korpusu platí pro zdvihače s předmontovanými</v>
      </c>
      <c r="AL118" s="81"/>
      <c r="AM118" s="2" t="str">
        <f t="shared" si="1"/>
        <v>Závěs horní 120°</v>
      </c>
      <c r="AP118" s="2" t="str">
        <f t="shared" si="2"/>
        <v xml:space="preserve"> </v>
      </c>
      <c r="AR118" s="47" t="str">
        <f t="shared" si="3"/>
        <v xml:space="preserve"> </v>
      </c>
      <c r="AT118" s="80"/>
    </row>
    <row r="119" spans="28:46" ht="14.15" customHeight="1" x14ac:dyDescent="0.3">
      <c r="AB119" s="172"/>
      <c r="AC119" s="18" t="str">
        <f t="shared" si="6"/>
        <v xml:space="preserve">  eurošrouby. Pozice varianty s vruty se určuje pomocí krytky.</v>
      </c>
      <c r="AL119" s="81"/>
      <c r="AM119" s="2" t="str">
        <f t="shared" si="1"/>
        <v>Závěs středový</v>
      </c>
      <c r="AP119" s="2" t="str">
        <f t="shared" si="2"/>
        <v xml:space="preserve"> </v>
      </c>
      <c r="AR119" s="47" t="str">
        <f t="shared" si="3"/>
        <v xml:space="preserve"> </v>
      </c>
      <c r="AT119" s="80"/>
    </row>
    <row r="120" spans="28:46" x14ac:dyDescent="0.3">
      <c r="AB120" s="172"/>
      <c r="AC120" s="2" t="str">
        <f t="shared" si="6"/>
        <v xml:space="preserve">  * Vzdálenost od horní hrany korpusu na horní osu vrtání pro zdvihač</v>
      </c>
      <c r="AL120" s="81"/>
      <c r="AM120" s="2" t="str">
        <f t="shared" si="1"/>
        <v>Montážní podložka/čelní kování</v>
      </c>
      <c r="AP120" s="2" t="str">
        <f t="shared" si="2"/>
        <v xml:space="preserve"> </v>
      </c>
      <c r="AR120" s="47" t="str">
        <f t="shared" si="3"/>
        <v xml:space="preserve"> </v>
      </c>
      <c r="AT120" s="80"/>
    </row>
    <row r="121" spans="28:46" x14ac:dyDescent="0.3">
      <c r="AB121" s="122"/>
      <c r="AC121" s="2" t="str">
        <f t="shared" si="6"/>
        <v xml:space="preserve"> ** Vzdálenost od horní hrany dolního čela na horní otvor podložky</v>
      </c>
      <c r="AL121" s="81"/>
      <c r="AT121" s="80"/>
    </row>
    <row r="122" spans="28:46" x14ac:dyDescent="0.3">
      <c r="AB122" s="18"/>
      <c r="AC122" s="2" t="str">
        <f t="shared" si="6"/>
        <v xml:space="preserve">     pro teleskopy</v>
      </c>
      <c r="AL122" s="81"/>
      <c r="AM122" s="2" t="str">
        <f>C79</f>
        <v>**** Nutno specifikovat barvu</v>
      </c>
      <c r="AT122" s="80"/>
    </row>
    <row r="123" spans="28:46" x14ac:dyDescent="0.3">
      <c r="AL123" s="81"/>
      <c r="AM123" s="2" t="str">
        <f>C80</f>
        <v>Barvy krytek: HGR = světle šedá | SW = hedvábně bílá | TGR = tmavě šedá</v>
      </c>
      <c r="AT123" s="80"/>
    </row>
    <row r="124" spans="28:46" ht="5.5" customHeight="1" x14ac:dyDescent="0.3">
      <c r="AL124" s="178"/>
      <c r="AM124" s="140"/>
      <c r="AN124" s="140"/>
      <c r="AO124" s="140"/>
      <c r="AP124" s="140"/>
      <c r="AQ124" s="140"/>
      <c r="AR124" s="140"/>
      <c r="AS124" s="140"/>
      <c r="AT124" s="179"/>
    </row>
    <row r="125" spans="28:46" ht="15.5" x14ac:dyDescent="0.35">
      <c r="AD125" s="174" t="s">
        <v>81</v>
      </c>
    </row>
    <row r="126" spans="28:46" ht="15.5" x14ac:dyDescent="0.3">
      <c r="AI126" s="146"/>
      <c r="AN126" s="175" t="s">
        <v>82</v>
      </c>
    </row>
    <row r="127" spans="28:46" x14ac:dyDescent="0.3">
      <c r="AT127" s="146"/>
    </row>
    <row r="128" spans="28:46" ht="14.15" customHeight="1" x14ac:dyDescent="0.3">
      <c r="AC128" s="9">
        <f>$C$36</f>
        <v>0</v>
      </c>
      <c r="AF128" s="9"/>
      <c r="AO128" s="9" t="s">
        <v>603</v>
      </c>
    </row>
    <row r="129" spans="28:44" x14ac:dyDescent="0.3">
      <c r="AC129" s="2">
        <f>$AC$128+64</f>
        <v>64</v>
      </c>
      <c r="AG129" s="9"/>
      <c r="AO129" s="260">
        <f>$F$36</f>
        <v>0</v>
      </c>
    </row>
    <row r="130" spans="28:44" ht="13.5" customHeight="1" x14ac:dyDescent="0.35">
      <c r="AB130" s="19"/>
      <c r="AF130" s="176">
        <f>C49</f>
        <v>0</v>
      </c>
      <c r="AG130" s="9"/>
    </row>
    <row r="131" spans="28:44" ht="8" customHeight="1" x14ac:dyDescent="0.3">
      <c r="AG131" s="9"/>
    </row>
    <row r="132" spans="28:44" x14ac:dyDescent="0.3">
      <c r="AG132" s="9"/>
      <c r="AN132" s="63">
        <f>$H$36</f>
        <v>0</v>
      </c>
    </row>
    <row r="133" spans="28:44" ht="18.5" customHeight="1" x14ac:dyDescent="0.3">
      <c r="AF133" s="2">
        <v>64</v>
      </c>
      <c r="AN133" s="63"/>
      <c r="AP133" s="307">
        <f>U53</f>
        <v>0</v>
      </c>
    </row>
    <row r="134" spans="28:44" x14ac:dyDescent="0.3">
      <c r="AN134" s="15">
        <f>$H$36</f>
        <v>0</v>
      </c>
      <c r="AP134" s="307"/>
    </row>
    <row r="135" spans="28:44" x14ac:dyDescent="0.3">
      <c r="AN135" s="63"/>
      <c r="AP135" s="9">
        <v>32</v>
      </c>
    </row>
    <row r="136" spans="28:44" x14ac:dyDescent="0.3">
      <c r="AR136" s="9"/>
    </row>
    <row r="137" spans="28:44" x14ac:dyDescent="0.3">
      <c r="AN137" s="15">
        <f>$H$36</f>
        <v>0</v>
      </c>
      <c r="AR137" s="9"/>
    </row>
    <row r="138" spans="28:44" x14ac:dyDescent="0.3">
      <c r="AQ138" s="9"/>
      <c r="AR138" s="9"/>
    </row>
    <row r="139" spans="28:44" x14ac:dyDescent="0.3">
      <c r="AQ139" s="63">
        <f>U59</f>
        <v>0</v>
      </c>
    </row>
    <row r="141" spans="28:44" x14ac:dyDescent="0.3">
      <c r="AQ141" s="145"/>
    </row>
    <row r="142" spans="28:44" x14ac:dyDescent="0.3">
      <c r="AQ142" s="146"/>
    </row>
    <row r="143" spans="28:44" x14ac:dyDescent="0.3">
      <c r="AQ143" s="146"/>
    </row>
    <row r="144" spans="28:44" x14ac:dyDescent="0.3">
      <c r="AQ144" s="146"/>
    </row>
    <row r="145" spans="28:43" x14ac:dyDescent="0.3">
      <c r="AQ145" s="146"/>
    </row>
    <row r="146" spans="28:43" x14ac:dyDescent="0.3">
      <c r="AQ146" s="146"/>
    </row>
    <row r="152" spans="28:43" ht="14.5" x14ac:dyDescent="0.35">
      <c r="AB152" s="98"/>
    </row>
  </sheetData>
  <sheetProtection algorithmName="SHA-512" hashValue="HNm3JPbIue92d+Fs52fG9CRiH0xy2/t7WSsxUEAN/hWQrjRS/V21lO72RI7TCHcqbMT9k4cCLxXsmwBiqFqoVw==" saltValue="hEo3hwun04taEWFEG+Bhcw==" spinCount="100000" sheet="1" objects="1" scenarios="1"/>
  <mergeCells count="32">
    <mergeCell ref="AP133:AP134"/>
    <mergeCell ref="AF114:AH114"/>
    <mergeCell ref="AC114:AE114"/>
    <mergeCell ref="AD111:AH111"/>
    <mergeCell ref="AK104:AO104"/>
    <mergeCell ref="AK105:AO105"/>
    <mergeCell ref="AK106:AO106"/>
    <mergeCell ref="AK107:AO107"/>
    <mergeCell ref="AD108:AH108"/>
    <mergeCell ref="AD109:AH109"/>
    <mergeCell ref="AD110:AH110"/>
    <mergeCell ref="AD104:AH104"/>
    <mergeCell ref="AD105:AH105"/>
    <mergeCell ref="AD106:AH106"/>
    <mergeCell ref="AD107:AH107"/>
    <mergeCell ref="D6:H6"/>
    <mergeCell ref="D7:H7"/>
    <mergeCell ref="D4:H4"/>
    <mergeCell ref="D8:H8"/>
    <mergeCell ref="A32:A78"/>
    <mergeCell ref="D14:H14"/>
    <mergeCell ref="D16:H16"/>
    <mergeCell ref="D15:H15"/>
    <mergeCell ref="D5:H5"/>
    <mergeCell ref="D17:H17"/>
    <mergeCell ref="A93:A94"/>
    <mergeCell ref="D9:H9"/>
    <mergeCell ref="D10:H10"/>
    <mergeCell ref="D11:H11"/>
    <mergeCell ref="F34:H34"/>
    <mergeCell ref="C34:E34"/>
    <mergeCell ref="G30:H30"/>
  </mergeCells>
  <hyperlinks>
    <hyperlink ref="AA63:AC63" location="HF!A1" tooltip="Zpět na plánování" display="Zpět" xr:uid="{00000000-0004-0000-0200-000001000000}"/>
    <hyperlink ref="AA1" location="AVS!A1" tooltip="Úvodní strana AVENTOS" display="Úvod AVENTOS" xr:uid="{00000000-0004-0000-0200-000002000000}"/>
    <hyperlink ref="G30" location="'HF-A'!A1" tooltip="Plánování korpusu s asymetrickými čely" display="► Asymetrická čela" xr:uid="{00000000-0004-0000-0200-000003000000}"/>
    <hyperlink ref="AA92" location="HF!A1" tooltip="Zpět na plánování" display="Zpět" xr:uid="{420281AB-6B68-45D7-8B29-CC0B91870B3E}"/>
  </hyperlinks>
  <pageMargins left="0.62992125984251968" right="0.23622047244094491" top="0.35433070866141736" bottom="0.55118110236220474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AT144"/>
  <sheetViews>
    <sheetView showGridLines="0" showRowColHeaders="0" zoomScaleNormal="100" workbookViewId="0">
      <selection activeCell="T14" sqref="T14"/>
    </sheetView>
  </sheetViews>
  <sheetFormatPr defaultColWidth="8.9140625" defaultRowHeight="14" x14ac:dyDescent="0.3"/>
  <cols>
    <col min="1" max="1" width="1" style="2" customWidth="1"/>
    <col min="2" max="2" width="3.08203125" style="2" customWidth="1"/>
    <col min="3" max="3" width="8.9140625" style="2" customWidth="1"/>
    <col min="4" max="6" width="8.9140625" style="2"/>
    <col min="7" max="7" width="8.9140625" style="2" customWidth="1"/>
    <col min="8" max="8" width="8.9140625" style="2"/>
    <col min="9" max="9" width="0.75" style="2" customWidth="1"/>
    <col min="10" max="10" width="6.5" style="2" customWidth="1"/>
    <col min="11" max="11" width="11" style="2" hidden="1" customWidth="1"/>
    <col min="12" max="19" width="8.9140625" style="2" hidden="1" customWidth="1"/>
    <col min="20" max="20" width="8.9140625" style="2" customWidth="1"/>
    <col min="21" max="21" width="17.75" style="2" customWidth="1"/>
    <col min="22" max="22" width="18.4140625" style="2" customWidth="1"/>
    <col min="23" max="23" width="8.9140625" style="2" customWidth="1"/>
    <col min="24" max="24" width="10.08203125" style="2" customWidth="1"/>
    <col min="25" max="25" width="1.25" style="2" customWidth="1"/>
    <col min="26" max="26" width="8.9140625" style="2"/>
    <col min="27" max="27" width="19.83203125" style="2" customWidth="1"/>
    <col min="28" max="28" width="8.9140625" style="2"/>
    <col min="29" max="37" width="6.58203125" style="2" customWidth="1"/>
    <col min="38" max="38" width="1.08203125" style="2" customWidth="1"/>
    <col min="39" max="39" width="6.58203125" style="2" customWidth="1"/>
    <col min="40" max="40" width="12.25" style="2" customWidth="1"/>
    <col min="41" max="41" width="8.9140625" style="2"/>
    <col min="42" max="42" width="6.83203125" style="2" customWidth="1"/>
    <col min="43" max="43" width="9.4140625" style="2" customWidth="1"/>
    <col min="44" max="44" width="5.9140625" style="2" customWidth="1"/>
    <col min="45" max="45" width="9.4140625" style="2" customWidth="1"/>
    <col min="46" max="46" width="8.25" style="2" customWidth="1"/>
    <col min="47" max="47" width="4.5" style="2" customWidth="1"/>
    <col min="48" max="16384" width="8.9140625" style="2"/>
  </cols>
  <sheetData>
    <row r="1" spans="2:27" ht="25" customHeight="1" x14ac:dyDescent="0.5">
      <c r="B1" s="1" t="s">
        <v>663</v>
      </c>
      <c r="AA1" s="49" t="s">
        <v>22</v>
      </c>
    </row>
    <row r="2" spans="2:27" ht="18" customHeight="1" x14ac:dyDescent="0.4">
      <c r="B2" s="22"/>
      <c r="U2" s="133"/>
    </row>
    <row r="3" spans="2:27" ht="18" customHeight="1" x14ac:dyDescent="0.3">
      <c r="B3" s="6"/>
      <c r="C3" s="17" t="s">
        <v>108</v>
      </c>
      <c r="D3" s="17"/>
      <c r="E3" s="17"/>
      <c r="F3" s="17"/>
      <c r="G3" s="17"/>
      <c r="H3" s="17"/>
      <c r="K3" s="9" t="s">
        <v>24</v>
      </c>
      <c r="L3" s="30">
        <f>IF(AND(L4=1, L5=1, L6=1, L7=1, L8=1, L9=1, L10=1, L11=1),1,2)</f>
        <v>2</v>
      </c>
      <c r="M3" s="31" t="s">
        <v>25</v>
      </c>
    </row>
    <row r="4" spans="2:27" ht="16.5" customHeight="1" x14ac:dyDescent="0.3">
      <c r="B4" s="6"/>
      <c r="C4" s="78"/>
      <c r="D4" s="304" t="s">
        <v>26</v>
      </c>
      <c r="E4" s="304"/>
      <c r="F4" s="304"/>
      <c r="G4" s="304"/>
      <c r="H4" s="304"/>
      <c r="J4" s="12" t="str">
        <f>IF(C4&lt;480, "Minimálně 480 mm!", IF(C4&gt;1040, "Maximálně 1040 mm!", " "))</f>
        <v>Minimálně 480 mm!</v>
      </c>
      <c r="L4" s="63">
        <f>IF(OR(C4&lt;480, C4&gt;1040), 2, 1)</f>
        <v>2</v>
      </c>
      <c r="M4" s="31" t="s">
        <v>27</v>
      </c>
    </row>
    <row r="5" spans="2:27" ht="16.5" customHeight="1" x14ac:dyDescent="0.3">
      <c r="B5" s="6"/>
      <c r="C5" s="78"/>
      <c r="D5" s="304" t="s">
        <v>30</v>
      </c>
      <c r="E5" s="304"/>
      <c r="F5" s="304"/>
      <c r="G5" s="304"/>
      <c r="H5" s="304"/>
      <c r="J5" s="12" t="str">
        <f>IF(C5&lt;16,"Minimálně 16 mm!"," ")</f>
        <v>Minimálně 16 mm!</v>
      </c>
      <c r="L5" s="63">
        <f>IF(C5&lt;16, 2, 1)</f>
        <v>2</v>
      </c>
      <c r="W5" s="46"/>
      <c r="X5" s="46"/>
    </row>
    <row r="6" spans="2:27" ht="16.5" customHeight="1" x14ac:dyDescent="0.3">
      <c r="B6" s="6"/>
      <c r="C6" s="78"/>
      <c r="D6" s="304" t="s">
        <v>31</v>
      </c>
      <c r="E6" s="304"/>
      <c r="F6" s="304"/>
      <c r="G6" s="304"/>
      <c r="H6" s="304"/>
      <c r="J6" s="12" t="str">
        <f>IF(C6&lt;14,"Minimálně 16 mm!"," ")</f>
        <v>Minimálně 16 mm!</v>
      </c>
      <c r="L6" s="63">
        <f>IF(C6&lt;16, 2, 1)</f>
        <v>2</v>
      </c>
      <c r="W6" s="224"/>
      <c r="X6" s="224"/>
    </row>
    <row r="7" spans="2:27" ht="16.5" customHeight="1" x14ac:dyDescent="0.3">
      <c r="B7" s="6"/>
      <c r="C7" s="78"/>
      <c r="D7" s="304" t="s">
        <v>109</v>
      </c>
      <c r="E7" s="304"/>
      <c r="F7" s="304"/>
      <c r="G7" s="304"/>
      <c r="H7" s="304"/>
      <c r="J7" s="12" t="str">
        <f>IF($C$5&gt;15.999, IF(C7&lt;&gt;($C$5-16), "Musí být "&amp;($C$5-16)&amp;" mm! ***", " "), " ")</f>
        <v xml:space="preserve"> </v>
      </c>
      <c r="L7" s="63">
        <f>IF(C7=($C$5-16), 1, 2)</f>
        <v>2</v>
      </c>
      <c r="W7" s="224"/>
      <c r="X7" s="224"/>
    </row>
    <row r="8" spans="2:27" ht="16.5" customHeight="1" x14ac:dyDescent="0.3">
      <c r="B8" s="6"/>
      <c r="C8" s="78"/>
      <c r="D8" s="304" t="s">
        <v>33</v>
      </c>
      <c r="E8" s="304"/>
      <c r="F8" s="304"/>
      <c r="G8" s="304"/>
      <c r="H8" s="304"/>
      <c r="J8" s="12" t="str">
        <f>IF(C8&lt;1.5,"Minimálně 1,5 mm!"," ")</f>
        <v>Minimálně 1,5 mm!</v>
      </c>
      <c r="L8" s="63">
        <f>IF(C8&lt;1.5, 2, 1)</f>
        <v>2</v>
      </c>
      <c r="W8" s="224"/>
      <c r="X8" s="224"/>
    </row>
    <row r="9" spans="2:27" ht="16.5" customHeight="1" x14ac:dyDescent="0.3">
      <c r="B9" s="6"/>
      <c r="C9" s="78"/>
      <c r="D9" s="304" t="s">
        <v>34</v>
      </c>
      <c r="E9" s="304"/>
      <c r="F9" s="304"/>
      <c r="G9" s="304"/>
      <c r="H9" s="304"/>
      <c r="J9" s="12" t="str">
        <f>IF(C9&gt;C5,"Maximálně "&amp;C5&amp;" mm!"," ")</f>
        <v xml:space="preserve"> </v>
      </c>
      <c r="L9" s="63">
        <f>IF(C9&gt;C5, 2, 1)</f>
        <v>1</v>
      </c>
      <c r="W9" s="224"/>
      <c r="X9" s="224"/>
    </row>
    <row r="10" spans="2:27" ht="16.5" customHeight="1" x14ac:dyDescent="0.3">
      <c r="B10" s="6"/>
      <c r="C10" s="78"/>
      <c r="D10" s="304" t="s">
        <v>35</v>
      </c>
      <c r="E10" s="304"/>
      <c r="F10" s="304"/>
      <c r="G10" s="304"/>
      <c r="H10" s="304"/>
      <c r="J10" s="12" t="str">
        <f>IF(C10&gt;C6,"Maximálně "&amp;C6&amp;" mm!"," ")</f>
        <v xml:space="preserve"> </v>
      </c>
      <c r="L10" s="63">
        <f>IF(C10&gt;C6, 2, 1)</f>
        <v>1</v>
      </c>
      <c r="W10" s="224"/>
      <c r="X10" s="224"/>
    </row>
    <row r="11" spans="2:27" ht="17.25" customHeight="1" x14ac:dyDescent="0.3">
      <c r="C11" s="78"/>
      <c r="D11" s="304" t="s">
        <v>110</v>
      </c>
      <c r="E11" s="304"/>
      <c r="F11" s="304"/>
      <c r="G11" s="304"/>
      <c r="H11" s="304"/>
      <c r="J11" s="12" t="str">
        <f>IF(OR(L4=2, L5=2, L6=2, L7=2, L8=2, L9=2), " ",IF(C11=0, "od "&amp;Q37&amp;" do "&amp;R37, J90))</f>
        <v xml:space="preserve"> </v>
      </c>
      <c r="L11" s="63">
        <f>IF(OR(C11&lt;Q37, C11&gt;R37), 2, 1)</f>
        <v>2</v>
      </c>
      <c r="M11" s="63"/>
      <c r="N11" s="63"/>
      <c r="O11" s="63"/>
      <c r="P11" s="63"/>
      <c r="Q11" s="63"/>
    </row>
    <row r="12" spans="2:27" ht="17.25" customHeight="1" x14ac:dyDescent="0.3">
      <c r="C12" s="90" t="str">
        <f>H91</f>
        <v>nelze</v>
      </c>
      <c r="D12" s="304" t="s">
        <v>111</v>
      </c>
      <c r="E12" s="304"/>
      <c r="F12" s="304"/>
      <c r="G12" s="304"/>
      <c r="H12" s="304"/>
      <c r="L12" s="63"/>
      <c r="M12" s="63"/>
      <c r="N12" s="63"/>
      <c r="O12" s="63"/>
      <c r="P12" s="63"/>
      <c r="Q12" s="63"/>
    </row>
    <row r="13" spans="2:27" ht="17.25" customHeight="1" x14ac:dyDescent="0.3">
      <c r="C13" s="90" t="str">
        <f>H94</f>
        <v xml:space="preserve"> </v>
      </c>
      <c r="D13" s="304" t="s">
        <v>645</v>
      </c>
      <c r="E13" s="304"/>
      <c r="F13" s="304"/>
      <c r="G13" s="304"/>
      <c r="H13" s="304"/>
      <c r="L13" s="63"/>
      <c r="M13" s="63"/>
      <c r="N13" s="63"/>
      <c r="O13" s="63"/>
      <c r="P13" s="63"/>
      <c r="Q13" s="63"/>
    </row>
    <row r="14" spans="2:27" ht="24.5" customHeight="1" x14ac:dyDescent="0.3">
      <c r="C14" s="17" t="str">
        <f>C96</f>
        <v xml:space="preserve">        * Tuto výšku použijte pro výběr teleskopů!</v>
      </c>
      <c r="L14" s="63"/>
      <c r="M14" s="63"/>
      <c r="N14" s="63"/>
      <c r="O14" s="63"/>
      <c r="P14" s="63"/>
      <c r="Q14" s="63"/>
    </row>
    <row r="15" spans="2:27" ht="16.5" customHeight="1" x14ac:dyDescent="0.3">
      <c r="B15" s="2" t="s">
        <v>112</v>
      </c>
    </row>
    <row r="16" spans="2:27" ht="16.5" customHeight="1" x14ac:dyDescent="0.3">
      <c r="U16" s="261" t="s">
        <v>617</v>
      </c>
      <c r="X16" s="9" t="s">
        <v>603</v>
      </c>
    </row>
    <row r="17" spans="1:24" ht="22.5" customHeight="1" x14ac:dyDescent="0.3">
      <c r="B17" s="25"/>
      <c r="C17" s="2" t="s">
        <v>58</v>
      </c>
      <c r="S17" s="24"/>
      <c r="T17" s="9"/>
      <c r="X17" s="249">
        <f>$F$36</f>
        <v>0</v>
      </c>
    </row>
    <row r="18" spans="1:24" ht="15.75" customHeight="1" x14ac:dyDescent="0.3">
      <c r="C18" s="2" t="s">
        <v>59</v>
      </c>
      <c r="U18" s="9">
        <f>$C$36</f>
        <v>0</v>
      </c>
    </row>
    <row r="19" spans="1:24" ht="14.25" customHeight="1" x14ac:dyDescent="0.3">
      <c r="C19" s="2" t="s">
        <v>61</v>
      </c>
      <c r="U19" s="2">
        <f>$U$18+64</f>
        <v>64</v>
      </c>
      <c r="W19" s="63">
        <f>$H$36</f>
        <v>0</v>
      </c>
    </row>
    <row r="20" spans="1:24" ht="14.25" customHeight="1" x14ac:dyDescent="0.3">
      <c r="T20" s="11"/>
    </row>
    <row r="21" spans="1:24" ht="14.25" customHeight="1" x14ac:dyDescent="0.3">
      <c r="W21" s="15">
        <f>$H$36</f>
        <v>0</v>
      </c>
    </row>
    <row r="22" spans="1:24" ht="14.25" customHeight="1" x14ac:dyDescent="0.3">
      <c r="C22" s="18"/>
    </row>
    <row r="23" spans="1:24" ht="14.25" customHeight="1" x14ac:dyDescent="0.3"/>
    <row r="24" spans="1:24" ht="14.25" customHeight="1" x14ac:dyDescent="0.3">
      <c r="W24" s="15">
        <f>$H$36</f>
        <v>0</v>
      </c>
    </row>
    <row r="25" spans="1:24" ht="14.25" customHeight="1" x14ac:dyDescent="0.3"/>
    <row r="26" spans="1:24" ht="18" customHeight="1" x14ac:dyDescent="0.3">
      <c r="W26" s="2" t="s">
        <v>43</v>
      </c>
    </row>
    <row r="27" spans="1:24" ht="18" customHeight="1" x14ac:dyDescent="0.3">
      <c r="W27" s="9"/>
    </row>
    <row r="28" spans="1:24" ht="14.25" customHeight="1" x14ac:dyDescent="0.3"/>
    <row r="29" spans="1:24" ht="14.25" customHeight="1" x14ac:dyDescent="0.3"/>
    <row r="30" spans="1:24" ht="15.75" customHeight="1" x14ac:dyDescent="0.3"/>
    <row r="31" spans="1:24" ht="15.75" customHeight="1" thickBot="1" x14ac:dyDescent="0.35"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</row>
    <row r="32" spans="1:24" ht="25" customHeight="1" thickTop="1" x14ac:dyDescent="0.35">
      <c r="A32" s="303"/>
      <c r="B32" s="199" t="str">
        <f>"Výsledky pro výšku korpusu KH "&amp;$C$4&amp;" mm"</f>
        <v>Výsledky pro výšku korpusu KH  mm</v>
      </c>
      <c r="X32" s="103" t="str">
        <f>B1</f>
        <v xml:space="preserve"> AVENTOS HF top - asymetrická čela</v>
      </c>
    </row>
    <row r="33" spans="1:24" ht="6.65" customHeight="1" x14ac:dyDescent="0.35">
      <c r="A33" s="303"/>
      <c r="B33" s="76"/>
      <c r="X33" s="103"/>
    </row>
    <row r="34" spans="1:24" ht="17.5" x14ac:dyDescent="0.35">
      <c r="A34" s="303"/>
      <c r="B34" s="76"/>
      <c r="C34" s="305" t="s">
        <v>65</v>
      </c>
      <c r="D34" s="305"/>
      <c r="E34" s="305"/>
      <c r="F34" s="305" t="s">
        <v>64</v>
      </c>
      <c r="G34" s="305"/>
      <c r="H34" s="305"/>
      <c r="L34" s="63"/>
      <c r="M34" s="33" t="s">
        <v>113</v>
      </c>
      <c r="N34" s="33" t="s">
        <v>597</v>
      </c>
      <c r="O34" s="29" t="s">
        <v>598</v>
      </c>
      <c r="P34" s="63"/>
      <c r="X34" s="103"/>
    </row>
    <row r="35" spans="1:24" ht="17.5" x14ac:dyDescent="0.35">
      <c r="A35" s="303"/>
      <c r="B35" s="76"/>
      <c r="C35" s="229" t="s">
        <v>66</v>
      </c>
      <c r="D35" s="229" t="s">
        <v>70</v>
      </c>
      <c r="E35" s="229" t="s">
        <v>71</v>
      </c>
      <c r="F35" s="229" t="s">
        <v>69</v>
      </c>
      <c r="G35" s="229" t="s">
        <v>67</v>
      </c>
      <c r="H35" s="229" t="s">
        <v>68</v>
      </c>
      <c r="L35" s="9" t="s">
        <v>72</v>
      </c>
      <c r="M35" s="95">
        <f>G94</f>
        <v>0</v>
      </c>
      <c r="N35" s="248">
        <f>SUM($C$6, 93)</f>
        <v>93</v>
      </c>
      <c r="O35" s="248">
        <f>SUM($C$6, 116)</f>
        <v>116</v>
      </c>
      <c r="P35" s="63"/>
      <c r="X35" s="103"/>
    </row>
    <row r="36" spans="1:24" ht="17.5" x14ac:dyDescent="0.35">
      <c r="A36" s="303"/>
      <c r="B36" s="76"/>
      <c r="C36" s="32">
        <f>IF(AND($L$3=1, $C$4&lt;=519, $C$4&gt;=480), $N$35, IF(AND($L$3=1, $C$4&gt;=520, $C$4&lt;=1200), $O$35, 0))</f>
        <v>0</v>
      </c>
      <c r="D36" s="32">
        <f>IF($L$3=1, 101, 0)</f>
        <v>0</v>
      </c>
      <c r="E36" s="32">
        <f>IF($L$3=1, 128, 0)</f>
        <v>0</v>
      </c>
      <c r="F36" s="32">
        <f>IF(AND($L$3=1, $C$4&lt;520, $C$4&gt;=480), $N$37, IF(AND($L$3=1, $C$4&gt;=420, $C$4&lt;=1200), $O$37, 0))</f>
        <v>0</v>
      </c>
      <c r="G36" s="32">
        <f>IF($L$3=1, SUM($C$6-$C$10+12.5), 0)</f>
        <v>0</v>
      </c>
      <c r="H36" s="32">
        <f>IF($L$3=1, SUM($C$6-$C$10+12.5), 0)</f>
        <v>0</v>
      </c>
      <c r="K36" s="9"/>
      <c r="L36" s="251"/>
      <c r="M36" s="252" t="s">
        <v>73</v>
      </c>
      <c r="N36" s="253">
        <f>ROUND($C$4-$N$35, 0)</f>
        <v>-93</v>
      </c>
      <c r="O36" s="254">
        <f>ROUND($C$4-$O$35, 0)</f>
        <v>-116</v>
      </c>
      <c r="Q36" s="63" t="s">
        <v>114</v>
      </c>
      <c r="R36" s="93" t="s">
        <v>84</v>
      </c>
      <c r="X36" s="103"/>
    </row>
    <row r="37" spans="1:24" ht="18.649999999999999" customHeight="1" x14ac:dyDescent="0.35">
      <c r="A37" s="303"/>
      <c r="B37" s="76"/>
      <c r="C37" s="18" t="s">
        <v>74</v>
      </c>
      <c r="K37" s="9" t="s">
        <v>115</v>
      </c>
      <c r="L37" s="91">
        <f>C11</f>
        <v>0</v>
      </c>
      <c r="M37" s="232" t="s">
        <v>76</v>
      </c>
      <c r="N37" s="130">
        <v>170</v>
      </c>
      <c r="O37" s="91">
        <v>189</v>
      </c>
      <c r="P37" s="9" t="s">
        <v>116</v>
      </c>
      <c r="Q37" s="92" t="str">
        <f>F87</f>
        <v>nelze</v>
      </c>
      <c r="R37" s="92">
        <f>H87</f>
        <v>0</v>
      </c>
      <c r="X37" s="103"/>
    </row>
    <row r="38" spans="1:24" ht="23.15" customHeight="1" x14ac:dyDescent="0.35">
      <c r="A38" s="303"/>
      <c r="B38" s="76"/>
      <c r="C38" s="2" t="s">
        <v>620</v>
      </c>
      <c r="L38" s="255"/>
      <c r="M38" s="252" t="s">
        <v>117</v>
      </c>
      <c r="N38" s="256" t="e">
        <f>$C$12-N37</f>
        <v>#VALUE!</v>
      </c>
      <c r="O38" s="257" t="e">
        <f>$C$12-O37</f>
        <v>#VALUE!</v>
      </c>
      <c r="X38" s="103"/>
    </row>
    <row r="39" spans="1:24" ht="15" customHeight="1" x14ac:dyDescent="0.35">
      <c r="A39" s="303"/>
      <c r="B39" s="76"/>
      <c r="C39" s="2" t="s">
        <v>619</v>
      </c>
      <c r="X39" s="103"/>
    </row>
    <row r="40" spans="1:24" ht="17.5" x14ac:dyDescent="0.35">
      <c r="A40" s="303"/>
      <c r="B40" s="76"/>
      <c r="C40" s="2" t="s">
        <v>600</v>
      </c>
      <c r="X40" s="103"/>
    </row>
    <row r="41" spans="1:24" ht="17.5" x14ac:dyDescent="0.35">
      <c r="A41" s="303"/>
      <c r="B41" s="76"/>
      <c r="X41" s="103"/>
    </row>
    <row r="42" spans="1:24" ht="17.5" x14ac:dyDescent="0.35">
      <c r="A42" s="303"/>
      <c r="B42" s="19" t="s">
        <v>81</v>
      </c>
      <c r="U42" s="19" t="s">
        <v>82</v>
      </c>
    </row>
    <row r="43" spans="1:24" x14ac:dyDescent="0.3">
      <c r="A43" s="303"/>
    </row>
    <row r="44" spans="1:24" x14ac:dyDescent="0.3">
      <c r="A44" s="303"/>
    </row>
    <row r="45" spans="1:24" x14ac:dyDescent="0.3">
      <c r="A45" s="303"/>
    </row>
    <row r="46" spans="1:24" x14ac:dyDescent="0.3">
      <c r="A46" s="303"/>
    </row>
    <row r="47" spans="1:24" x14ac:dyDescent="0.3">
      <c r="A47" s="303"/>
      <c r="C47" s="63"/>
    </row>
    <row r="48" spans="1:24" x14ac:dyDescent="0.3">
      <c r="A48" s="303"/>
      <c r="C48" s="176">
        <f>$C$36</f>
        <v>0</v>
      </c>
    </row>
    <row r="49" spans="1:24" x14ac:dyDescent="0.3">
      <c r="A49" s="303"/>
    </row>
    <row r="50" spans="1:24" ht="9" customHeight="1" x14ac:dyDescent="0.3">
      <c r="A50" s="303"/>
    </row>
    <row r="51" spans="1:24" x14ac:dyDescent="0.3">
      <c r="A51" s="303"/>
      <c r="C51" s="2">
        <v>64</v>
      </c>
    </row>
    <row r="52" spans="1:24" x14ac:dyDescent="0.3">
      <c r="A52" s="303"/>
      <c r="U52" s="47">
        <f>$F$36</f>
        <v>0</v>
      </c>
    </row>
    <row r="53" spans="1:24" x14ac:dyDescent="0.3">
      <c r="A53" s="303"/>
    </row>
    <row r="54" spans="1:24" x14ac:dyDescent="0.3">
      <c r="A54" s="303"/>
      <c r="U54" s="5">
        <v>32</v>
      </c>
    </row>
    <row r="55" spans="1:24" x14ac:dyDescent="0.3">
      <c r="A55" s="303"/>
    </row>
    <row r="56" spans="1:24" x14ac:dyDescent="0.3">
      <c r="A56" s="303"/>
    </row>
    <row r="57" spans="1:24" x14ac:dyDescent="0.3">
      <c r="A57" s="303"/>
    </row>
    <row r="58" spans="1:24" x14ac:dyDescent="0.3">
      <c r="A58" s="303"/>
    </row>
    <row r="59" spans="1:24" x14ac:dyDescent="0.3">
      <c r="A59" s="303"/>
      <c r="C59" s="2" t="s">
        <v>604</v>
      </c>
      <c r="U59" s="63">
        <f>$G$36</f>
        <v>0</v>
      </c>
    </row>
    <row r="60" spans="1:24" x14ac:dyDescent="0.3">
      <c r="A60" s="303"/>
      <c r="C60" s="2" t="s">
        <v>605</v>
      </c>
    </row>
    <row r="61" spans="1:24" x14ac:dyDescent="0.3">
      <c r="A61" s="303"/>
      <c r="C61" s="2" t="s">
        <v>648</v>
      </c>
    </row>
    <row r="62" spans="1:24" x14ac:dyDescent="0.3">
      <c r="A62" s="303"/>
      <c r="W62" s="315" t="s">
        <v>88</v>
      </c>
      <c r="X62" s="315"/>
    </row>
    <row r="63" spans="1:24" x14ac:dyDescent="0.3">
      <c r="A63" s="303"/>
    </row>
    <row r="64" spans="1:24" x14ac:dyDescent="0.3">
      <c r="A64" s="303"/>
      <c r="C64" s="2" t="s">
        <v>89</v>
      </c>
      <c r="D64" s="9"/>
      <c r="E64" s="9"/>
      <c r="F64" s="2" t="s">
        <v>90</v>
      </c>
    </row>
    <row r="65" spans="1:29" x14ac:dyDescent="0.3">
      <c r="A65" s="303"/>
      <c r="C65" s="2" t="s">
        <v>91</v>
      </c>
      <c r="D65" s="9"/>
      <c r="E65" s="9"/>
      <c r="F65" s="2" t="s">
        <v>602</v>
      </c>
    </row>
    <row r="66" spans="1:29" x14ac:dyDescent="0.3">
      <c r="A66" s="303"/>
    </row>
    <row r="67" spans="1:29" x14ac:dyDescent="0.3">
      <c r="A67" s="303"/>
    </row>
    <row r="68" spans="1:29" x14ac:dyDescent="0.3">
      <c r="A68" s="303"/>
    </row>
    <row r="69" spans="1:29" x14ac:dyDescent="0.3">
      <c r="A69" s="303"/>
    </row>
    <row r="70" spans="1:29" x14ac:dyDescent="0.3">
      <c r="A70" s="303"/>
    </row>
    <row r="75" spans="1:29" x14ac:dyDescent="0.3">
      <c r="A75" s="303"/>
    </row>
    <row r="76" spans="1:29" ht="14.5" x14ac:dyDescent="0.35">
      <c r="A76" s="303"/>
      <c r="C76" s="263" t="s">
        <v>118</v>
      </c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7"/>
      <c r="Q76" s="86"/>
      <c r="R76" s="87"/>
      <c r="S76" s="86"/>
      <c r="T76" s="86"/>
      <c r="U76" s="86"/>
      <c r="V76" s="86"/>
      <c r="W76" s="86"/>
      <c r="X76" s="86"/>
      <c r="Y76" s="264"/>
      <c r="Z76" s="88"/>
      <c r="AA76" s="88"/>
      <c r="AB76" s="88"/>
      <c r="AC76" s="88"/>
    </row>
    <row r="77" spans="1:29" ht="6.75" customHeight="1" x14ac:dyDescent="0.35">
      <c r="A77" s="303"/>
      <c r="C77" s="265"/>
      <c r="D77" s="265"/>
      <c r="E77" s="265"/>
      <c r="F77" s="265"/>
      <c r="G77" s="265"/>
      <c r="H77" s="265"/>
      <c r="I77" s="265"/>
      <c r="J77" s="265"/>
      <c r="K77" s="265"/>
      <c r="L77" s="265"/>
      <c r="M77" s="265"/>
      <c r="N77" s="265"/>
      <c r="O77" s="265"/>
      <c r="P77" s="266"/>
      <c r="Q77" s="265"/>
      <c r="R77" s="266"/>
      <c r="S77" s="265"/>
      <c r="T77" s="265"/>
      <c r="U77" s="265"/>
      <c r="V77" s="265"/>
      <c r="W77" s="265"/>
      <c r="X77" s="265"/>
      <c r="Y77" s="264"/>
      <c r="Z77" s="88"/>
      <c r="AA77" s="88"/>
      <c r="AB77" s="88"/>
      <c r="AC77" s="88"/>
    </row>
    <row r="78" spans="1:29" ht="16.5" customHeight="1" x14ac:dyDescent="0.35">
      <c r="A78" s="303"/>
      <c r="C78" s="317" t="str">
        <f>C3</f>
        <v>Parametry korpusu:</v>
      </c>
      <c r="D78" s="317"/>
      <c r="E78" s="317"/>
      <c r="F78" s="317"/>
      <c r="G78" s="317"/>
      <c r="H78" s="317"/>
      <c r="I78" s="282"/>
      <c r="J78" s="282"/>
      <c r="K78" s="282"/>
      <c r="L78" s="265"/>
      <c r="M78" s="265"/>
      <c r="N78" s="265"/>
      <c r="O78" s="265"/>
      <c r="P78" s="266"/>
      <c r="Q78" s="265"/>
      <c r="R78" s="266"/>
      <c r="S78" s="265"/>
      <c r="T78" s="265"/>
      <c r="U78" s="265"/>
      <c r="V78" s="265"/>
      <c r="W78" s="265"/>
      <c r="X78" s="265"/>
      <c r="Y78" s="264"/>
      <c r="Z78" s="88"/>
      <c r="AA78" s="88"/>
      <c r="AB78" s="88"/>
      <c r="AC78" s="88"/>
    </row>
    <row r="79" spans="1:29" ht="16.5" customHeight="1" x14ac:dyDescent="0.35">
      <c r="A79" s="303"/>
      <c r="C79" s="277" t="s">
        <v>632</v>
      </c>
      <c r="D79" s="278"/>
      <c r="E79" s="278"/>
      <c r="F79" s="278"/>
      <c r="G79" s="278"/>
      <c r="H79" s="276">
        <f>C4</f>
        <v>0</v>
      </c>
      <c r="I79" s="282"/>
      <c r="K79" s="265"/>
      <c r="L79" s="283" t="str">
        <f>IF(H79&lt;480, " min. 480", IF(H79&gt;1200, " max. 1200", " "))</f>
        <v xml:space="preserve"> min. 480</v>
      </c>
      <c r="M79" s="265"/>
      <c r="N79" s="265"/>
      <c r="O79" s="316" t="s">
        <v>621</v>
      </c>
      <c r="P79" s="316" t="s">
        <v>622</v>
      </c>
      <c r="Q79" s="265"/>
      <c r="R79" s="265"/>
      <c r="S79" s="265"/>
      <c r="T79" s="265"/>
      <c r="U79" s="265"/>
      <c r="V79" s="265"/>
      <c r="W79" s="265"/>
      <c r="X79" s="265"/>
      <c r="Y79" s="264"/>
      <c r="Z79" s="88"/>
      <c r="AA79" s="88"/>
      <c r="AB79" s="88"/>
      <c r="AC79" s="88"/>
    </row>
    <row r="80" spans="1:29" ht="16.5" customHeight="1" x14ac:dyDescent="0.35">
      <c r="A80" s="303"/>
      <c r="C80" s="277" t="s">
        <v>633</v>
      </c>
      <c r="D80" s="278"/>
      <c r="E80" s="278"/>
      <c r="F80" s="278"/>
      <c r="G80" s="278"/>
      <c r="H80" s="276">
        <f>C7</f>
        <v>0</v>
      </c>
      <c r="I80" s="282"/>
      <c r="K80" s="265"/>
      <c r="L80" s="284"/>
      <c r="M80" s="265"/>
      <c r="N80" s="267"/>
      <c r="O80" s="316"/>
      <c r="P80" s="316"/>
      <c r="Q80" s="265"/>
      <c r="R80" s="265"/>
      <c r="S80" s="265"/>
      <c r="T80" s="265"/>
      <c r="U80" s="265"/>
      <c r="V80" s="265"/>
      <c r="W80" s="265"/>
      <c r="X80" s="265"/>
      <c r="Y80" s="264"/>
      <c r="Z80" s="88"/>
      <c r="AA80" s="88"/>
      <c r="AB80" s="88"/>
      <c r="AC80" s="88"/>
    </row>
    <row r="81" spans="1:29" ht="16.5" customHeight="1" x14ac:dyDescent="0.35">
      <c r="A81" s="303"/>
      <c r="C81" s="277" t="s">
        <v>634</v>
      </c>
      <c r="D81" s="278"/>
      <c r="E81" s="278"/>
      <c r="F81" s="278"/>
      <c r="G81" s="278"/>
      <c r="H81" s="276">
        <f>C8</f>
        <v>0</v>
      </c>
      <c r="I81" s="282"/>
      <c r="K81" s="265"/>
      <c r="L81" s="283" t="str">
        <f>IF($I$103=0," ",IF($I$105&lt;1.5," min. 1,5 mm!"," "))</f>
        <v xml:space="preserve"> </v>
      </c>
      <c r="M81" s="265"/>
      <c r="N81" s="265"/>
      <c r="O81" s="316"/>
      <c r="P81" s="316"/>
      <c r="Q81" s="265"/>
      <c r="R81" s="265"/>
      <c r="S81" s="265"/>
      <c r="T81" s="265"/>
      <c r="U81" s="265"/>
      <c r="V81" s="265"/>
      <c r="W81" s="265"/>
      <c r="X81" s="265"/>
      <c r="Y81" s="264"/>
      <c r="Z81" s="89"/>
      <c r="AA81" s="89"/>
      <c r="AB81" s="89"/>
      <c r="AC81" s="89"/>
    </row>
    <row r="82" spans="1:29" ht="16.5" customHeight="1" x14ac:dyDescent="0.35">
      <c r="A82" s="303"/>
      <c r="C82" s="277" t="s">
        <v>635</v>
      </c>
      <c r="D82" s="278"/>
      <c r="E82" s="278"/>
      <c r="F82" s="278"/>
      <c r="G82" s="278"/>
      <c r="H82" s="276">
        <f>C9</f>
        <v>0</v>
      </c>
      <c r="I82" s="282"/>
      <c r="K82" s="265"/>
      <c r="L82" s="265"/>
      <c r="M82" s="265"/>
      <c r="N82" s="268" t="s">
        <v>623</v>
      </c>
      <c r="O82" s="87">
        <v>170</v>
      </c>
      <c r="P82" s="87">
        <v>189</v>
      </c>
      <c r="Q82" s="265"/>
      <c r="R82" s="265"/>
      <c r="S82" s="265"/>
      <c r="T82" s="265"/>
      <c r="U82" s="265"/>
      <c r="V82" s="265"/>
      <c r="W82" s="265"/>
      <c r="X82" s="265"/>
      <c r="Y82" s="264"/>
      <c r="Z82" s="89"/>
      <c r="AA82" s="89"/>
      <c r="AB82" s="89"/>
      <c r="AC82" s="89"/>
    </row>
    <row r="83" spans="1:29" ht="16.5" customHeight="1" x14ac:dyDescent="0.35">
      <c r="A83" s="303"/>
      <c r="C83" s="277" t="s">
        <v>636</v>
      </c>
      <c r="D83" s="278"/>
      <c r="E83" s="278"/>
      <c r="F83" s="278"/>
      <c r="G83" s="278"/>
      <c r="H83" s="276">
        <f>C5</f>
        <v>0</v>
      </c>
      <c r="I83" s="282"/>
      <c r="K83" s="265"/>
      <c r="L83" s="265"/>
      <c r="M83" s="265"/>
      <c r="N83" s="268" t="s">
        <v>624</v>
      </c>
      <c r="O83" s="281">
        <f>$C$5+93</f>
        <v>93</v>
      </c>
      <c r="P83" s="281">
        <f>$C$5+116</f>
        <v>116</v>
      </c>
      <c r="Q83" s="265"/>
      <c r="R83" s="265"/>
      <c r="S83" s="265"/>
      <c r="T83" s="265"/>
      <c r="U83" s="265"/>
      <c r="V83" s="265"/>
      <c r="W83" s="265"/>
      <c r="X83" s="265"/>
      <c r="Y83" s="264"/>
      <c r="Z83" s="89"/>
      <c r="AA83" s="89"/>
      <c r="AB83" s="89"/>
      <c r="AC83" s="89"/>
    </row>
    <row r="84" spans="1:29" ht="11.25" customHeight="1" x14ac:dyDescent="0.35">
      <c r="A84" s="303"/>
      <c r="C84" s="265"/>
      <c r="D84" s="265"/>
      <c r="E84" s="265"/>
      <c r="F84" s="265"/>
      <c r="G84" s="265"/>
      <c r="H84" s="265"/>
      <c r="I84" s="265"/>
      <c r="J84" s="265"/>
      <c r="K84" s="285"/>
      <c r="L84" s="265"/>
      <c r="M84" s="265"/>
      <c r="N84" s="268"/>
      <c r="O84" s="86"/>
      <c r="P84" s="87"/>
      <c r="Q84" s="265"/>
      <c r="R84" s="265"/>
      <c r="S84" s="265"/>
      <c r="T84" s="265"/>
      <c r="U84" s="265"/>
      <c r="V84" s="265"/>
      <c r="W84" s="265"/>
      <c r="X84" s="265"/>
      <c r="Y84" s="264"/>
      <c r="Z84" s="89"/>
      <c r="AA84" s="89"/>
      <c r="AB84" s="89"/>
      <c r="AC84" s="89"/>
    </row>
    <row r="85" spans="1:29" ht="16.5" customHeight="1" x14ac:dyDescent="0.35">
      <c r="A85" s="303"/>
      <c r="C85" s="290" t="s">
        <v>119</v>
      </c>
      <c r="D85" s="286"/>
      <c r="E85" s="286"/>
      <c r="F85" s="286"/>
      <c r="G85" s="286"/>
      <c r="H85" s="286"/>
      <c r="I85" s="286"/>
      <c r="J85" s="286"/>
      <c r="K85" s="286"/>
      <c r="L85" s="265"/>
      <c r="M85" s="265"/>
      <c r="N85" s="265"/>
      <c r="O85" s="270" t="s">
        <v>625</v>
      </c>
      <c r="P85" s="271" t="s">
        <v>625</v>
      </c>
      <c r="Q85" s="265"/>
      <c r="R85" s="265"/>
      <c r="S85" s="265"/>
      <c r="T85" s="265"/>
      <c r="U85" s="265"/>
      <c r="V85" s="265"/>
      <c r="W85" s="265"/>
      <c r="X85" s="265"/>
      <c r="Y85" s="264"/>
      <c r="Z85" s="89"/>
      <c r="AA85" s="89"/>
      <c r="AB85" s="89"/>
      <c r="AC85" s="89"/>
    </row>
    <row r="86" spans="1:29" ht="16.5" customHeight="1" x14ac:dyDescent="0.35">
      <c r="A86" s="303"/>
      <c r="C86" s="318" t="s">
        <v>642</v>
      </c>
      <c r="D86" s="318"/>
      <c r="E86" s="318"/>
      <c r="F86" s="318"/>
      <c r="G86" s="318"/>
      <c r="H86" s="318"/>
      <c r="I86" s="287"/>
      <c r="J86" s="287"/>
      <c r="K86" s="287"/>
      <c r="L86" s="265"/>
      <c r="M86" s="265"/>
      <c r="N86" s="265"/>
      <c r="O86" s="265" t="s">
        <v>626</v>
      </c>
      <c r="P86" s="265" t="s">
        <v>626</v>
      </c>
      <c r="Q86" s="265"/>
      <c r="R86" s="265"/>
      <c r="S86" s="265"/>
      <c r="T86" s="265"/>
      <c r="U86" s="265"/>
      <c r="V86" s="265"/>
      <c r="W86" s="265"/>
      <c r="X86" s="265"/>
      <c r="Y86" s="264"/>
      <c r="Z86" s="89"/>
      <c r="AA86" s="89"/>
      <c r="AB86" s="89"/>
      <c r="AC86" s="89"/>
    </row>
    <row r="87" spans="1:29" ht="16.5" customHeight="1" x14ac:dyDescent="0.35">
      <c r="A87" s="303"/>
      <c r="C87" s="319" t="s">
        <v>643</v>
      </c>
      <c r="D87" s="320"/>
      <c r="E87" s="272" t="s">
        <v>114</v>
      </c>
      <c r="F87" s="273" t="str">
        <f>IF(AND($H$79&gt;=480, $H$79&lt;=519), $O$87, IF(AND($H$79&gt;=520, $H$79&lt;=1200), $P$87, $S$92))</f>
        <v>nelze</v>
      </c>
      <c r="G87" s="272" t="s">
        <v>84</v>
      </c>
      <c r="H87" s="273">
        <f>IF(AND($H$79&gt;=480, $H$79&lt;=519), $O$90, IF(AND($H$79&gt;=520, $H$79&lt;=1200), $P$90, $S$115))</f>
        <v>0</v>
      </c>
      <c r="L87" s="265"/>
      <c r="M87" s="265"/>
      <c r="N87" s="265"/>
      <c r="O87" s="266">
        <f>SUM(H79, -H80, -H81, -H82, -O96)</f>
        <v>0</v>
      </c>
      <c r="P87" s="266">
        <f>SUM(H79, -H80, -H81, -H82, -P96)</f>
        <v>0</v>
      </c>
      <c r="Q87" s="265"/>
      <c r="R87" s="265"/>
      <c r="S87" s="265"/>
      <c r="T87" s="265"/>
      <c r="U87" s="265"/>
      <c r="V87" s="265"/>
      <c r="W87" s="265"/>
      <c r="X87" s="265"/>
      <c r="Y87" s="264"/>
      <c r="Z87" s="89"/>
      <c r="AA87" s="89"/>
      <c r="AB87" s="89"/>
      <c r="AC87" s="89"/>
    </row>
    <row r="88" spans="1:29" ht="16.5" customHeight="1" x14ac:dyDescent="0.35">
      <c r="A88" s="303"/>
      <c r="C88" s="319" t="s">
        <v>644</v>
      </c>
      <c r="D88" s="320"/>
      <c r="E88" s="272" t="s">
        <v>114</v>
      </c>
      <c r="F88" s="273" t="str">
        <f>IF(AND($H$79&gt;=480, $H$79&lt;=519), $O$94, IF(AND($H$79&gt;=520, $H$79&lt;=1200), $P$94, $S$92))</f>
        <v>nelze</v>
      </c>
      <c r="G88" s="272" t="s">
        <v>84</v>
      </c>
      <c r="H88" s="273" t="str">
        <f>IF(AND($H$79&gt;=480, $H$79&lt;=519), $O$96, IF(AND($H$79&gt;=520, $H$79&lt;=1200), $P$96, $S$92))</f>
        <v>nelze</v>
      </c>
      <c r="L88" s="265"/>
      <c r="M88" s="265"/>
      <c r="N88" s="265"/>
      <c r="O88" s="265" t="s">
        <v>627</v>
      </c>
      <c r="P88" s="265" t="s">
        <v>627</v>
      </c>
      <c r="Q88" s="265"/>
      <c r="R88" s="265"/>
      <c r="S88" s="265"/>
      <c r="T88" s="265"/>
      <c r="U88" s="265"/>
      <c r="V88" s="265"/>
      <c r="W88" s="265"/>
      <c r="X88" s="265"/>
      <c r="Y88" s="264"/>
      <c r="Z88" s="89"/>
      <c r="AA88" s="89"/>
      <c r="AB88" s="89"/>
      <c r="AC88" s="89"/>
    </row>
    <row r="89" spans="1:29" ht="11.25" customHeight="1" x14ac:dyDescent="0.35">
      <c r="A89" s="303"/>
      <c r="C89" s="274"/>
      <c r="D89" s="274"/>
      <c r="E89" s="274"/>
      <c r="F89" s="274"/>
      <c r="G89" s="274"/>
      <c r="H89" s="274"/>
      <c r="I89" s="274"/>
      <c r="J89" s="265"/>
      <c r="K89" s="265"/>
      <c r="L89" s="265"/>
      <c r="M89" s="265"/>
      <c r="N89" s="265"/>
      <c r="O89" s="266">
        <f>ROUNDUP(SUM(519, -$I$104, -$I$105, -$I$106)/2, 0)</f>
        <v>260</v>
      </c>
      <c r="P89" s="266">
        <f>ROUNDUP(SUM(1200, -$I$104, -$I$105, -$I$106)/2, 0)</f>
        <v>600</v>
      </c>
      <c r="Q89" s="265" t="s">
        <v>628</v>
      </c>
      <c r="R89" s="265"/>
      <c r="S89" s="265"/>
      <c r="T89" s="265"/>
      <c r="U89" s="265"/>
      <c r="V89" s="265"/>
      <c r="W89" s="265"/>
      <c r="X89" s="265"/>
      <c r="Y89" s="264"/>
      <c r="Z89" s="89"/>
      <c r="AA89" s="89"/>
      <c r="AB89" s="89"/>
      <c r="AC89" s="89"/>
    </row>
    <row r="90" spans="1:29" ht="16.5" customHeight="1" x14ac:dyDescent="0.35">
      <c r="A90" s="303"/>
      <c r="C90" s="277" t="s">
        <v>637</v>
      </c>
      <c r="D90" s="278"/>
      <c r="E90" s="278"/>
      <c r="F90" s="278"/>
      <c r="G90" s="278"/>
      <c r="H90" s="276">
        <f>C11</f>
        <v>0</v>
      </c>
      <c r="I90" s="282"/>
      <c r="J90" s="288" t="str">
        <f>IF(H79=0," ",IF(H90&gt;H87,S91,IF(H90&lt;F87,S90," ")))</f>
        <v xml:space="preserve"> </v>
      </c>
      <c r="K90" s="289"/>
      <c r="L90" s="283" t="str">
        <f>IF($I$103=0," ",IF($I$114&gt;$J$111,S91,IF($I$114&lt;$H$111,$S$114," ")))</f>
        <v xml:space="preserve"> </v>
      </c>
      <c r="M90" s="265"/>
      <c r="N90" s="265"/>
      <c r="O90" s="266">
        <f>SUM(H79, -H80, -H81, -H82, -O94)</f>
        <v>-219</v>
      </c>
      <c r="P90" s="269">
        <f>SUM(H79, -H80, -H81, -H82, -P94)</f>
        <v>-238</v>
      </c>
      <c r="Q90" s="265" t="s">
        <v>629</v>
      </c>
      <c r="R90" s="265"/>
      <c r="S90" s="265" t="str">
        <f>" min. "&amp;TEXT($F$87,"#")&amp;" mm!"</f>
        <v xml:space="preserve"> min. nelze mm!</v>
      </c>
      <c r="U90" s="265"/>
      <c r="V90" s="265"/>
      <c r="X90" s="265"/>
      <c r="Y90" s="264"/>
      <c r="Z90" s="89"/>
      <c r="AA90" s="89"/>
      <c r="AB90" s="89"/>
      <c r="AC90" s="89"/>
    </row>
    <row r="91" spans="1:29" ht="16.5" customHeight="1" x14ac:dyDescent="0.35">
      <c r="A91" s="303"/>
      <c r="C91" s="277" t="s">
        <v>638</v>
      </c>
      <c r="D91" s="278"/>
      <c r="E91" s="278"/>
      <c r="F91" s="278"/>
      <c r="G91" s="278"/>
      <c r="H91" s="279" t="str">
        <f>IF($H$90&lt;$F$87,$S$92,IF($H$90&gt;$H$87,$S$92,+$H$79-$H$80-$H$81-$H$82-$H$90))</f>
        <v>nelze</v>
      </c>
      <c r="I91" s="282"/>
      <c r="K91" s="265"/>
      <c r="L91" s="284"/>
      <c r="M91" s="265"/>
      <c r="N91" s="265"/>
      <c r="O91" s="275">
        <f>IF($N$114&gt;$N$113, $N$113, $N$114)</f>
        <v>0</v>
      </c>
      <c r="P91" s="275">
        <f>IF($O$114&gt;$O$113, $O$113, $O$114)</f>
        <v>0</v>
      </c>
      <c r="Q91" s="265" t="s">
        <v>630</v>
      </c>
      <c r="R91" s="87"/>
      <c r="S91" s="265" t="str">
        <f>" max. "&amp;TEXT($H$87,"#")&amp;" mm!"</f>
        <v xml:space="preserve"> max.  mm!</v>
      </c>
      <c r="T91" s="265"/>
      <c r="U91" s="265"/>
      <c r="V91" s="265"/>
      <c r="W91" s="265"/>
      <c r="X91" s="265"/>
      <c r="Y91" s="264"/>
      <c r="Z91" s="89"/>
      <c r="AA91" s="89"/>
      <c r="AB91" s="89"/>
      <c r="AC91" s="89"/>
    </row>
    <row r="92" spans="1:29" ht="16.5" customHeight="1" x14ac:dyDescent="0.35">
      <c r="A92" s="303"/>
      <c r="C92" s="277" t="s">
        <v>639</v>
      </c>
      <c r="D92" s="278"/>
      <c r="E92" s="278"/>
      <c r="F92" s="278"/>
      <c r="G92" s="278"/>
      <c r="H92" s="279" t="str">
        <f>IF(AND($H$79&gt;=480, $H$79&lt;520), $O$82, IF(AND($H$79&gt;=520, $H$79&lt;=1200), $P$82, $S$92))</f>
        <v>nelze</v>
      </c>
      <c r="I92" s="282"/>
      <c r="K92" s="265"/>
      <c r="L92" s="265"/>
      <c r="M92" s="265"/>
      <c r="N92" s="265"/>
      <c r="O92" s="270" t="s">
        <v>631</v>
      </c>
      <c r="P92" s="271" t="s">
        <v>631</v>
      </c>
      <c r="Q92" s="265"/>
      <c r="R92" s="265"/>
      <c r="S92" s="265" t="s">
        <v>120</v>
      </c>
      <c r="T92" s="265"/>
      <c r="U92" s="265"/>
      <c r="V92" s="265"/>
      <c r="W92" s="265"/>
      <c r="X92" s="265"/>
      <c r="Y92" s="264"/>
      <c r="Z92" s="89"/>
      <c r="AA92" s="89"/>
      <c r="AB92" s="89"/>
      <c r="AC92" s="89"/>
    </row>
    <row r="93" spans="1:29" ht="16.5" customHeight="1" x14ac:dyDescent="0.35">
      <c r="A93" s="303"/>
      <c r="C93" s="277" t="s">
        <v>640</v>
      </c>
      <c r="D93" s="278"/>
      <c r="E93" s="278"/>
      <c r="F93" s="278"/>
      <c r="G93" s="278"/>
      <c r="H93" s="279" t="str">
        <f>IF(AND($H$79&gt;=480, $H$79&lt;520), $O$83, IF(AND($H$79&gt;=520, $H$79&lt;=1200), $P$83, $S$92))</f>
        <v>nelze</v>
      </c>
      <c r="I93" s="282"/>
      <c r="K93" s="265"/>
      <c r="L93" s="265"/>
      <c r="M93" s="265"/>
      <c r="N93" s="265"/>
      <c r="O93" s="265" t="s">
        <v>626</v>
      </c>
      <c r="P93" s="265" t="s">
        <v>626</v>
      </c>
      <c r="Q93" s="265"/>
      <c r="R93" s="265"/>
      <c r="S93" s="265"/>
      <c r="T93" s="265"/>
      <c r="U93" s="265"/>
      <c r="V93" s="265"/>
      <c r="W93" s="265"/>
      <c r="X93" s="265"/>
      <c r="Y93" s="264"/>
      <c r="Z93" s="89"/>
      <c r="AA93" s="89"/>
      <c r="AB93" s="89"/>
      <c r="AC93" s="89"/>
    </row>
    <row r="94" spans="1:29" ht="16.5" customHeight="1" x14ac:dyDescent="0.35">
      <c r="A94" s="303"/>
      <c r="C94" s="277" t="s">
        <v>641</v>
      </c>
      <c r="D94" s="278"/>
      <c r="E94" s="278"/>
      <c r="F94" s="278"/>
      <c r="G94" s="278"/>
      <c r="H94" s="280" t="str">
        <f>IF($I$115=$S$92, $S$92, IF($R$94&gt;=480, IF($R$94&lt;=1202, $R$94, $S$92)," "))</f>
        <v xml:space="preserve"> </v>
      </c>
      <c r="I94" s="282"/>
      <c r="K94" s="265"/>
      <c r="L94" s="265"/>
      <c r="M94" s="265"/>
      <c r="N94" s="265"/>
      <c r="O94" s="291">
        <f>SUM(O82, 32, 17, $H$83, -$H$82)</f>
        <v>219</v>
      </c>
      <c r="P94" s="291">
        <f>SUM(P82, 32, 17, $H$83, -$H$82)</f>
        <v>238</v>
      </c>
      <c r="Q94" s="268" t="s">
        <v>113</v>
      </c>
      <c r="R94" s="266">
        <f>ROUND(SUM($H$90*2+$H$80+$H$81+$H$82), -1)</f>
        <v>0</v>
      </c>
      <c r="S94" s="265"/>
      <c r="T94" s="265"/>
      <c r="U94" s="265"/>
      <c r="V94" s="265"/>
      <c r="W94" s="265"/>
      <c r="X94" s="265"/>
      <c r="Y94" s="264"/>
      <c r="Z94" s="89"/>
      <c r="AA94" s="89"/>
      <c r="AB94" s="89"/>
      <c r="AC94" s="89"/>
    </row>
    <row r="95" spans="1:29" ht="14.5" x14ac:dyDescent="0.35">
      <c r="A95" s="303"/>
      <c r="C95" s="265"/>
      <c r="D95" s="265"/>
      <c r="E95" s="265"/>
      <c r="F95" s="265"/>
      <c r="G95" s="265"/>
      <c r="H95" s="265"/>
      <c r="I95" s="265"/>
      <c r="J95" s="265"/>
      <c r="K95" s="265"/>
      <c r="L95" s="265"/>
      <c r="M95" s="265"/>
      <c r="N95" s="265"/>
      <c r="O95" s="265" t="s">
        <v>627</v>
      </c>
      <c r="P95" s="265" t="s">
        <v>627</v>
      </c>
      <c r="Q95" s="265"/>
      <c r="R95" s="266"/>
      <c r="S95" s="265"/>
      <c r="T95" s="265"/>
      <c r="U95" s="265"/>
      <c r="V95" s="265"/>
      <c r="W95" s="265"/>
      <c r="X95" s="265"/>
      <c r="Y95" s="264"/>
      <c r="Z95" s="89"/>
      <c r="AA95" s="89"/>
      <c r="AB95" s="89"/>
      <c r="AC95" s="89"/>
    </row>
    <row r="96" spans="1:29" ht="14.5" x14ac:dyDescent="0.35">
      <c r="A96" s="303"/>
      <c r="C96" s="265" t="s">
        <v>646</v>
      </c>
      <c r="E96" s="265"/>
      <c r="F96" s="265"/>
      <c r="G96" s="265"/>
      <c r="H96" s="265"/>
      <c r="I96" s="265"/>
      <c r="J96" s="265"/>
      <c r="K96" s="265"/>
      <c r="L96" s="265"/>
      <c r="M96" s="265"/>
      <c r="N96" s="265"/>
      <c r="O96" s="266">
        <f>ROUNDDOWN(SUM(H79, -H80, -H81, -H82)/2, 0)</f>
        <v>0</v>
      </c>
      <c r="P96" s="266">
        <f>ROUNDDOWN(SUM(H79, -H80, -H81, -H82)/2, 0)</f>
        <v>0</v>
      </c>
      <c r="Q96" s="265"/>
      <c r="R96" s="266"/>
      <c r="S96" s="265"/>
      <c r="T96" s="265"/>
      <c r="U96" s="265"/>
      <c r="V96" s="265"/>
      <c r="W96" s="265"/>
      <c r="X96" s="265"/>
      <c r="Y96" s="264"/>
      <c r="Z96" s="89"/>
      <c r="AA96" s="89"/>
      <c r="AB96" s="89"/>
      <c r="AC96" s="89"/>
    </row>
    <row r="97" spans="1:41" x14ac:dyDescent="0.3">
      <c r="A97" s="303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7"/>
      <c r="N97" s="86"/>
      <c r="O97" s="87"/>
      <c r="P97" s="86"/>
      <c r="Q97" s="86"/>
      <c r="R97" s="86"/>
      <c r="S97" s="86"/>
      <c r="T97" s="86"/>
      <c r="U97" s="86"/>
      <c r="V97"/>
      <c r="W97"/>
      <c r="X97"/>
      <c r="Y97" s="88"/>
      <c r="Z97" s="88"/>
      <c r="AA97" s="88"/>
      <c r="AB97" s="88"/>
      <c r="AC97" s="88"/>
    </row>
    <row r="98" spans="1:41" x14ac:dyDescent="0.3">
      <c r="A98" s="303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7"/>
      <c r="N98" s="86"/>
      <c r="O98" s="87"/>
      <c r="P98" s="86"/>
      <c r="Q98" s="86"/>
      <c r="R98" s="86"/>
      <c r="S98" s="86"/>
      <c r="T98" s="86"/>
      <c r="U98" s="86"/>
      <c r="V98"/>
      <c r="W98"/>
      <c r="X98"/>
      <c r="Y98" s="88"/>
      <c r="Z98" s="88"/>
      <c r="AA98" s="88"/>
      <c r="AB98" s="88"/>
      <c r="AC98" s="88"/>
    </row>
    <row r="99" spans="1:41" x14ac:dyDescent="0.3">
      <c r="A99" s="303"/>
    </row>
    <row r="100" spans="1:41" x14ac:dyDescent="0.3">
      <c r="A100" s="303"/>
    </row>
    <row r="101" spans="1:41" x14ac:dyDescent="0.3">
      <c r="A101" s="303"/>
    </row>
    <row r="102" spans="1:41" ht="21" customHeight="1" x14ac:dyDescent="0.35">
      <c r="A102" s="303"/>
      <c r="AB102" s="17"/>
      <c r="AC102" s="99" t="s">
        <v>105</v>
      </c>
      <c r="AO102" s="193" t="str">
        <f>X32</f>
        <v xml:space="preserve"> AVENTOS HF top - asymetrická čela</v>
      </c>
    </row>
    <row r="103" spans="1:41" ht="16" customHeight="1" x14ac:dyDescent="0.3">
      <c r="A103" s="303"/>
      <c r="AB103" s="171"/>
      <c r="AC103" s="17" t="s">
        <v>23</v>
      </c>
      <c r="AD103" s="17"/>
      <c r="AE103" s="17"/>
      <c r="AF103" s="17"/>
      <c r="AG103" s="17"/>
      <c r="AH103" s="17"/>
    </row>
    <row r="104" spans="1:41" ht="14.15" customHeight="1" x14ac:dyDescent="0.3">
      <c r="A104" s="303"/>
      <c r="AB104" s="171"/>
      <c r="AC104" s="170">
        <f t="shared" ref="AC104:AC112" si="0">C4</f>
        <v>0</v>
      </c>
      <c r="AD104" s="311" t="s">
        <v>26</v>
      </c>
      <c r="AE104" s="312"/>
      <c r="AF104" s="312"/>
      <c r="AG104" s="312"/>
      <c r="AH104" s="313"/>
      <c r="AJ104" s="171"/>
      <c r="AK104" s="200"/>
      <c r="AL104" s="200"/>
      <c r="AM104" s="200"/>
      <c r="AN104" s="200"/>
      <c r="AO104" s="200"/>
    </row>
    <row r="105" spans="1:41" x14ac:dyDescent="0.3">
      <c r="A105" s="303"/>
      <c r="AB105" s="171"/>
      <c r="AC105" s="170">
        <f t="shared" si="0"/>
        <v>0</v>
      </c>
      <c r="AD105" s="311" t="s">
        <v>30</v>
      </c>
      <c r="AE105" s="312"/>
      <c r="AF105" s="312"/>
      <c r="AG105" s="312"/>
      <c r="AH105" s="313"/>
      <c r="AJ105" s="171"/>
      <c r="AK105" s="201"/>
      <c r="AL105" s="201"/>
      <c r="AM105" s="201"/>
      <c r="AN105" s="201"/>
      <c r="AO105" s="201"/>
    </row>
    <row r="106" spans="1:41" x14ac:dyDescent="0.3">
      <c r="A106" s="303"/>
      <c r="AB106" s="171"/>
      <c r="AC106" s="170">
        <f t="shared" si="0"/>
        <v>0</v>
      </c>
      <c r="AD106" s="311" t="s">
        <v>31</v>
      </c>
      <c r="AE106" s="312"/>
      <c r="AF106" s="312"/>
      <c r="AG106" s="312"/>
      <c r="AH106" s="313"/>
      <c r="AJ106" s="171"/>
      <c r="AK106" s="200"/>
      <c r="AL106" s="200"/>
      <c r="AM106" s="200"/>
      <c r="AN106" s="200"/>
      <c r="AO106" s="200"/>
    </row>
    <row r="107" spans="1:41" x14ac:dyDescent="0.3">
      <c r="A107" s="303"/>
      <c r="AB107" s="171"/>
      <c r="AC107" s="170">
        <f t="shared" si="0"/>
        <v>0</v>
      </c>
      <c r="AD107" s="311" t="s">
        <v>109</v>
      </c>
      <c r="AE107" s="312"/>
      <c r="AF107" s="312"/>
      <c r="AG107" s="312"/>
      <c r="AH107" s="313"/>
      <c r="AJ107" s="171"/>
      <c r="AK107" s="200"/>
      <c r="AL107" s="200"/>
      <c r="AM107" s="200"/>
      <c r="AN107" s="200"/>
      <c r="AO107" s="200"/>
    </row>
    <row r="108" spans="1:41" x14ac:dyDescent="0.3">
      <c r="A108" s="303"/>
      <c r="AB108" s="171"/>
      <c r="AC108" s="170">
        <f t="shared" si="0"/>
        <v>0</v>
      </c>
      <c r="AD108" s="311" t="s">
        <v>33</v>
      </c>
      <c r="AE108" s="312"/>
      <c r="AF108" s="312"/>
      <c r="AG108" s="312"/>
      <c r="AH108" s="313"/>
      <c r="AN108" s="46"/>
      <c r="AO108" s="46"/>
    </row>
    <row r="109" spans="1:41" x14ac:dyDescent="0.3">
      <c r="A109" s="303"/>
      <c r="AB109" s="171"/>
      <c r="AC109" s="170">
        <f t="shared" si="0"/>
        <v>0</v>
      </c>
      <c r="AD109" s="311" t="s">
        <v>34</v>
      </c>
      <c r="AE109" s="312"/>
      <c r="AF109" s="312"/>
      <c r="AG109" s="312"/>
      <c r="AH109" s="313"/>
      <c r="AN109" s="224"/>
      <c r="AO109" s="224"/>
    </row>
    <row r="110" spans="1:41" x14ac:dyDescent="0.3">
      <c r="A110" s="303"/>
      <c r="AB110" s="171"/>
      <c r="AC110" s="170">
        <f t="shared" si="0"/>
        <v>0</v>
      </c>
      <c r="AD110" s="311" t="s">
        <v>35</v>
      </c>
      <c r="AE110" s="312"/>
      <c r="AF110" s="312"/>
      <c r="AG110" s="312"/>
      <c r="AH110" s="313"/>
      <c r="AN110" s="224"/>
      <c r="AO110" s="224"/>
    </row>
    <row r="111" spans="1:41" x14ac:dyDescent="0.3">
      <c r="A111" s="303"/>
      <c r="AC111" s="170">
        <f t="shared" si="0"/>
        <v>0</v>
      </c>
      <c r="AD111" s="311" t="s">
        <v>110</v>
      </c>
      <c r="AE111" s="312"/>
      <c r="AF111" s="312"/>
      <c r="AG111" s="312"/>
      <c r="AH111" s="313"/>
      <c r="AN111" s="224"/>
      <c r="AO111" s="224"/>
    </row>
    <row r="112" spans="1:41" x14ac:dyDescent="0.3">
      <c r="A112" s="303"/>
      <c r="AC112" s="170" t="str">
        <f t="shared" si="0"/>
        <v>nelze</v>
      </c>
      <c r="AD112" s="311" t="s">
        <v>111</v>
      </c>
      <c r="AE112" s="312"/>
      <c r="AF112" s="312"/>
      <c r="AG112" s="312"/>
      <c r="AH112" s="313"/>
      <c r="AN112" s="224"/>
      <c r="AO112" s="224"/>
    </row>
    <row r="113" spans="1:46" ht="16.5" customHeight="1" x14ac:dyDescent="0.3">
      <c r="A113" s="303"/>
      <c r="AC113" s="140"/>
      <c r="AD113" s="140"/>
      <c r="AE113" s="140"/>
      <c r="AF113" s="140"/>
      <c r="AG113" s="140"/>
      <c r="AH113" s="140"/>
      <c r="AI113" s="140"/>
      <c r="AJ113" s="140"/>
      <c r="AK113" s="140"/>
      <c r="AN113" s="224"/>
      <c r="AO113" s="224"/>
    </row>
    <row r="114" spans="1:46" ht="20.5" customHeight="1" x14ac:dyDescent="0.35">
      <c r="A114" s="303"/>
      <c r="AB114" s="171"/>
      <c r="AC114" s="99" t="s">
        <v>106</v>
      </c>
      <c r="AL114" s="180"/>
      <c r="AM114" s="181"/>
      <c r="AN114" s="132"/>
      <c r="AO114" s="132"/>
      <c r="AP114" s="132"/>
      <c r="AQ114" s="132"/>
      <c r="AR114" s="132"/>
      <c r="AS114" s="132"/>
      <c r="AT114" s="177"/>
    </row>
    <row r="115" spans="1:46" ht="15.65" customHeight="1" x14ac:dyDescent="0.35">
      <c r="A115" s="303"/>
      <c r="AB115" s="171"/>
      <c r="AC115" s="308" t="str">
        <f>C34</f>
        <v>Vrtání korpusu</v>
      </c>
      <c r="AD115" s="309"/>
      <c r="AE115" s="310"/>
      <c r="AF115" s="308" t="str">
        <f>F34</f>
        <v>Vrtání čela</v>
      </c>
      <c r="AG115" s="309"/>
      <c r="AH115" s="310"/>
      <c r="AL115" s="81"/>
      <c r="AM115" s="98"/>
      <c r="AN115" s="98"/>
      <c r="AO115" s="98"/>
      <c r="AP115" s="98"/>
      <c r="AQ115" s="98"/>
      <c r="AR115" s="98"/>
      <c r="AS115" s="98"/>
      <c r="AT115" s="182"/>
    </row>
    <row r="116" spans="1:46" x14ac:dyDescent="0.3">
      <c r="A116" s="303"/>
      <c r="AB116" s="171"/>
      <c r="AC116" s="183" t="str">
        <f>C35</f>
        <v>výška*</v>
      </c>
      <c r="AD116" s="183" t="str">
        <f t="shared" ref="AD116:AH116" si="1">D35</f>
        <v>hloubka</v>
      </c>
      <c r="AE116" s="183" t="str">
        <f t="shared" si="1"/>
        <v>rozteč</v>
      </c>
      <c r="AF116" s="183" t="str">
        <f t="shared" si="1"/>
        <v>výška**</v>
      </c>
      <c r="AG116" s="183" t="str">
        <f t="shared" si="1"/>
        <v>vlevo</v>
      </c>
      <c r="AH116" s="183" t="str">
        <f t="shared" si="1"/>
        <v>vpravo</v>
      </c>
      <c r="AL116" s="81"/>
      <c r="AR116" s="47"/>
      <c r="AT116" s="80"/>
    </row>
    <row r="117" spans="1:46" x14ac:dyDescent="0.3">
      <c r="A117" s="303"/>
      <c r="AB117" s="171"/>
      <c r="AC117" s="32">
        <f>C36</f>
        <v>0</v>
      </c>
      <c r="AD117" s="32">
        <f t="shared" ref="AD117:AH117" si="2">D36</f>
        <v>0</v>
      </c>
      <c r="AE117" s="32">
        <f t="shared" si="2"/>
        <v>0</v>
      </c>
      <c r="AF117" s="32">
        <f t="shared" si="2"/>
        <v>0</v>
      </c>
      <c r="AG117" s="32">
        <f t="shared" si="2"/>
        <v>0</v>
      </c>
      <c r="AH117" s="32">
        <f t="shared" si="2"/>
        <v>0</v>
      </c>
      <c r="AL117" s="81"/>
      <c r="AR117" s="47"/>
      <c r="AT117" s="80"/>
    </row>
    <row r="118" spans="1:46" x14ac:dyDescent="0.3">
      <c r="A118" s="303"/>
      <c r="AC118" s="18" t="str">
        <f>C37</f>
        <v xml:space="preserve">  Hodnoty vrtání čela platí pro ocelové montážní podložky!</v>
      </c>
      <c r="AL118" s="81"/>
      <c r="AR118" s="47"/>
      <c r="AT118" s="80"/>
    </row>
    <row r="119" spans="1:46" x14ac:dyDescent="0.3">
      <c r="A119" s="303"/>
      <c r="AC119" s="2" t="str">
        <f t="shared" ref="AC119:AC121" si="3">C38</f>
        <v xml:space="preserve"> * Vzdálenost od spodní hrany korpusu na osu vrtání pro zdvihač</v>
      </c>
      <c r="AL119" s="81"/>
      <c r="AR119" s="47"/>
      <c r="AT119" s="80"/>
    </row>
    <row r="120" spans="1:46" ht="14.15" customHeight="1" x14ac:dyDescent="0.3">
      <c r="A120" s="303"/>
      <c r="AB120" s="172"/>
      <c r="AC120" s="2" t="str">
        <f t="shared" si="3"/>
        <v xml:space="preserve"> ** Vzdálenost od horní hrany dolního čela na horní otvor podložky</v>
      </c>
      <c r="AL120" s="81"/>
      <c r="AR120" s="47"/>
      <c r="AT120" s="80"/>
    </row>
    <row r="121" spans="1:46" x14ac:dyDescent="0.3">
      <c r="A121" s="303"/>
      <c r="AB121" s="172"/>
      <c r="AC121" s="2" t="str">
        <f t="shared" si="3"/>
        <v xml:space="preserve">     pro teleskopy</v>
      </c>
      <c r="AL121" s="81"/>
      <c r="AR121" s="47"/>
      <c r="AT121" s="80"/>
    </row>
    <row r="122" spans="1:46" x14ac:dyDescent="0.3">
      <c r="A122" s="303"/>
      <c r="AB122" s="122"/>
      <c r="AL122" s="81"/>
      <c r="AT122" s="80"/>
    </row>
    <row r="123" spans="1:46" x14ac:dyDescent="0.3">
      <c r="A123" s="303"/>
      <c r="AL123" s="81"/>
      <c r="AT123" s="80"/>
    </row>
    <row r="124" spans="1:46" ht="5.5" customHeight="1" x14ac:dyDescent="0.3">
      <c r="A124" s="303"/>
      <c r="AL124" s="178"/>
      <c r="AM124" s="140"/>
      <c r="AN124" s="140"/>
      <c r="AO124" s="140"/>
      <c r="AP124" s="140"/>
      <c r="AQ124" s="140"/>
      <c r="AR124" s="140"/>
      <c r="AS124" s="140"/>
      <c r="AT124" s="179"/>
    </row>
    <row r="125" spans="1:46" ht="15.5" x14ac:dyDescent="0.35">
      <c r="A125" s="303"/>
      <c r="AD125" s="174" t="s">
        <v>81</v>
      </c>
    </row>
    <row r="126" spans="1:46" ht="15.5" x14ac:dyDescent="0.3">
      <c r="A126" s="303"/>
      <c r="AG126" s="9"/>
      <c r="AI126" s="146"/>
      <c r="AN126" s="175" t="s">
        <v>82</v>
      </c>
    </row>
    <row r="127" spans="1:46" x14ac:dyDescent="0.3">
      <c r="A127" s="303"/>
    </row>
    <row r="128" spans="1:46" ht="14.15" customHeight="1" x14ac:dyDescent="0.3">
      <c r="A128" s="303"/>
      <c r="AC128" s="9">
        <f>$C$36</f>
        <v>0</v>
      </c>
      <c r="AF128" s="9"/>
      <c r="AN128" s="2" t="s">
        <v>43</v>
      </c>
    </row>
    <row r="129" spans="1:44" x14ac:dyDescent="0.3">
      <c r="A129" s="303"/>
      <c r="AC129" s="2">
        <f>$AC$128+64</f>
        <v>64</v>
      </c>
      <c r="AG129" s="9"/>
    </row>
    <row r="130" spans="1:44" ht="13.5" customHeight="1" x14ac:dyDescent="0.35">
      <c r="A130" s="303"/>
      <c r="AB130" s="19"/>
      <c r="AF130" s="176">
        <f>C48</f>
        <v>0</v>
      </c>
      <c r="AG130" s="9"/>
      <c r="AN130" s="63">
        <f>$H$36</f>
        <v>0</v>
      </c>
    </row>
    <row r="131" spans="1:44" x14ac:dyDescent="0.3">
      <c r="A131" s="303"/>
      <c r="AG131" s="9"/>
      <c r="AN131" s="63"/>
    </row>
    <row r="132" spans="1:44" x14ac:dyDescent="0.3">
      <c r="A132" s="303"/>
      <c r="AG132" s="9"/>
      <c r="AN132" s="63"/>
    </row>
    <row r="133" spans="1:44" x14ac:dyDescent="0.3">
      <c r="A133" s="303"/>
      <c r="AF133" s="2">
        <v>64</v>
      </c>
      <c r="AN133" s="15">
        <f>$H$36</f>
        <v>0</v>
      </c>
      <c r="AQ133" s="47">
        <f>U52</f>
        <v>0</v>
      </c>
    </row>
    <row r="134" spans="1:44" x14ac:dyDescent="0.3">
      <c r="A134" s="303"/>
      <c r="AN134" s="63"/>
    </row>
    <row r="135" spans="1:44" x14ac:dyDescent="0.3">
      <c r="A135" s="303"/>
      <c r="AN135" s="15">
        <f>$H$36</f>
        <v>0</v>
      </c>
      <c r="AQ135" s="47">
        <v>32</v>
      </c>
      <c r="AR135" s="9"/>
    </row>
    <row r="136" spans="1:44" x14ac:dyDescent="0.3">
      <c r="A136" s="303"/>
      <c r="AR136" s="9"/>
    </row>
    <row r="137" spans="1:44" x14ac:dyDescent="0.3">
      <c r="A137" s="303"/>
      <c r="AQ137" s="9"/>
      <c r="AR137" s="9"/>
    </row>
    <row r="138" spans="1:44" x14ac:dyDescent="0.3">
      <c r="A138" s="303"/>
      <c r="AN138" s="9" t="s">
        <v>60</v>
      </c>
      <c r="AO138" s="173">
        <f>$F$36</f>
        <v>0</v>
      </c>
      <c r="AQ138" s="2">
        <f>U59</f>
        <v>0</v>
      </c>
    </row>
    <row r="139" spans="1:44" x14ac:dyDescent="0.3">
      <c r="A139" s="303"/>
    </row>
    <row r="140" spans="1:44" x14ac:dyDescent="0.3">
      <c r="A140" s="303"/>
    </row>
    <row r="141" spans="1:44" x14ac:dyDescent="0.3">
      <c r="A141" s="303"/>
    </row>
    <row r="142" spans="1:44" x14ac:dyDescent="0.3">
      <c r="A142" s="303"/>
    </row>
    <row r="143" spans="1:44" x14ac:dyDescent="0.3">
      <c r="A143" s="303"/>
    </row>
    <row r="144" spans="1:44" x14ac:dyDescent="0.3">
      <c r="A144" s="303"/>
    </row>
  </sheetData>
  <sheetProtection algorithmName="SHA-512" hashValue="Ith13fGZ/+kL6tPemVMSgyo1Ce3cUJ0rw+E0MEiZpUwv2RnNFmRyQ3mNtzhitsVpuj6PIUikDJMUUJk96IOHTw==" saltValue="nrmTy8hrgy3upaOd7K3Phw==" spinCount="100000" sheet="1" objects="1" scenarios="1"/>
  <mergeCells count="32">
    <mergeCell ref="D9:H9"/>
    <mergeCell ref="D4:H4"/>
    <mergeCell ref="D5:H5"/>
    <mergeCell ref="D6:H6"/>
    <mergeCell ref="D7:H7"/>
    <mergeCell ref="D8:H8"/>
    <mergeCell ref="D10:H10"/>
    <mergeCell ref="F34:H34"/>
    <mergeCell ref="C34:E34"/>
    <mergeCell ref="AD104:AH104"/>
    <mergeCell ref="O79:O81"/>
    <mergeCell ref="P79:P81"/>
    <mergeCell ref="C78:H78"/>
    <mergeCell ref="C86:H86"/>
    <mergeCell ref="C87:D87"/>
    <mergeCell ref="C88:D88"/>
    <mergeCell ref="AD105:AH105"/>
    <mergeCell ref="AD106:AH106"/>
    <mergeCell ref="A32:A70"/>
    <mergeCell ref="D11:H11"/>
    <mergeCell ref="D12:H12"/>
    <mergeCell ref="A75:A144"/>
    <mergeCell ref="AD111:AH111"/>
    <mergeCell ref="W62:X62"/>
    <mergeCell ref="AC115:AE115"/>
    <mergeCell ref="AF115:AH115"/>
    <mergeCell ref="AD112:AH112"/>
    <mergeCell ref="AD107:AH107"/>
    <mergeCell ref="AD108:AH108"/>
    <mergeCell ref="AD109:AH109"/>
    <mergeCell ref="AD110:AH110"/>
    <mergeCell ref="D13:H13"/>
  </mergeCells>
  <hyperlinks>
    <hyperlink ref="W62:X62" location="'HF-A'!A1" tooltip="Zpět na plánování" display="Zpět" xr:uid="{00000000-0004-0000-0300-000001000000}"/>
    <hyperlink ref="AA1" location="AVS!A1" tooltip="Úvodní strana AVENTOS" display="Úvod AVENTOS" xr:uid="{00000000-0004-0000-0300-000002000000}"/>
  </hyperlinks>
  <pageMargins left="0.23622047244094491" right="0.23622047244094491" top="0.55118110236220474" bottom="0.74803149606299213" header="0.31496062992125984" footer="0.31496062992125984"/>
  <pageSetup paperSize="9" scale="95" orientation="landscape" verticalDpi="599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AT135"/>
  <sheetViews>
    <sheetView showGridLines="0" showRowColHeaders="0" workbookViewId="0">
      <selection activeCell="C4" sqref="C4:C9"/>
    </sheetView>
  </sheetViews>
  <sheetFormatPr defaultColWidth="8.9140625" defaultRowHeight="14" x14ac:dyDescent="0.3"/>
  <cols>
    <col min="1" max="1" width="1" style="2" customWidth="1"/>
    <col min="2" max="2" width="3.08203125" style="2" customWidth="1"/>
    <col min="3" max="3" width="8.9140625" style="2" customWidth="1"/>
    <col min="4" max="6" width="8.9140625" style="2"/>
    <col min="7" max="7" width="8.9140625" style="2" customWidth="1"/>
    <col min="8" max="8" width="8.9140625" style="2"/>
    <col min="9" max="9" width="0.75" style="2" customWidth="1"/>
    <col min="10" max="10" width="6.5" style="2" customWidth="1"/>
    <col min="11" max="11" width="11" style="2" hidden="1" customWidth="1"/>
    <col min="12" max="20" width="8.9140625" style="2" hidden="1" customWidth="1"/>
    <col min="21" max="21" width="18.5" style="2" customWidth="1"/>
    <col min="22" max="22" width="18.4140625" style="2" customWidth="1"/>
    <col min="23" max="23" width="8.9140625" style="2" customWidth="1"/>
    <col min="24" max="24" width="10.08203125" style="2" customWidth="1"/>
    <col min="25" max="25" width="1.25" style="2" customWidth="1"/>
    <col min="26" max="26" width="8.9140625" style="2"/>
    <col min="27" max="27" width="20.5" style="2" customWidth="1"/>
    <col min="28" max="28" width="8.9140625" style="2"/>
    <col min="29" max="37" width="6.58203125" style="2" customWidth="1"/>
    <col min="38" max="38" width="1.08203125" style="2" customWidth="1"/>
    <col min="39" max="39" width="6.58203125" style="2" customWidth="1"/>
    <col min="40" max="40" width="12.25" style="2" customWidth="1"/>
    <col min="41" max="41" width="8.9140625" style="2"/>
    <col min="42" max="42" width="6.83203125" style="2" customWidth="1"/>
    <col min="43" max="43" width="9.4140625" style="2" customWidth="1"/>
    <col min="44" max="44" width="5.9140625" style="2" customWidth="1"/>
    <col min="45" max="45" width="9.4140625" style="2" customWidth="1"/>
    <col min="46" max="46" width="8.25" style="2" customWidth="1"/>
    <col min="47" max="16384" width="8.9140625" style="2"/>
  </cols>
  <sheetData>
    <row r="1" spans="2:27" ht="28" customHeight="1" x14ac:dyDescent="0.5">
      <c r="B1" s="1" t="s">
        <v>615</v>
      </c>
      <c r="AA1" s="49" t="s">
        <v>22</v>
      </c>
    </row>
    <row r="2" spans="2:27" ht="18" customHeight="1" x14ac:dyDescent="0.4">
      <c r="B2" s="22"/>
      <c r="U2" s="133"/>
      <c r="W2" s="224"/>
      <c r="X2" s="224"/>
    </row>
    <row r="3" spans="2:27" ht="18" customHeight="1" x14ac:dyDescent="0.3">
      <c r="B3" s="6"/>
      <c r="C3" s="17" t="s">
        <v>108</v>
      </c>
      <c r="D3" s="17"/>
      <c r="E3" s="17"/>
      <c r="F3" s="17"/>
      <c r="G3" s="17"/>
      <c r="H3" s="17"/>
      <c r="K3" s="9" t="s">
        <v>24</v>
      </c>
      <c r="L3" s="30">
        <f>IF(AND(L4=1, L5=1, L6=1, L7=1, L8=1, L9=1),1,2)</f>
        <v>2</v>
      </c>
      <c r="M3" s="31" t="s">
        <v>25</v>
      </c>
      <c r="W3" s="50"/>
      <c r="X3" s="50"/>
    </row>
    <row r="4" spans="2:27" ht="16.5" customHeight="1" x14ac:dyDescent="0.3">
      <c r="B4" s="6"/>
      <c r="C4" s="78"/>
      <c r="D4" s="304" t="s">
        <v>26</v>
      </c>
      <c r="E4" s="304"/>
      <c r="F4" s="304"/>
      <c r="G4" s="304"/>
      <c r="H4" s="304"/>
      <c r="J4" s="12" t="str">
        <f>IF(C4&lt;350, "Minimálně 350 mm!", IF(C4&gt;800, "Maximálně 800 mm!", " "))</f>
        <v>Minimálně 350 mm!</v>
      </c>
      <c r="L4" s="63">
        <f>IF(OR(C4&lt;350, C4&gt;800), 2, 1)</f>
        <v>2</v>
      </c>
      <c r="M4" s="31" t="s">
        <v>27</v>
      </c>
    </row>
    <row r="5" spans="2:27" ht="16.5" customHeight="1" x14ac:dyDescent="0.3">
      <c r="B5" s="6"/>
      <c r="C5" s="78"/>
      <c r="D5" s="304" t="s">
        <v>30</v>
      </c>
      <c r="E5" s="304"/>
      <c r="F5" s="304"/>
      <c r="G5" s="304"/>
      <c r="H5" s="304"/>
      <c r="J5" s="12" t="str">
        <f>IF(C5&lt;14,"Minimálně 14 mm!"," ")</f>
        <v>Minimálně 14 mm!</v>
      </c>
      <c r="L5" s="63">
        <f>IF(C5&lt;14, 2, 1)</f>
        <v>2</v>
      </c>
      <c r="W5" s="224"/>
      <c r="X5" s="224"/>
    </row>
    <row r="6" spans="2:27" ht="16.5" customHeight="1" x14ac:dyDescent="0.3">
      <c r="B6" s="6"/>
      <c r="C6" s="78"/>
      <c r="D6" s="304" t="s">
        <v>31</v>
      </c>
      <c r="E6" s="304"/>
      <c r="F6" s="304"/>
      <c r="G6" s="304"/>
      <c r="H6" s="304"/>
      <c r="J6" s="12" t="str">
        <f>IF(C6&lt;14,"Minimálně 14 mm!"," ")</f>
        <v>Minimálně 14 mm!</v>
      </c>
      <c r="L6" s="63">
        <f>IF(C6&lt;14, 2, 1)</f>
        <v>2</v>
      </c>
      <c r="W6" s="46"/>
      <c r="X6" s="46"/>
    </row>
    <row r="7" spans="2:27" ht="16.5" customHeight="1" x14ac:dyDescent="0.3">
      <c r="B7" s="6"/>
      <c r="C7" s="78"/>
      <c r="D7" s="304" t="s">
        <v>109</v>
      </c>
      <c r="E7" s="304"/>
      <c r="F7" s="304"/>
      <c r="G7" s="304"/>
      <c r="H7" s="304"/>
      <c r="J7" s="12" t="str">
        <f>IF(C7&gt;$C$5,"Maximálně "&amp;$C$5&amp;" mm!"," ")</f>
        <v xml:space="preserve"> </v>
      </c>
      <c r="L7" s="63">
        <f>IF(C7&gt;$C$5, 2, 1)</f>
        <v>1</v>
      </c>
      <c r="W7" s="224"/>
      <c r="X7" s="224"/>
    </row>
    <row r="8" spans="2:27" ht="16.5" customHeight="1" x14ac:dyDescent="0.3">
      <c r="B8" s="6"/>
      <c r="C8" s="78"/>
      <c r="D8" s="304" t="s">
        <v>34</v>
      </c>
      <c r="E8" s="304"/>
      <c r="F8" s="304"/>
      <c r="G8" s="304"/>
      <c r="H8" s="304"/>
      <c r="J8" s="12" t="str">
        <f>IF(C8&gt;$C$5,"Maximálně "&amp;$C$5&amp;" mm!"," ")</f>
        <v xml:space="preserve"> </v>
      </c>
      <c r="L8" s="63">
        <f>IF(C8&gt;$C$5, 2, 1)</f>
        <v>1</v>
      </c>
      <c r="W8" s="224"/>
      <c r="X8" s="224"/>
    </row>
    <row r="9" spans="2:27" ht="16.5" customHeight="1" x14ac:dyDescent="0.3">
      <c r="B9" s="6"/>
      <c r="C9" s="78"/>
      <c r="D9" s="304" t="s">
        <v>35</v>
      </c>
      <c r="E9" s="304"/>
      <c r="F9" s="304"/>
      <c r="G9" s="304"/>
      <c r="H9" s="304"/>
      <c r="J9" s="12" t="str">
        <f>IF(C9&gt;C6,"Maximálně "&amp;C6&amp;" mm!"," ")</f>
        <v xml:space="preserve"> </v>
      </c>
      <c r="L9" s="63">
        <f>IF(C9&gt;C6, 2, 1)</f>
        <v>1</v>
      </c>
      <c r="W9" s="224"/>
      <c r="X9" s="224"/>
    </row>
    <row r="10" spans="2:27" ht="17.25" customHeight="1" x14ac:dyDescent="0.3">
      <c r="C10" s="12" t="str">
        <f>IF(L3=2, "Vyplňte správně všechny parametry!"," ")</f>
        <v>Vyplňte správně všechny parametry!</v>
      </c>
      <c r="L10" s="63"/>
      <c r="M10" s="63"/>
      <c r="N10" s="63"/>
      <c r="O10" s="63"/>
      <c r="P10" s="63"/>
      <c r="Q10" s="63"/>
      <c r="W10" s="224"/>
      <c r="X10" s="224"/>
    </row>
    <row r="11" spans="2:27" ht="16.5" customHeight="1" x14ac:dyDescent="0.3">
      <c r="L11" s="63"/>
      <c r="M11" s="63"/>
      <c r="N11" s="63"/>
      <c r="O11" s="63"/>
      <c r="P11" s="63"/>
      <c r="Q11" s="63"/>
    </row>
    <row r="12" spans="2:27" ht="16.5" customHeight="1" x14ac:dyDescent="0.3">
      <c r="B12" s="2" t="s">
        <v>112</v>
      </c>
      <c r="P12" s="63"/>
    </row>
    <row r="13" spans="2:27" ht="16.5" customHeight="1" x14ac:dyDescent="0.3">
      <c r="B13" s="26"/>
      <c r="P13" s="63"/>
    </row>
    <row r="14" spans="2:27" ht="22.5" customHeight="1" x14ac:dyDescent="0.3">
      <c r="B14" s="25"/>
      <c r="Q14" s="9"/>
      <c r="R14" s="23"/>
      <c r="S14" s="24"/>
      <c r="T14" s="63"/>
      <c r="U14" s="202" t="s">
        <v>617</v>
      </c>
      <c r="V14" s="11"/>
      <c r="W14" s="37" t="s">
        <v>649</v>
      </c>
      <c r="X14" s="292">
        <f>$F$36</f>
        <v>0</v>
      </c>
    </row>
    <row r="15" spans="2:27" ht="15.75" customHeight="1" x14ac:dyDescent="0.3">
      <c r="U15" s="11">
        <f>$C$36</f>
        <v>0</v>
      </c>
    </row>
    <row r="16" spans="2:27" ht="14.25" customHeight="1" x14ac:dyDescent="0.3">
      <c r="U16" s="2">
        <f>$U$15+64</f>
        <v>64</v>
      </c>
    </row>
    <row r="17" spans="1:26" ht="14.25" customHeight="1" x14ac:dyDescent="0.3">
      <c r="W17" s="63">
        <f>$H$36</f>
        <v>0</v>
      </c>
    </row>
    <row r="18" spans="1:26" ht="14.25" customHeight="1" x14ac:dyDescent="0.3">
      <c r="S18" s="18"/>
    </row>
    <row r="19" spans="1:26" ht="14.25" customHeight="1" x14ac:dyDescent="0.3">
      <c r="C19" s="18"/>
      <c r="S19" s="18"/>
      <c r="W19" s="15">
        <f>$H$36</f>
        <v>0</v>
      </c>
    </row>
    <row r="20" spans="1:26" ht="14.25" customHeight="1" x14ac:dyDescent="0.3">
      <c r="S20" s="18"/>
    </row>
    <row r="21" spans="1:26" ht="14.25" customHeight="1" x14ac:dyDescent="0.3">
      <c r="S21" s="18"/>
    </row>
    <row r="22" spans="1:26" ht="14.25" customHeight="1" x14ac:dyDescent="0.3">
      <c r="C22" s="18"/>
      <c r="S22" s="18"/>
      <c r="W22" s="15">
        <f>$H$36</f>
        <v>0</v>
      </c>
    </row>
    <row r="23" spans="1:26" ht="18" customHeight="1" x14ac:dyDescent="0.3">
      <c r="S23" s="18"/>
      <c r="W23" s="9" t="s">
        <v>43</v>
      </c>
    </row>
    <row r="24" spans="1:26" ht="14.25" customHeight="1" x14ac:dyDescent="0.3">
      <c r="S24" s="36"/>
    </row>
    <row r="25" spans="1:26" ht="14.25" customHeight="1" x14ac:dyDescent="0.3">
      <c r="S25" s="18"/>
    </row>
    <row r="26" spans="1:26" ht="14.25" customHeight="1" x14ac:dyDescent="0.3">
      <c r="S26" s="36"/>
    </row>
    <row r="27" spans="1:26" ht="14.25" customHeight="1" x14ac:dyDescent="0.3">
      <c r="S27" s="36"/>
    </row>
    <row r="28" spans="1:26" ht="14.25" customHeight="1" x14ac:dyDescent="0.3">
      <c r="S28" s="36"/>
    </row>
    <row r="29" spans="1:26" ht="14.25" customHeight="1" x14ac:dyDescent="0.3">
      <c r="S29" s="36"/>
    </row>
    <row r="30" spans="1:26" ht="14.25" customHeight="1" x14ac:dyDescent="0.3">
      <c r="S30" s="36"/>
    </row>
    <row r="31" spans="1:26" ht="14.5" thickBot="1" x14ac:dyDescent="0.35">
      <c r="A31" s="303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</row>
    <row r="32" spans="1:26" ht="25" customHeight="1" thickTop="1" x14ac:dyDescent="0.35">
      <c r="A32" s="303"/>
      <c r="B32" s="199" t="str">
        <f>"Výsledky pro výšku korpusu KH "&amp;$C$4&amp;" mm"</f>
        <v>Výsledky pro výšku korpusu KH  mm</v>
      </c>
      <c r="X32" s="103" t="str">
        <f>$B$1</f>
        <v>AVENTOS HS top</v>
      </c>
    </row>
    <row r="33" spans="1:24" ht="6.65" customHeight="1" x14ac:dyDescent="0.35">
      <c r="A33" s="303"/>
      <c r="X33" s="103"/>
    </row>
    <row r="34" spans="1:24" ht="17.5" x14ac:dyDescent="0.35">
      <c r="A34" s="303"/>
      <c r="C34" s="321" t="s">
        <v>65</v>
      </c>
      <c r="D34" s="321"/>
      <c r="E34" s="321"/>
      <c r="F34" s="321" t="s">
        <v>64</v>
      </c>
      <c r="G34" s="321"/>
      <c r="H34" s="321"/>
      <c r="L34" s="63"/>
      <c r="M34" s="63"/>
      <c r="N34" s="33" t="s">
        <v>122</v>
      </c>
      <c r="O34" s="29"/>
      <c r="X34" s="103"/>
    </row>
    <row r="35" spans="1:24" ht="17.5" x14ac:dyDescent="0.35">
      <c r="A35" s="303"/>
      <c r="C35" s="230" t="s">
        <v>66</v>
      </c>
      <c r="D35" s="230" t="s">
        <v>70</v>
      </c>
      <c r="E35" s="230" t="s">
        <v>71</v>
      </c>
      <c r="F35" s="230" t="s">
        <v>69</v>
      </c>
      <c r="G35" s="230" t="s">
        <v>67</v>
      </c>
      <c r="H35" s="230" t="s">
        <v>68</v>
      </c>
      <c r="L35" s="63"/>
      <c r="M35" s="9" t="s">
        <v>72</v>
      </c>
      <c r="N35" s="94">
        <f>63+$C$5</f>
        <v>63</v>
      </c>
      <c r="O35" s="63"/>
      <c r="X35" s="103"/>
    </row>
    <row r="36" spans="1:24" ht="17.5" x14ac:dyDescent="0.35">
      <c r="A36" s="303"/>
      <c r="C36" s="32">
        <f>IF($L$3=1, $N$35, 0)</f>
        <v>0</v>
      </c>
      <c r="D36" s="32">
        <f>IF($L$3=1, 37, 0)</f>
        <v>0</v>
      </c>
      <c r="E36" s="32">
        <f>IF($L$3=1, 192, 0)</f>
        <v>0</v>
      </c>
      <c r="F36" s="32">
        <f>IF($L$3=1, $N$37, 0)</f>
        <v>0</v>
      </c>
      <c r="G36" s="32">
        <f>IF($L$3=1, SUM($C$6-$C$9+12.5), 0)</f>
        <v>0</v>
      </c>
      <c r="H36" s="32">
        <f>IF($L$3=1, SUM($C$6-$C$9+12.5), 0)</f>
        <v>0</v>
      </c>
      <c r="K36" s="9"/>
      <c r="M36" s="37" t="s">
        <v>73</v>
      </c>
      <c r="N36" s="38">
        <f>$C$4-$N$35</f>
        <v>-63</v>
      </c>
      <c r="O36" s="15"/>
      <c r="X36" s="103"/>
    </row>
    <row r="37" spans="1:24" ht="23.15" customHeight="1" x14ac:dyDescent="0.35">
      <c r="A37" s="303"/>
      <c r="C37" s="2" t="s">
        <v>618</v>
      </c>
      <c r="K37" s="9" t="s">
        <v>75</v>
      </c>
      <c r="L37" s="4"/>
      <c r="M37" s="232" t="s">
        <v>76</v>
      </c>
      <c r="N37" s="130">
        <f>195+$C$5-$C$7</f>
        <v>195</v>
      </c>
      <c r="O37" s="4"/>
      <c r="X37" s="103"/>
    </row>
    <row r="38" spans="1:24" ht="15" customHeight="1" x14ac:dyDescent="0.35">
      <c r="A38" s="303"/>
      <c r="C38" s="2" t="s">
        <v>647</v>
      </c>
      <c r="X38" s="103"/>
    </row>
    <row r="39" spans="1:24" ht="17.5" x14ac:dyDescent="0.35">
      <c r="A39" s="303"/>
      <c r="X39" s="103"/>
    </row>
    <row r="40" spans="1:24" ht="17.5" x14ac:dyDescent="0.35">
      <c r="A40" s="303"/>
      <c r="B40" s="19" t="s">
        <v>81</v>
      </c>
      <c r="U40" s="19" t="s">
        <v>82</v>
      </c>
    </row>
    <row r="41" spans="1:24" x14ac:dyDescent="0.3">
      <c r="A41" s="303"/>
    </row>
    <row r="42" spans="1:24" x14ac:dyDescent="0.3">
      <c r="A42" s="303"/>
    </row>
    <row r="43" spans="1:24" x14ac:dyDescent="0.3">
      <c r="A43" s="303"/>
    </row>
    <row r="44" spans="1:24" x14ac:dyDescent="0.3">
      <c r="A44" s="303"/>
    </row>
    <row r="45" spans="1:24" x14ac:dyDescent="0.3">
      <c r="A45" s="303"/>
      <c r="C45" s="176">
        <f>$C$36</f>
        <v>0</v>
      </c>
      <c r="U45" s="73">
        <f>$F$36</f>
        <v>0</v>
      </c>
    </row>
    <row r="46" spans="1:24" x14ac:dyDescent="0.3">
      <c r="A46" s="303"/>
    </row>
    <row r="47" spans="1:24" x14ac:dyDescent="0.3">
      <c r="A47" s="303"/>
      <c r="U47" s="47"/>
    </row>
    <row r="48" spans="1:24" x14ac:dyDescent="0.3">
      <c r="A48" s="303"/>
      <c r="C48" s="2">
        <v>64</v>
      </c>
    </row>
    <row r="49" spans="1:24" x14ac:dyDescent="0.3">
      <c r="A49" s="303"/>
    </row>
    <row r="50" spans="1:24" x14ac:dyDescent="0.3">
      <c r="A50" s="303"/>
    </row>
    <row r="51" spans="1:24" x14ac:dyDescent="0.3">
      <c r="A51" s="303"/>
      <c r="U51" s="5" t="str">
        <f>"("&amp;$C$4-$C$7-$C$8-$F$36-96&amp;")"</f>
        <v>(-96)</v>
      </c>
    </row>
    <row r="52" spans="1:24" x14ac:dyDescent="0.3">
      <c r="A52" s="303"/>
    </row>
    <row r="53" spans="1:24" x14ac:dyDescent="0.3">
      <c r="A53" s="303"/>
    </row>
    <row r="54" spans="1:24" x14ac:dyDescent="0.3">
      <c r="A54" s="303"/>
    </row>
    <row r="55" spans="1:24" x14ac:dyDescent="0.3">
      <c r="A55" s="303"/>
      <c r="U55" s="72">
        <f>$G$36</f>
        <v>0</v>
      </c>
    </row>
    <row r="56" spans="1:24" x14ac:dyDescent="0.3">
      <c r="A56" s="303"/>
      <c r="C56" s="2" t="s">
        <v>607</v>
      </c>
    </row>
    <row r="57" spans="1:24" x14ac:dyDescent="0.3">
      <c r="A57" s="303"/>
      <c r="C57" s="2" t="s">
        <v>605</v>
      </c>
    </row>
    <row r="58" spans="1:24" x14ac:dyDescent="0.3">
      <c r="A58" s="303"/>
      <c r="C58" s="2" t="s">
        <v>606</v>
      </c>
    </row>
    <row r="59" spans="1:24" x14ac:dyDescent="0.3">
      <c r="A59" s="303"/>
    </row>
    <row r="60" spans="1:24" x14ac:dyDescent="0.3">
      <c r="A60" s="303"/>
      <c r="C60" s="44" t="str">
        <f>IF($L$3=2, "Nejdříve vyplňte správně všechny parametry!"," ")</f>
        <v>Nejdříve vyplňte správně všechny parametry!</v>
      </c>
      <c r="W60" s="315" t="s">
        <v>88</v>
      </c>
      <c r="X60" s="315"/>
    </row>
    <row r="61" spans="1:24" x14ac:dyDescent="0.3">
      <c r="A61" s="303"/>
    </row>
    <row r="62" spans="1:24" x14ac:dyDescent="0.3">
      <c r="A62" s="303"/>
    </row>
    <row r="63" spans="1:24" x14ac:dyDescent="0.3">
      <c r="A63" s="303"/>
      <c r="C63" s="2" t="s">
        <v>89</v>
      </c>
      <c r="F63" s="2" t="s">
        <v>125</v>
      </c>
    </row>
    <row r="64" spans="1:24" x14ac:dyDescent="0.3">
      <c r="A64" s="303"/>
      <c r="C64" s="2" t="s">
        <v>91</v>
      </c>
      <c r="F64" s="2" t="s">
        <v>126</v>
      </c>
    </row>
    <row r="65" spans="1:1" x14ac:dyDescent="0.3">
      <c r="A65" s="303"/>
    </row>
    <row r="66" spans="1:1" x14ac:dyDescent="0.3">
      <c r="A66" s="303"/>
    </row>
    <row r="67" spans="1:1" x14ac:dyDescent="0.3">
      <c r="A67" s="303"/>
    </row>
    <row r="68" spans="1:1" x14ac:dyDescent="0.3">
      <c r="A68" s="303"/>
    </row>
    <row r="69" spans="1:1" x14ac:dyDescent="0.3">
      <c r="A69" s="303"/>
    </row>
    <row r="70" spans="1:1" x14ac:dyDescent="0.3">
      <c r="A70" s="303"/>
    </row>
    <row r="71" spans="1:1" x14ac:dyDescent="0.3">
      <c r="A71" s="303"/>
    </row>
    <row r="72" spans="1:1" x14ac:dyDescent="0.3">
      <c r="A72" s="303"/>
    </row>
    <row r="73" spans="1:1" x14ac:dyDescent="0.3">
      <c r="A73" s="303"/>
    </row>
    <row r="100" spans="28:46" ht="21" customHeight="1" x14ac:dyDescent="0.35">
      <c r="AB100" s="17"/>
      <c r="AC100" s="99" t="s">
        <v>105</v>
      </c>
      <c r="AO100" s="193" t="str">
        <f>X32</f>
        <v>AVENTOS HS top</v>
      </c>
    </row>
    <row r="101" spans="28:46" ht="16" customHeight="1" x14ac:dyDescent="0.3">
      <c r="AB101" s="171"/>
      <c r="AC101" s="17" t="s">
        <v>23</v>
      </c>
      <c r="AD101" s="17"/>
      <c r="AE101" s="17"/>
      <c r="AF101" s="17"/>
      <c r="AG101" s="17"/>
      <c r="AH101" s="17"/>
    </row>
    <row r="102" spans="28:46" ht="14.15" customHeight="1" x14ac:dyDescent="0.3">
      <c r="AB102" s="171"/>
      <c r="AC102" s="170">
        <f>C4</f>
        <v>0</v>
      </c>
      <c r="AD102" s="311" t="str">
        <f>D4</f>
        <v>KH - Výška korpusu</v>
      </c>
      <c r="AE102" s="312"/>
      <c r="AF102" s="312"/>
      <c r="AG102" s="312"/>
      <c r="AH102" s="313"/>
      <c r="AJ102" s="171"/>
      <c r="AK102" s="200"/>
      <c r="AL102" s="200"/>
      <c r="AM102" s="200"/>
      <c r="AN102" s="200"/>
      <c r="AO102" s="200"/>
    </row>
    <row r="103" spans="28:46" x14ac:dyDescent="0.3">
      <c r="AB103" s="171"/>
      <c r="AC103" s="170">
        <f>C5</f>
        <v>0</v>
      </c>
      <c r="AD103" s="311" t="str">
        <f t="shared" ref="AD103:AD107" si="0">D5</f>
        <v>A. Tloušťka dna/půdy</v>
      </c>
      <c r="AE103" s="312"/>
      <c r="AF103" s="312"/>
      <c r="AG103" s="312"/>
      <c r="AH103" s="313"/>
      <c r="AJ103" s="171"/>
      <c r="AK103" s="201"/>
      <c r="AL103" s="201"/>
      <c r="AM103" s="201"/>
      <c r="AN103" s="201"/>
      <c r="AO103" s="201"/>
    </row>
    <row r="104" spans="28:46" x14ac:dyDescent="0.3">
      <c r="AB104" s="171"/>
      <c r="AC104" s="170">
        <f>C6</f>
        <v>0</v>
      </c>
      <c r="AD104" s="311" t="str">
        <f t="shared" si="0"/>
        <v>B. Tloušťka boku vpravo/vlevo</v>
      </c>
      <c r="AE104" s="312"/>
      <c r="AF104" s="312"/>
      <c r="AG104" s="312"/>
      <c r="AH104" s="313"/>
      <c r="AJ104" s="171"/>
      <c r="AK104" s="200"/>
      <c r="AL104" s="200"/>
      <c r="AM104" s="200"/>
      <c r="AN104" s="200"/>
      <c r="AO104" s="200"/>
    </row>
    <row r="105" spans="28:46" x14ac:dyDescent="0.3">
      <c r="AB105" s="171"/>
      <c r="AC105" s="170">
        <f>C7</f>
        <v>0</v>
      </c>
      <c r="AD105" s="311" t="str">
        <f t="shared" si="0"/>
        <v>C. Mezera nahoře</v>
      </c>
      <c r="AE105" s="312"/>
      <c r="AF105" s="312"/>
      <c r="AG105" s="312"/>
      <c r="AH105" s="313"/>
      <c r="AJ105" s="171"/>
      <c r="AK105" s="200"/>
      <c r="AL105" s="200"/>
      <c r="AM105" s="200"/>
      <c r="AN105" s="200"/>
      <c r="AO105" s="200"/>
    </row>
    <row r="106" spans="28:46" x14ac:dyDescent="0.3">
      <c r="AB106" s="171"/>
      <c r="AC106" s="170">
        <f>C8</f>
        <v>0</v>
      </c>
      <c r="AD106" s="311" t="str">
        <f t="shared" si="0"/>
        <v>E. Mezera dole</v>
      </c>
      <c r="AE106" s="312"/>
      <c r="AF106" s="312"/>
      <c r="AG106" s="312"/>
      <c r="AH106" s="313"/>
      <c r="AN106" s="46"/>
      <c r="AO106" s="46"/>
    </row>
    <row r="107" spans="28:46" x14ac:dyDescent="0.3">
      <c r="AB107" s="171"/>
      <c r="AC107" s="170">
        <f>C9</f>
        <v>0</v>
      </c>
      <c r="AD107" s="311" t="str">
        <f t="shared" si="0"/>
        <v>F. Mezera vpravo/vlevo</v>
      </c>
      <c r="AE107" s="312"/>
      <c r="AF107" s="312"/>
      <c r="AG107" s="312"/>
      <c r="AH107" s="313"/>
      <c r="AN107" s="224"/>
      <c r="AO107" s="224"/>
    </row>
    <row r="108" spans="28:46" x14ac:dyDescent="0.3">
      <c r="AB108" s="171"/>
      <c r="AC108" s="171"/>
      <c r="AD108" s="200"/>
      <c r="AE108" s="200"/>
      <c r="AF108" s="200"/>
      <c r="AG108" s="200"/>
      <c r="AH108" s="200"/>
      <c r="AN108" s="224"/>
      <c r="AO108" s="224"/>
    </row>
    <row r="109" spans="28:46" x14ac:dyDescent="0.3">
      <c r="AC109" s="171"/>
      <c r="AD109" s="200"/>
      <c r="AE109" s="200"/>
      <c r="AF109" s="200"/>
      <c r="AG109" s="200"/>
      <c r="AH109" s="200"/>
      <c r="AN109" s="224"/>
      <c r="AO109" s="224"/>
    </row>
    <row r="110" spans="28:46" ht="15.65" customHeight="1" x14ac:dyDescent="0.3">
      <c r="AC110" s="140"/>
      <c r="AD110" s="140"/>
      <c r="AE110" s="140"/>
      <c r="AF110" s="140"/>
      <c r="AG110" s="140"/>
      <c r="AH110" s="140"/>
      <c r="AI110" s="140"/>
      <c r="AJ110" s="140"/>
      <c r="AK110" s="140"/>
      <c r="AN110" s="224"/>
      <c r="AO110" s="224"/>
    </row>
    <row r="111" spans="28:46" ht="22.5" customHeight="1" x14ac:dyDescent="0.35">
      <c r="AB111" s="171"/>
      <c r="AC111" s="99" t="s">
        <v>106</v>
      </c>
      <c r="AL111" s="180"/>
      <c r="AM111" s="181"/>
      <c r="AN111" s="132"/>
      <c r="AO111" s="132"/>
      <c r="AP111" s="132"/>
      <c r="AQ111" s="132"/>
      <c r="AR111" s="132"/>
      <c r="AS111" s="132"/>
      <c r="AT111" s="177"/>
    </row>
    <row r="112" spans="28:46" ht="15.65" customHeight="1" x14ac:dyDescent="0.35">
      <c r="AB112" s="171"/>
      <c r="AC112" s="308" t="str">
        <f>C34</f>
        <v>Vrtání korpusu</v>
      </c>
      <c r="AD112" s="309"/>
      <c r="AE112" s="310"/>
      <c r="AF112" s="308" t="str">
        <f>F34</f>
        <v>Vrtání čela</v>
      </c>
      <c r="AG112" s="309"/>
      <c r="AH112" s="310"/>
      <c r="AL112" s="81"/>
      <c r="AM112" s="98"/>
      <c r="AN112" s="98"/>
      <c r="AO112" s="98"/>
      <c r="AP112" s="98"/>
      <c r="AQ112" s="98"/>
      <c r="AR112" s="98"/>
      <c r="AS112" s="98"/>
      <c r="AT112" s="182"/>
    </row>
    <row r="113" spans="28:46" x14ac:dyDescent="0.3">
      <c r="AB113" s="171"/>
      <c r="AC113" s="183" t="str">
        <f>C35</f>
        <v>výška*</v>
      </c>
      <c r="AD113" s="183" t="str">
        <f t="shared" ref="AD113:AH113" si="1">D35</f>
        <v>hloubka</v>
      </c>
      <c r="AE113" s="183" t="str">
        <f t="shared" si="1"/>
        <v>rozteč</v>
      </c>
      <c r="AF113" s="183" t="str">
        <f t="shared" si="1"/>
        <v>výška**</v>
      </c>
      <c r="AG113" s="183" t="str">
        <f t="shared" si="1"/>
        <v>vlevo</v>
      </c>
      <c r="AH113" s="183" t="str">
        <f t="shared" si="1"/>
        <v>vpravo</v>
      </c>
      <c r="AL113" s="81"/>
      <c r="AR113" s="47"/>
      <c r="AT113" s="80"/>
    </row>
    <row r="114" spans="28:46" x14ac:dyDescent="0.3">
      <c r="AB114" s="171"/>
      <c r="AC114" s="32">
        <f>C36</f>
        <v>0</v>
      </c>
      <c r="AD114" s="32">
        <f t="shared" ref="AD114:AH114" si="2">D36</f>
        <v>0</v>
      </c>
      <c r="AE114" s="32">
        <f t="shared" si="2"/>
        <v>0</v>
      </c>
      <c r="AF114" s="32">
        <f t="shared" si="2"/>
        <v>0</v>
      </c>
      <c r="AG114" s="32">
        <f t="shared" si="2"/>
        <v>0</v>
      </c>
      <c r="AH114" s="32">
        <f t="shared" si="2"/>
        <v>0</v>
      </c>
      <c r="AL114" s="81"/>
      <c r="AR114" s="47"/>
      <c r="AT114" s="80"/>
    </row>
    <row r="115" spans="28:46" x14ac:dyDescent="0.3">
      <c r="AC115" s="18"/>
      <c r="AL115" s="81"/>
      <c r="AR115" s="47"/>
      <c r="AT115" s="80"/>
    </row>
    <row r="116" spans="28:46" x14ac:dyDescent="0.3">
      <c r="AC116" s="2" t="str">
        <f>C37</f>
        <v xml:space="preserve">  * Vzdálenost od horní hrany korpusu na horní osu vrtání pro zdvihač</v>
      </c>
      <c r="AL116" s="81"/>
      <c r="AR116" s="47"/>
      <c r="AT116" s="80"/>
    </row>
    <row r="117" spans="28:46" ht="14.15" customHeight="1" x14ac:dyDescent="0.3">
      <c r="AB117" s="172"/>
      <c r="AC117" s="2" t="str">
        <f t="shared" ref="AC117" si="3">C38</f>
        <v xml:space="preserve"> ** Vzdálenost od horní hrany čela na první otvor čelního kování. </v>
      </c>
      <c r="AL117" s="81"/>
      <c r="AR117" s="47"/>
      <c r="AT117" s="80"/>
    </row>
    <row r="118" spans="28:46" x14ac:dyDescent="0.3">
      <c r="AB118" s="172"/>
      <c r="AL118" s="81"/>
      <c r="AR118" s="47"/>
      <c r="AT118" s="80"/>
    </row>
    <row r="119" spans="28:46" x14ac:dyDescent="0.3">
      <c r="AB119" s="122"/>
      <c r="AL119" s="81"/>
      <c r="AT119" s="80"/>
    </row>
    <row r="120" spans="28:46" x14ac:dyDescent="0.3">
      <c r="AB120" s="18"/>
      <c r="AL120" s="81"/>
      <c r="AT120" s="80"/>
    </row>
    <row r="121" spans="28:46" x14ac:dyDescent="0.3">
      <c r="AL121" s="81"/>
      <c r="AT121" s="80"/>
    </row>
    <row r="122" spans="28:46" ht="5.5" customHeight="1" x14ac:dyDescent="0.3">
      <c r="AL122" s="178"/>
      <c r="AM122" s="140"/>
      <c r="AN122" s="140"/>
      <c r="AO122" s="140"/>
      <c r="AP122" s="140"/>
      <c r="AQ122" s="140"/>
      <c r="AR122" s="140"/>
      <c r="AS122" s="140"/>
      <c r="AT122" s="179"/>
    </row>
    <row r="123" spans="28:46" ht="15.5" x14ac:dyDescent="0.35">
      <c r="AD123" s="174" t="s">
        <v>81</v>
      </c>
    </row>
    <row r="124" spans="28:46" ht="15.5" x14ac:dyDescent="0.3">
      <c r="AI124" s="146"/>
      <c r="AN124" s="175" t="s">
        <v>82</v>
      </c>
    </row>
    <row r="125" spans="28:46" x14ac:dyDescent="0.3">
      <c r="AC125" s="9">
        <f>$C$36</f>
        <v>0</v>
      </c>
    </row>
    <row r="126" spans="28:46" ht="14.15" customHeight="1" x14ac:dyDescent="0.3">
      <c r="AC126" s="2">
        <f>$AC$128+64</f>
        <v>64</v>
      </c>
      <c r="AF126" s="9"/>
      <c r="AN126" s="9" t="str">
        <f>"od horní hrany:   "&amp;F36</f>
        <v>od horní hrany:   0</v>
      </c>
    </row>
    <row r="127" spans="28:46" x14ac:dyDescent="0.3">
      <c r="AG127" s="9"/>
      <c r="AP127" s="70">
        <f>F36</f>
        <v>0</v>
      </c>
    </row>
    <row r="128" spans="28:46" ht="13.5" customHeight="1" x14ac:dyDescent="0.35">
      <c r="AB128" s="19"/>
      <c r="AF128" s="176">
        <f>C45</f>
        <v>0</v>
      </c>
      <c r="AG128" s="9"/>
      <c r="AM128" s="47" t="s">
        <v>127</v>
      </c>
    </row>
    <row r="129" spans="32:44" x14ac:dyDescent="0.3">
      <c r="AG129" s="9"/>
      <c r="AN129" s="47">
        <f>$H$36</f>
        <v>0</v>
      </c>
    </row>
    <row r="130" spans="32:44" x14ac:dyDescent="0.3">
      <c r="AG130" s="9"/>
      <c r="AN130" s="47"/>
    </row>
    <row r="131" spans="32:44" x14ac:dyDescent="0.3">
      <c r="AF131" s="2">
        <f>C48</f>
        <v>64</v>
      </c>
      <c r="AN131" s="202">
        <f>$H$36</f>
        <v>0</v>
      </c>
    </row>
    <row r="133" spans="32:44" x14ac:dyDescent="0.3">
      <c r="AN133" s="47"/>
      <c r="AP133" s="47" t="str">
        <f>U51</f>
        <v>(-96)</v>
      </c>
      <c r="AQ133" s="47"/>
      <c r="AR133" s="9"/>
    </row>
    <row r="134" spans="32:44" x14ac:dyDescent="0.3">
      <c r="AN134" s="202">
        <f>$H$36</f>
        <v>0</v>
      </c>
      <c r="AR134" s="9"/>
    </row>
    <row r="135" spans="32:44" x14ac:dyDescent="0.3">
      <c r="AQ135" s="9">
        <f>G36</f>
        <v>0</v>
      </c>
    </row>
  </sheetData>
  <sheetProtection algorithmName="SHA-512" hashValue="B0KHf0HBlCoNhHu5erW4V1YSwplu884LL3znyzJLhGtNuCNhaHMHZ8+kU7JVbBSJqcd8NL6lFY6e68YphnZXhA==" saltValue="7leBinsrOF347+OaQsR0ZQ==" spinCount="100000" sheet="1" objects="1" scenarios="1"/>
  <mergeCells count="18">
    <mergeCell ref="D4:H4"/>
    <mergeCell ref="D5:H5"/>
    <mergeCell ref="F34:H34"/>
    <mergeCell ref="C34:E34"/>
    <mergeCell ref="A31:A73"/>
    <mergeCell ref="W60:X60"/>
    <mergeCell ref="D6:H6"/>
    <mergeCell ref="D7:H7"/>
    <mergeCell ref="D8:H8"/>
    <mergeCell ref="D9:H9"/>
    <mergeCell ref="AD107:AH107"/>
    <mergeCell ref="AC112:AE112"/>
    <mergeCell ref="AF112:AH112"/>
    <mergeCell ref="AD102:AH102"/>
    <mergeCell ref="AD103:AH103"/>
    <mergeCell ref="AD104:AH104"/>
    <mergeCell ref="AD105:AH105"/>
    <mergeCell ref="AD106:AH106"/>
  </mergeCells>
  <hyperlinks>
    <hyperlink ref="W60:X60" location="HS!A1" tooltip="Zpět na plánování" display="Zpět" xr:uid="{00000000-0004-0000-0400-000000000000}"/>
    <hyperlink ref="W3:X3" location="HS!A70" tooltip="Kontrola potřebného prostoru v korpusu" display="► Potřebný prostor" xr:uid="{00000000-0004-0000-0400-000001000000}"/>
    <hyperlink ref="W2:X2" location="AVS!A1" tooltip="Úvodní strana AVENTOS" display="Úvod AVENTOS" xr:uid="{00000000-0004-0000-0400-000002000000}"/>
    <hyperlink ref="AA1" location="AVS!A1" tooltip="Úvodní strana AVENTOS" display="Úvod AVENTOS" xr:uid="{00000000-0004-0000-0400-000004000000}"/>
  </hyperlinks>
  <pageMargins left="0.23622047244094491" right="0.23622047244094491" top="0.55118110236220474" bottom="0.74803149606299213" header="0.31496062992125984" footer="0.31496062992125984"/>
  <pageSetup paperSize="9" scale="95" orientation="landscape" verticalDpi="599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</sheetPr>
  <dimension ref="A1:AT137"/>
  <sheetViews>
    <sheetView showGridLines="0" showRowColHeaders="0" workbookViewId="0">
      <selection activeCell="C4" sqref="C4:C9"/>
    </sheetView>
  </sheetViews>
  <sheetFormatPr defaultColWidth="8.9140625" defaultRowHeight="14" x14ac:dyDescent="0.3"/>
  <cols>
    <col min="1" max="1" width="1" style="2" customWidth="1"/>
    <col min="2" max="2" width="3.08203125" style="2" customWidth="1"/>
    <col min="3" max="3" width="8.9140625" style="2" customWidth="1"/>
    <col min="4" max="6" width="8.9140625" style="2"/>
    <col min="7" max="7" width="8.9140625" style="2" customWidth="1"/>
    <col min="8" max="8" width="8.9140625" style="2"/>
    <col min="9" max="9" width="0.75" style="2" customWidth="1"/>
    <col min="10" max="10" width="6.5" style="2" customWidth="1"/>
    <col min="11" max="11" width="11" style="2" hidden="1" customWidth="1"/>
    <col min="12" max="20" width="8.9140625" style="2" hidden="1" customWidth="1"/>
    <col min="21" max="21" width="16.75" style="2" customWidth="1"/>
    <col min="22" max="22" width="18.4140625" style="2" customWidth="1"/>
    <col min="23" max="23" width="8.9140625" style="2" customWidth="1"/>
    <col min="24" max="24" width="10.08203125" style="2" customWidth="1"/>
    <col min="25" max="25" width="1.25" style="2" customWidth="1"/>
    <col min="26" max="26" width="8.9140625" style="2"/>
    <col min="27" max="27" width="21" style="2" customWidth="1"/>
    <col min="28" max="28" width="8.9140625" style="2"/>
    <col min="29" max="37" width="6.58203125" style="2" customWidth="1"/>
    <col min="38" max="38" width="1.08203125" style="2" customWidth="1"/>
    <col min="39" max="39" width="6.58203125" style="2" customWidth="1"/>
    <col min="40" max="40" width="12.25" style="2" customWidth="1"/>
    <col min="41" max="41" width="8.9140625" style="2"/>
    <col min="42" max="42" width="6.83203125" style="2" customWidth="1"/>
    <col min="43" max="43" width="9.4140625" style="2" customWidth="1"/>
    <col min="44" max="44" width="5.9140625" style="2" customWidth="1"/>
    <col min="45" max="45" width="9.4140625" style="2" customWidth="1"/>
    <col min="46" max="46" width="8.25" style="2" customWidth="1"/>
    <col min="47" max="16384" width="8.9140625" style="2"/>
  </cols>
  <sheetData>
    <row r="1" spans="2:27" ht="25" x14ac:dyDescent="0.5">
      <c r="B1" s="1" t="s">
        <v>616</v>
      </c>
      <c r="T1" s="224"/>
      <c r="AA1" s="226" t="s">
        <v>22</v>
      </c>
    </row>
    <row r="2" spans="2:27" ht="18" customHeight="1" x14ac:dyDescent="0.4">
      <c r="B2" s="22"/>
      <c r="T2" s="224"/>
      <c r="U2" s="134"/>
    </row>
    <row r="3" spans="2:27" ht="18" customHeight="1" x14ac:dyDescent="0.3">
      <c r="B3" s="6"/>
      <c r="C3" s="17" t="s">
        <v>108</v>
      </c>
      <c r="D3" s="17"/>
      <c r="E3" s="17"/>
      <c r="F3" s="17"/>
      <c r="G3" s="17"/>
      <c r="H3" s="17"/>
      <c r="K3" s="9" t="s">
        <v>24</v>
      </c>
      <c r="L3" s="30">
        <f>IF(AND(L4=1, L5=1, L6=1, L7=1, L8=1, L9=1),1,2)</f>
        <v>2</v>
      </c>
      <c r="M3" s="31" t="s">
        <v>25</v>
      </c>
    </row>
    <row r="4" spans="2:27" ht="16.5" customHeight="1" x14ac:dyDescent="0.3">
      <c r="B4" s="6"/>
      <c r="C4" s="78"/>
      <c r="D4" s="304" t="s">
        <v>26</v>
      </c>
      <c r="E4" s="304"/>
      <c r="F4" s="304"/>
      <c r="G4" s="304"/>
      <c r="H4" s="304"/>
      <c r="J4" s="12" t="str">
        <f>IF(C4&lt;300, "Minimálně 300 mm!", IF(C4&gt;580, "Maximálně 580 mm!", " "))</f>
        <v>Minimálně 300 mm!</v>
      </c>
      <c r="L4" s="63">
        <f>IF(OR(C4&lt;300, C4&gt;580), 2, 1)</f>
        <v>2</v>
      </c>
      <c r="M4" s="31" t="s">
        <v>27</v>
      </c>
    </row>
    <row r="5" spans="2:27" ht="16.5" customHeight="1" x14ac:dyDescent="0.3">
      <c r="B5" s="6"/>
      <c r="C5" s="78"/>
      <c r="D5" s="304" t="s">
        <v>30</v>
      </c>
      <c r="E5" s="304"/>
      <c r="F5" s="304"/>
      <c r="G5" s="304"/>
      <c r="H5" s="304"/>
      <c r="J5" s="12" t="str">
        <f>IF(C5&lt;14,"Minimálně 14 mm!"," ")</f>
        <v>Minimálně 14 mm!</v>
      </c>
      <c r="L5" s="63">
        <f>IF(C5&lt;14, 2, 1)</f>
        <v>2</v>
      </c>
      <c r="W5" s="224"/>
      <c r="X5" s="224"/>
    </row>
    <row r="6" spans="2:27" ht="16.5" customHeight="1" x14ac:dyDescent="0.3">
      <c r="B6" s="6"/>
      <c r="C6" s="78"/>
      <c r="D6" s="304" t="s">
        <v>31</v>
      </c>
      <c r="E6" s="304"/>
      <c r="F6" s="304"/>
      <c r="G6" s="304"/>
      <c r="H6" s="304"/>
      <c r="J6" s="12" t="str">
        <f>IF(C6&lt;14,"Minimálně 14 mm!"," ")</f>
        <v>Minimálně 14 mm!</v>
      </c>
      <c r="L6" s="63">
        <f>IF(C6&lt;14, 2, 1)</f>
        <v>2</v>
      </c>
      <c r="W6" s="224"/>
      <c r="X6" s="224"/>
    </row>
    <row r="7" spans="2:27" ht="16.5" customHeight="1" x14ac:dyDescent="0.3">
      <c r="B7" s="6"/>
      <c r="C7" s="78"/>
      <c r="D7" s="304" t="s">
        <v>109</v>
      </c>
      <c r="E7" s="304"/>
      <c r="F7" s="304"/>
      <c r="G7" s="304"/>
      <c r="H7" s="304"/>
      <c r="J7" s="12" t="str">
        <f>IF(C7&gt;$C$5,"Maximálně "&amp;$C$5&amp;" mm!"," ")</f>
        <v xml:space="preserve"> </v>
      </c>
      <c r="L7" s="63">
        <f>IF(C7&gt;$C$5, 2, 1)</f>
        <v>1</v>
      </c>
      <c r="W7" s="46"/>
      <c r="X7" s="46"/>
    </row>
    <row r="8" spans="2:27" ht="16.5" customHeight="1" x14ac:dyDescent="0.3">
      <c r="B8" s="6"/>
      <c r="C8" s="78"/>
      <c r="D8" s="304" t="s">
        <v>34</v>
      </c>
      <c r="E8" s="304"/>
      <c r="F8" s="304"/>
      <c r="G8" s="304"/>
      <c r="H8" s="304"/>
      <c r="J8" s="12" t="str">
        <f>IF(C8&gt;$C$5,"Maximálně "&amp;$C$5&amp;" mm!"," ")</f>
        <v xml:space="preserve"> </v>
      </c>
      <c r="L8" s="63">
        <f>IF(C8&gt;$C$5, 2, 1)</f>
        <v>1</v>
      </c>
      <c r="W8" s="224"/>
      <c r="X8" s="224"/>
    </row>
    <row r="9" spans="2:27" ht="16.5" customHeight="1" x14ac:dyDescent="0.3">
      <c r="B9" s="6"/>
      <c r="C9" s="78"/>
      <c r="D9" s="304" t="s">
        <v>35</v>
      </c>
      <c r="E9" s="304"/>
      <c r="F9" s="304"/>
      <c r="G9" s="304"/>
      <c r="H9" s="304"/>
      <c r="J9" s="12" t="str">
        <f>IF(C9&gt;C6,"Maximálně "&amp;C6&amp;" mm!"," ")</f>
        <v xml:space="preserve"> </v>
      </c>
      <c r="L9" s="63">
        <f>IF(C9&gt;C6, 2, 1)</f>
        <v>1</v>
      </c>
      <c r="W9" s="224"/>
      <c r="X9" s="224"/>
    </row>
    <row r="10" spans="2:27" ht="17.25" customHeight="1" x14ac:dyDescent="0.3">
      <c r="C10" s="12" t="str">
        <f>IF($L$3=2, "Vyplňte správně všechny parametry!"," ")</f>
        <v>Vyplňte správně všechny parametry!</v>
      </c>
      <c r="L10" s="63"/>
      <c r="M10" s="63"/>
      <c r="N10" s="63"/>
      <c r="O10" s="63"/>
      <c r="P10" s="63"/>
      <c r="Q10" s="63"/>
      <c r="W10" s="224"/>
      <c r="X10" s="224"/>
    </row>
    <row r="11" spans="2:27" ht="16.5" customHeight="1" x14ac:dyDescent="0.3">
      <c r="L11" s="63"/>
      <c r="M11" s="63"/>
      <c r="N11" s="63"/>
      <c r="O11" s="63"/>
      <c r="P11" s="63"/>
      <c r="Q11" s="63"/>
    </row>
    <row r="12" spans="2:27" ht="16.5" customHeight="1" x14ac:dyDescent="0.3">
      <c r="B12" s="26"/>
    </row>
    <row r="13" spans="2:27" ht="16.5" customHeight="1" x14ac:dyDescent="0.3">
      <c r="B13" s="26"/>
    </row>
    <row r="14" spans="2:27" ht="22.5" customHeight="1" x14ac:dyDescent="0.3">
      <c r="C14" s="2" t="s">
        <v>650</v>
      </c>
      <c r="S14" s="24"/>
      <c r="T14" s="63"/>
      <c r="U14" s="202" t="s">
        <v>617</v>
      </c>
      <c r="W14" s="9" t="s">
        <v>43</v>
      </c>
    </row>
    <row r="15" spans="2:27" ht="16.5" customHeight="1" x14ac:dyDescent="0.3">
      <c r="U15" s="202" t="str">
        <f>$C$36</f>
        <v xml:space="preserve"> </v>
      </c>
      <c r="W15" s="63" t="str">
        <f>IF($C$4&gt;550, $G$37, $G$36)</f>
        <v xml:space="preserve"> </v>
      </c>
    </row>
    <row r="16" spans="2:27" ht="14.25" customHeight="1" x14ac:dyDescent="0.3">
      <c r="U16" s="47" t="e">
        <f>U15+64</f>
        <v>#VALUE!</v>
      </c>
    </row>
    <row r="17" spans="1:26" ht="14.25" customHeight="1" x14ac:dyDescent="0.3"/>
    <row r="18" spans="1:26" ht="14.25" customHeight="1" x14ac:dyDescent="0.3">
      <c r="S18" s="18"/>
      <c r="W18" s="63" t="str">
        <f>IF($C$4&gt;550, $G$37, $G$36)</f>
        <v xml:space="preserve"> </v>
      </c>
    </row>
    <row r="19" spans="1:26" ht="14.25" customHeight="1" x14ac:dyDescent="0.3">
      <c r="C19" s="18"/>
      <c r="S19" s="18"/>
    </row>
    <row r="20" spans="1:26" ht="14.25" customHeight="1" x14ac:dyDescent="0.3">
      <c r="S20" s="18"/>
      <c r="W20" s="63" t="str">
        <f>IF($C$4&gt;550, $G$37, $G$36)</f>
        <v xml:space="preserve"> </v>
      </c>
    </row>
    <row r="21" spans="1:26" ht="14.25" customHeight="1" x14ac:dyDescent="0.3">
      <c r="S21" s="18"/>
    </row>
    <row r="22" spans="1:26" ht="14.25" customHeight="1" x14ac:dyDescent="0.3">
      <c r="C22" s="18"/>
      <c r="S22" s="18"/>
    </row>
    <row r="23" spans="1:26" ht="18" customHeight="1" x14ac:dyDescent="0.3">
      <c r="S23" s="18"/>
      <c r="W23" s="9" t="str">
        <f>IF($C$4&lt;550.1, "od spodní hrany čela:", " ")</f>
        <v>od spodní hrany čela:</v>
      </c>
      <c r="X23" s="5" t="str">
        <f>IF($C$4&lt;550.1, $F$36, " ")</f>
        <v xml:space="preserve"> </v>
      </c>
      <c r="Z23" s="131" t="str">
        <f>IF(AND($C$4&gt;=480, $C$4&lt;=540), "pro ramena 22L3800", " ")</f>
        <v xml:space="preserve"> </v>
      </c>
    </row>
    <row r="24" spans="1:26" ht="14.25" customHeight="1" x14ac:dyDescent="0.3">
      <c r="S24" s="36"/>
      <c r="W24" s="9" t="str">
        <f>IF($C$4&gt;550, "od spodní hrany:", " ")</f>
        <v xml:space="preserve"> </v>
      </c>
      <c r="X24" s="5" t="str">
        <f>IF($C$4&gt;449.5, $F$37, " ")</f>
        <v xml:space="preserve"> </v>
      </c>
      <c r="Z24" s="131" t="str">
        <f>IF(AND($C$4&gt;=480, $C$4&lt;=540), "pro ramena 22L3900", " ")</f>
        <v xml:space="preserve"> </v>
      </c>
    </row>
    <row r="25" spans="1:26" ht="14.25" customHeight="1" x14ac:dyDescent="0.3">
      <c r="S25" s="18"/>
    </row>
    <row r="26" spans="1:26" ht="14.25" customHeight="1" x14ac:dyDescent="0.3">
      <c r="S26" s="18"/>
    </row>
    <row r="27" spans="1:26" ht="14.25" customHeight="1" x14ac:dyDescent="0.3">
      <c r="S27" s="18"/>
    </row>
    <row r="28" spans="1:26" ht="14.25" customHeight="1" x14ac:dyDescent="0.3">
      <c r="S28" s="18"/>
    </row>
    <row r="29" spans="1:26" ht="14.25" customHeight="1" x14ac:dyDescent="0.3">
      <c r="S29" s="18"/>
    </row>
    <row r="30" spans="1:26" ht="14.25" customHeight="1" x14ac:dyDescent="0.3">
      <c r="S30" s="36"/>
    </row>
    <row r="31" spans="1:26" ht="14.5" thickBot="1" x14ac:dyDescent="0.35"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</row>
    <row r="32" spans="1:26" ht="23.15" customHeight="1" thickTop="1" x14ac:dyDescent="0.35">
      <c r="A32" s="303"/>
      <c r="B32" s="76" t="str">
        <f>"Hodnoty pro výšku korpusu KH "&amp;$C$4&amp;" mm"</f>
        <v>Hodnoty pro výšku korpusu KH  mm</v>
      </c>
      <c r="X32" s="103" t="str">
        <f>$B$1</f>
        <v>AVENTOS HL top</v>
      </c>
    </row>
    <row r="33" spans="1:24" ht="6.65" customHeight="1" x14ac:dyDescent="0.35">
      <c r="A33" s="303"/>
      <c r="B33" s="76"/>
      <c r="X33" s="103"/>
    </row>
    <row r="34" spans="1:24" ht="17.5" customHeight="1" x14ac:dyDescent="0.35">
      <c r="A34" s="303"/>
      <c r="B34" s="76"/>
      <c r="C34" s="321" t="s">
        <v>65</v>
      </c>
      <c r="D34" s="321"/>
      <c r="E34" s="321"/>
      <c r="F34" s="321" t="s">
        <v>64</v>
      </c>
      <c r="G34" s="321"/>
      <c r="H34" s="321"/>
      <c r="L34" s="63"/>
      <c r="M34" s="63"/>
      <c r="N34" s="33" t="s">
        <v>653</v>
      </c>
      <c r="O34" s="39" t="s">
        <v>654</v>
      </c>
      <c r="P34" s="39" t="s">
        <v>655</v>
      </c>
      <c r="Q34" s="29" t="s">
        <v>656</v>
      </c>
      <c r="X34" s="103"/>
    </row>
    <row r="35" spans="1:24" ht="17.5" customHeight="1" x14ac:dyDescent="0.35">
      <c r="A35" s="303"/>
      <c r="B35" s="76"/>
      <c r="C35" s="230" t="s">
        <v>66</v>
      </c>
      <c r="D35" s="230" t="s">
        <v>70</v>
      </c>
      <c r="E35" s="230" t="s">
        <v>71</v>
      </c>
      <c r="F35" s="230" t="s">
        <v>69</v>
      </c>
      <c r="G35" s="230" t="s">
        <v>67</v>
      </c>
      <c r="H35" s="230" t="s">
        <v>68</v>
      </c>
      <c r="L35" s="63"/>
      <c r="M35" s="9" t="s">
        <v>72</v>
      </c>
      <c r="N35" s="94">
        <f>63+$C$5</f>
        <v>63</v>
      </c>
      <c r="O35" s="40"/>
      <c r="P35" s="40"/>
      <c r="X35" s="103"/>
    </row>
    <row r="36" spans="1:24" ht="17.5" customHeight="1" x14ac:dyDescent="0.35">
      <c r="A36" s="303"/>
      <c r="B36" s="76"/>
      <c r="C36" s="322" t="str">
        <f>IF($L$3=1, $N$35, " ")</f>
        <v xml:space="preserve"> </v>
      </c>
      <c r="D36" s="322" t="str">
        <f>IF(AND($C$4&gt;=480, $L$3=1), 101, " ")</f>
        <v xml:space="preserve"> </v>
      </c>
      <c r="E36" s="322" t="str">
        <f>IF(AND($C$4&gt;=480, $L$3=1), 128, " ")</f>
        <v xml:space="preserve"> </v>
      </c>
      <c r="F36" s="32" t="str">
        <f>IF(AND($C$4&lt;=540, $L$3=1), $R$38, " ")</f>
        <v xml:space="preserve"> </v>
      </c>
      <c r="G36" s="32" t="str">
        <f>IF(AND($C$4&lt;=540, $L$3=1), SUM($C$6-$C$9+12.5), " ")</f>
        <v xml:space="preserve"> </v>
      </c>
      <c r="H36" s="32" t="str">
        <f>IF(AND($C$4&lt;=540, $L$3=1), SUM($C$6-$C$9+12.5), " ")</f>
        <v xml:space="preserve"> </v>
      </c>
      <c r="J36" s="131" t="str">
        <f>IF(AND($C$4&gt;=480, $C$4&lt;=540), "pro ramena 22L3800", " ")</f>
        <v xml:space="preserve"> </v>
      </c>
      <c r="K36" s="9"/>
      <c r="M36" s="37" t="s">
        <v>73</v>
      </c>
      <c r="N36" s="38">
        <f>$C$4-$N$35</f>
        <v>-63</v>
      </c>
      <c r="O36" s="41"/>
      <c r="P36" s="42"/>
      <c r="Q36" s="9"/>
      <c r="R36" s="63" t="s">
        <v>128</v>
      </c>
      <c r="X36" s="103"/>
    </row>
    <row r="37" spans="1:24" ht="17.5" customHeight="1" x14ac:dyDescent="0.35">
      <c r="A37" s="303"/>
      <c r="B37" s="76"/>
      <c r="C37" s="323"/>
      <c r="D37" s="323"/>
      <c r="E37" s="323"/>
      <c r="F37" s="32" t="str">
        <f>IF(AND($C$4&gt;=480, $L$3=1), $Q$38, " ")</f>
        <v xml:space="preserve"> </v>
      </c>
      <c r="G37" s="32" t="str">
        <f>IF(AND($C$4&gt;=480, $L$3=1), SUM($C$6-$C$9+12.5), " ")</f>
        <v xml:space="preserve"> </v>
      </c>
      <c r="H37" s="32" t="str">
        <f>IF(AND($C$4&gt;=480, $L$3=1), SUM($C$6-$C$9+12.5), " ")</f>
        <v xml:space="preserve"> </v>
      </c>
      <c r="J37" s="131" t="str">
        <f>IF(AND($C$4&gt;=480, $C$4&lt;=540), "pro ramena 22L3900", " ")</f>
        <v xml:space="preserve"> </v>
      </c>
      <c r="K37" s="9"/>
      <c r="L37" s="4"/>
      <c r="M37" s="9" t="s">
        <v>76</v>
      </c>
      <c r="N37" s="94">
        <f>113+$C$5-$C$7</f>
        <v>113</v>
      </c>
      <c r="O37" s="94">
        <f>153+$C$5-$C$7</f>
        <v>153</v>
      </c>
      <c r="P37" s="94">
        <f>203+$C$5-$C$7</f>
        <v>203</v>
      </c>
      <c r="Q37" s="94">
        <f>256+$C$5-$C$7</f>
        <v>256</v>
      </c>
      <c r="R37" s="63">
        <f>IF($C$4&lt;350, $N$37, IF(AND($C$4&gt;=350, $C$4&lt;400), $O$37, $P$37))</f>
        <v>113</v>
      </c>
      <c r="X37" s="103"/>
    </row>
    <row r="38" spans="1:24" ht="17.5" customHeight="1" x14ac:dyDescent="0.35">
      <c r="A38" s="303"/>
      <c r="B38" s="76"/>
      <c r="C38" s="122"/>
      <c r="M38" s="232" t="s">
        <v>117</v>
      </c>
      <c r="N38" s="35">
        <f>$C$4-$C$7-$C$8-N$37-96</f>
        <v>-209</v>
      </c>
      <c r="O38" s="35">
        <f>$C$4-$C$7-$C$8-O$37-96</f>
        <v>-249</v>
      </c>
      <c r="P38" s="35">
        <f>$C$4-$C$7-$C$8-P$37-96</f>
        <v>-299</v>
      </c>
      <c r="Q38" s="35">
        <f>$C$4-$C$7-$C$8-Q$37-96</f>
        <v>-352</v>
      </c>
      <c r="R38" s="63">
        <f>IF($C$4&lt;340, $N$38, IF(AND($C$4&gt;=340, $C$4&lt;390), $O$38, $P$38))</f>
        <v>-209</v>
      </c>
      <c r="X38" s="103"/>
    </row>
    <row r="39" spans="1:24" ht="17.5" customHeight="1" x14ac:dyDescent="0.35">
      <c r="A39" s="303"/>
      <c r="B39" s="76"/>
      <c r="C39" s="2" t="s">
        <v>652</v>
      </c>
      <c r="M39" s="9" t="s">
        <v>129</v>
      </c>
      <c r="X39" s="103"/>
    </row>
    <row r="40" spans="1:24" ht="17.5" customHeight="1" x14ac:dyDescent="0.35">
      <c r="A40" s="303"/>
      <c r="B40" s="76"/>
      <c r="C40" s="2" t="s">
        <v>651</v>
      </c>
      <c r="X40" s="103"/>
    </row>
    <row r="41" spans="1:24" ht="17.5" customHeight="1" x14ac:dyDescent="0.35">
      <c r="A41" s="303"/>
      <c r="B41" s="76"/>
      <c r="X41" s="103"/>
    </row>
    <row r="42" spans="1:24" ht="17.5" x14ac:dyDescent="0.35">
      <c r="A42" s="303"/>
      <c r="B42" s="19" t="s">
        <v>81</v>
      </c>
      <c r="U42" s="19" t="s">
        <v>82</v>
      </c>
    </row>
    <row r="43" spans="1:24" x14ac:dyDescent="0.3">
      <c r="A43" s="303"/>
    </row>
    <row r="44" spans="1:24" x14ac:dyDescent="0.3">
      <c r="A44" s="303"/>
    </row>
    <row r="45" spans="1:24" x14ac:dyDescent="0.3">
      <c r="A45" s="303"/>
    </row>
    <row r="46" spans="1:24" ht="16.5" customHeight="1" x14ac:dyDescent="0.3">
      <c r="A46" s="303"/>
      <c r="R46" s="17"/>
      <c r="S46" s="17"/>
      <c r="T46" s="293" t="str">
        <f>IF(AND($C$4&gt;=480, $C$4&lt;=540), $Z$23&amp;": ", " ")</f>
        <v xml:space="preserve"> </v>
      </c>
      <c r="U46" s="77" t="str">
        <f>IF(AND($C$4&lt;=550, $L$3=1), "("&amp;$R$37&amp;")", " ")</f>
        <v xml:space="preserve"> </v>
      </c>
    </row>
    <row r="47" spans="1:24" x14ac:dyDescent="0.3">
      <c r="A47" s="303"/>
      <c r="C47" s="70">
        <f>IF($L$3=2, 0, $N$35)</f>
        <v>0</v>
      </c>
      <c r="R47" s="17"/>
      <c r="S47" s="17"/>
      <c r="T47" s="293" t="str">
        <f>IF(AND($C$4&gt;=480, $C$4&lt;=540), $Z$24&amp;": ", " ")</f>
        <v xml:space="preserve"> </v>
      </c>
      <c r="U47" s="77" t="str">
        <f>IF(AND($C$4&gt;=450, $L$3=1), "("&amp;$Q$37&amp;")", " ")</f>
        <v xml:space="preserve"> </v>
      </c>
    </row>
    <row r="48" spans="1:24" x14ac:dyDescent="0.3">
      <c r="A48" s="303"/>
      <c r="C48" s="47"/>
    </row>
    <row r="49" spans="1:24" x14ac:dyDescent="0.3">
      <c r="A49" s="303"/>
      <c r="C49" s="47"/>
      <c r="U49" s="47"/>
    </row>
    <row r="50" spans="1:24" x14ac:dyDescent="0.3">
      <c r="A50" s="303"/>
      <c r="C50" s="47">
        <v>64</v>
      </c>
    </row>
    <row r="51" spans="1:24" x14ac:dyDescent="0.3">
      <c r="A51" s="303"/>
    </row>
    <row r="52" spans="1:24" x14ac:dyDescent="0.3">
      <c r="A52" s="303"/>
      <c r="T52" s="293" t="str">
        <f>IF(AND($C$4&gt;=480, $C$4&lt;=540), $Z$23&amp;": ", " ")</f>
        <v xml:space="preserve"> </v>
      </c>
      <c r="U52" s="70" t="str">
        <f>IF(AND($C$4&lt;551, $L$3=1), $R$38, " ")</f>
        <v xml:space="preserve"> </v>
      </c>
    </row>
    <row r="53" spans="1:24" x14ac:dyDescent="0.3">
      <c r="A53" s="303"/>
      <c r="T53" s="293" t="str">
        <f>IF(AND($C$4&gt;=480, $C$4&lt;=540), $Z$24&amp;": ", " ")</f>
        <v xml:space="preserve"> </v>
      </c>
      <c r="U53" s="70" t="str">
        <f>IF(AND($C$4&gt;449, $L$3=1), $Q$38, " ")</f>
        <v xml:space="preserve"> </v>
      </c>
    </row>
    <row r="54" spans="1:24" x14ac:dyDescent="0.3">
      <c r="A54" s="303"/>
    </row>
    <row r="55" spans="1:24" x14ac:dyDescent="0.3">
      <c r="A55" s="303"/>
    </row>
    <row r="56" spans="1:24" ht="7.5" customHeight="1" x14ac:dyDescent="0.3">
      <c r="A56" s="303"/>
    </row>
    <row r="57" spans="1:24" x14ac:dyDescent="0.3">
      <c r="A57" s="303"/>
      <c r="U57" s="63" t="str">
        <f>IF($C$4&gt;550, $G$37, $G$36)</f>
        <v xml:space="preserve"> </v>
      </c>
    </row>
    <row r="58" spans="1:24" x14ac:dyDescent="0.3">
      <c r="A58" s="303"/>
      <c r="C58" s="2" t="s">
        <v>664</v>
      </c>
    </row>
    <row r="59" spans="1:24" x14ac:dyDescent="0.3">
      <c r="A59" s="303"/>
      <c r="C59" s="2" t="s">
        <v>605</v>
      </c>
    </row>
    <row r="60" spans="1:24" x14ac:dyDescent="0.3">
      <c r="A60" s="303"/>
      <c r="C60" s="2" t="s">
        <v>606</v>
      </c>
    </row>
    <row r="61" spans="1:24" x14ac:dyDescent="0.3">
      <c r="A61" s="303"/>
      <c r="C61" s="44" t="str">
        <f>IF($L$3=2, "Nejdříve vyplňte správně všechny parametry!"," ")</f>
        <v>Nejdříve vyplňte správně všechny parametry!</v>
      </c>
      <c r="W61" s="315" t="s">
        <v>88</v>
      </c>
      <c r="X61" s="315"/>
    </row>
    <row r="62" spans="1:24" x14ac:dyDescent="0.3">
      <c r="A62" s="303"/>
    </row>
    <row r="63" spans="1:24" x14ac:dyDescent="0.3">
      <c r="A63" s="303"/>
    </row>
    <row r="64" spans="1:24" x14ac:dyDescent="0.3">
      <c r="A64" s="303"/>
      <c r="C64" s="2" t="s">
        <v>89</v>
      </c>
      <c r="F64" s="2" t="s">
        <v>130</v>
      </c>
    </row>
    <row r="65" spans="1:6" x14ac:dyDescent="0.3">
      <c r="A65" s="303"/>
      <c r="C65" s="2" t="s">
        <v>91</v>
      </c>
      <c r="F65" s="2" t="s">
        <v>131</v>
      </c>
    </row>
    <row r="66" spans="1:6" x14ac:dyDescent="0.3">
      <c r="A66" s="303"/>
    </row>
    <row r="67" spans="1:6" x14ac:dyDescent="0.3">
      <c r="A67" s="303"/>
    </row>
    <row r="68" spans="1:6" x14ac:dyDescent="0.3">
      <c r="A68" s="303"/>
    </row>
    <row r="69" spans="1:6" x14ac:dyDescent="0.3">
      <c r="A69" s="303"/>
    </row>
    <row r="70" spans="1:6" x14ac:dyDescent="0.3">
      <c r="A70" s="303"/>
    </row>
    <row r="71" spans="1:6" x14ac:dyDescent="0.3">
      <c r="A71" s="303"/>
    </row>
    <row r="72" spans="1:6" x14ac:dyDescent="0.3">
      <c r="A72" s="303"/>
    </row>
    <row r="73" spans="1:6" x14ac:dyDescent="0.3">
      <c r="A73" s="303"/>
    </row>
    <row r="74" spans="1:6" x14ac:dyDescent="0.3">
      <c r="A74" s="303"/>
    </row>
    <row r="75" spans="1:6" x14ac:dyDescent="0.3">
      <c r="A75" s="303"/>
    </row>
    <row r="101" spans="28:46" ht="21" customHeight="1" x14ac:dyDescent="0.35">
      <c r="AB101" s="17"/>
      <c r="AC101" s="99" t="s">
        <v>105</v>
      </c>
      <c r="AO101" s="193" t="str">
        <f>X32</f>
        <v>AVENTOS HL top</v>
      </c>
    </row>
    <row r="102" spans="28:46" ht="16" customHeight="1" x14ac:dyDescent="0.3">
      <c r="AB102" s="171"/>
      <c r="AC102" s="17" t="s">
        <v>23</v>
      </c>
      <c r="AD102" s="17"/>
      <c r="AE102" s="17"/>
      <c r="AF102" s="17"/>
      <c r="AG102" s="17"/>
      <c r="AH102" s="17"/>
    </row>
    <row r="103" spans="28:46" ht="14.15" customHeight="1" x14ac:dyDescent="0.3">
      <c r="AB103" s="171"/>
      <c r="AC103" s="170">
        <f>C4</f>
        <v>0</v>
      </c>
      <c r="AD103" s="311" t="str">
        <f>D4</f>
        <v>KH - Výška korpusu</v>
      </c>
      <c r="AE103" s="312"/>
      <c r="AF103" s="312"/>
      <c r="AG103" s="312"/>
      <c r="AH103" s="313"/>
      <c r="AJ103" s="171"/>
      <c r="AK103" s="200"/>
      <c r="AL103" s="200"/>
      <c r="AM103" s="200"/>
      <c r="AN103" s="200"/>
      <c r="AO103" s="200"/>
    </row>
    <row r="104" spans="28:46" x14ac:dyDescent="0.3">
      <c r="AB104" s="171"/>
      <c r="AC104" s="170">
        <f>C5</f>
        <v>0</v>
      </c>
      <c r="AD104" s="311" t="str">
        <f t="shared" ref="AD104:AD108" si="0">D5</f>
        <v>A. Tloušťka dna/půdy</v>
      </c>
      <c r="AE104" s="312"/>
      <c r="AF104" s="312"/>
      <c r="AG104" s="312"/>
      <c r="AH104" s="313"/>
      <c r="AJ104" s="171"/>
      <c r="AK104" s="201"/>
      <c r="AL104" s="201"/>
      <c r="AM104" s="201"/>
      <c r="AN104" s="201"/>
      <c r="AO104" s="201"/>
    </row>
    <row r="105" spans="28:46" x14ac:dyDescent="0.3">
      <c r="AB105" s="171"/>
      <c r="AC105" s="170">
        <f>C6</f>
        <v>0</v>
      </c>
      <c r="AD105" s="311" t="str">
        <f t="shared" si="0"/>
        <v>B. Tloušťka boku vpravo/vlevo</v>
      </c>
      <c r="AE105" s="312"/>
      <c r="AF105" s="312"/>
      <c r="AG105" s="312"/>
      <c r="AH105" s="313"/>
      <c r="AJ105" s="171"/>
      <c r="AK105" s="200"/>
      <c r="AL105" s="200"/>
      <c r="AM105" s="200"/>
      <c r="AN105" s="200"/>
      <c r="AO105" s="200"/>
    </row>
    <row r="106" spans="28:46" x14ac:dyDescent="0.3">
      <c r="AB106" s="171"/>
      <c r="AC106" s="170">
        <f>C7</f>
        <v>0</v>
      </c>
      <c r="AD106" s="311" t="str">
        <f t="shared" si="0"/>
        <v>C. Mezera nahoře</v>
      </c>
      <c r="AE106" s="312"/>
      <c r="AF106" s="312"/>
      <c r="AG106" s="312"/>
      <c r="AH106" s="313"/>
      <c r="AJ106" s="171"/>
      <c r="AK106" s="200"/>
      <c r="AL106" s="200"/>
      <c r="AM106" s="200"/>
      <c r="AN106" s="200"/>
      <c r="AO106" s="200"/>
    </row>
    <row r="107" spans="28:46" x14ac:dyDescent="0.3">
      <c r="AB107" s="171"/>
      <c r="AC107" s="170">
        <f>C8</f>
        <v>0</v>
      </c>
      <c r="AD107" s="311" t="str">
        <f t="shared" si="0"/>
        <v>E. Mezera dole</v>
      </c>
      <c r="AE107" s="312"/>
      <c r="AF107" s="312"/>
      <c r="AG107" s="312"/>
      <c r="AH107" s="313"/>
      <c r="AN107" s="46"/>
      <c r="AO107" s="46"/>
    </row>
    <row r="108" spans="28:46" x14ac:dyDescent="0.3">
      <c r="AB108" s="171"/>
      <c r="AC108" s="170">
        <f>C9</f>
        <v>0</v>
      </c>
      <c r="AD108" s="311" t="str">
        <f t="shared" si="0"/>
        <v>F. Mezera vpravo/vlevo</v>
      </c>
      <c r="AE108" s="312"/>
      <c r="AF108" s="312"/>
      <c r="AG108" s="312"/>
      <c r="AH108" s="313"/>
      <c r="AN108" s="224"/>
      <c r="AO108" s="224"/>
    </row>
    <row r="109" spans="28:46" x14ac:dyDescent="0.3">
      <c r="AB109" s="171"/>
      <c r="AC109" s="171"/>
      <c r="AD109" s="200"/>
      <c r="AE109" s="200"/>
      <c r="AF109" s="200"/>
      <c r="AG109" s="200"/>
      <c r="AH109" s="200"/>
      <c r="AN109" s="224"/>
      <c r="AO109" s="224"/>
    </row>
    <row r="110" spans="28:46" x14ac:dyDescent="0.3">
      <c r="AC110" s="171"/>
      <c r="AD110" s="200"/>
      <c r="AE110" s="200"/>
      <c r="AF110" s="200"/>
      <c r="AG110" s="200"/>
      <c r="AH110" s="200"/>
      <c r="AN110" s="224"/>
      <c r="AO110" s="224"/>
    </row>
    <row r="111" spans="28:46" ht="18" customHeight="1" x14ac:dyDescent="0.3"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295"/>
      <c r="AO111" s="295"/>
      <c r="AP111" s="140"/>
      <c r="AQ111" s="140"/>
      <c r="AR111" s="140"/>
      <c r="AS111" s="140"/>
      <c r="AT111" s="140"/>
    </row>
    <row r="112" spans="28:46" ht="24.65" customHeight="1" x14ac:dyDescent="0.35">
      <c r="AB112" s="171"/>
      <c r="AC112" s="99" t="s">
        <v>106</v>
      </c>
      <c r="AM112" s="99"/>
    </row>
    <row r="113" spans="28:46" ht="15.65" customHeight="1" x14ac:dyDescent="0.35">
      <c r="AB113" s="171"/>
      <c r="AC113" s="308" t="s">
        <v>65</v>
      </c>
      <c r="AD113" s="309"/>
      <c r="AE113" s="310"/>
      <c r="AF113" s="308" t="s">
        <v>64</v>
      </c>
      <c r="AG113" s="309"/>
      <c r="AH113" s="310"/>
      <c r="AM113" s="98"/>
      <c r="AN113" s="98"/>
      <c r="AO113" s="98"/>
      <c r="AP113" s="98"/>
      <c r="AQ113" s="98"/>
      <c r="AR113" s="98"/>
      <c r="AS113" s="98"/>
      <c r="AT113" s="98"/>
    </row>
    <row r="114" spans="28:46" x14ac:dyDescent="0.3">
      <c r="AB114" s="171"/>
      <c r="AC114" s="183" t="s">
        <v>69</v>
      </c>
      <c r="AD114" s="183" t="s">
        <v>70</v>
      </c>
      <c r="AE114" s="183" t="s">
        <v>71</v>
      </c>
      <c r="AF114" s="183" t="s">
        <v>66</v>
      </c>
      <c r="AG114" s="183" t="s">
        <v>67</v>
      </c>
      <c r="AH114" s="183" t="s">
        <v>68</v>
      </c>
      <c r="AR114" s="47"/>
    </row>
    <row r="115" spans="28:46" x14ac:dyDescent="0.3">
      <c r="AB115" s="171"/>
      <c r="AC115" s="32">
        <f>C38</f>
        <v>0</v>
      </c>
      <c r="AD115" s="32" t="e">
        <f>#REF!</f>
        <v>#REF!</v>
      </c>
      <c r="AE115" s="32" t="e">
        <f>#REF!</f>
        <v>#REF!</v>
      </c>
      <c r="AF115" s="32" t="str">
        <f t="shared" ref="AF115:AH116" si="1">F36</f>
        <v xml:space="preserve"> </v>
      </c>
      <c r="AG115" s="32" t="str">
        <f t="shared" si="1"/>
        <v xml:space="preserve"> </v>
      </c>
      <c r="AH115" s="32" t="str">
        <f t="shared" si="1"/>
        <v xml:space="preserve"> </v>
      </c>
      <c r="AR115" s="47"/>
    </row>
    <row r="116" spans="28:46" x14ac:dyDescent="0.3">
      <c r="AC116" s="32" t="str">
        <f>C36</f>
        <v xml:space="preserve"> </v>
      </c>
      <c r="AD116" s="32" t="str">
        <f>D36</f>
        <v xml:space="preserve"> </v>
      </c>
      <c r="AE116" s="32" t="str">
        <f>E36</f>
        <v xml:space="preserve"> </v>
      </c>
      <c r="AF116" s="32" t="str">
        <f t="shared" si="1"/>
        <v xml:space="preserve"> </v>
      </c>
      <c r="AG116" s="32" t="str">
        <f t="shared" si="1"/>
        <v xml:space="preserve"> </v>
      </c>
      <c r="AH116" s="32" t="str">
        <f t="shared" si="1"/>
        <v xml:space="preserve"> </v>
      </c>
      <c r="AI116" s="2" t="str">
        <f>J37</f>
        <v xml:space="preserve"> </v>
      </c>
      <c r="AR116" s="47"/>
    </row>
    <row r="117" spans="28:46" x14ac:dyDescent="0.3">
      <c r="AR117" s="47"/>
    </row>
    <row r="118" spans="28:46" ht="14.15" customHeight="1" x14ac:dyDescent="0.3">
      <c r="AB118" s="172"/>
      <c r="AC118" s="2" t="str">
        <f>C39</f>
        <v xml:space="preserve"> * Vzdálenost od horní hrany korpusu na horní osu vrtání pro zdvihač</v>
      </c>
      <c r="AR118" s="47"/>
    </row>
    <row r="119" spans="28:46" x14ac:dyDescent="0.3">
      <c r="AB119" s="172"/>
      <c r="AC119" s="2" t="str">
        <f>C40</f>
        <v xml:space="preserve">** Vzdálenost od spodní hrany čela na první otvor čelního kování. </v>
      </c>
      <c r="AR119" s="47"/>
    </row>
    <row r="120" spans="28:46" x14ac:dyDescent="0.3">
      <c r="AB120" s="122"/>
      <c r="AC120" s="296" t="str">
        <f>$C$58</f>
        <v>Vrtání korpusu platí pro zdvihače s předmontovanými eurošrouby!</v>
      </c>
    </row>
    <row r="121" spans="28:46" x14ac:dyDescent="0.3">
      <c r="AC121" s="2" t="str">
        <f>$C$59&amp;" "&amp;$C$60</f>
        <v>U zdvihačů s upevněním pomocí vrutů se pozice určuje pomocí  integrovaných šablon.</v>
      </c>
    </row>
    <row r="122" spans="28:46" ht="5.5" customHeight="1" x14ac:dyDescent="0.3"/>
    <row r="124" spans="28:46" ht="15.5" x14ac:dyDescent="0.35">
      <c r="AD124" s="174" t="s">
        <v>81</v>
      </c>
      <c r="AI124" s="146"/>
      <c r="AN124" s="175" t="s">
        <v>82</v>
      </c>
    </row>
    <row r="125" spans="28:46" x14ac:dyDescent="0.3">
      <c r="AP125" s="47" t="str">
        <f>U46</f>
        <v xml:space="preserve"> </v>
      </c>
    </row>
    <row r="126" spans="28:46" ht="14.15" customHeight="1" x14ac:dyDescent="0.3">
      <c r="AC126" s="9" t="str">
        <f>U15</f>
        <v xml:space="preserve"> </v>
      </c>
      <c r="AP126" s="47" t="str">
        <f>U47</f>
        <v xml:space="preserve"> </v>
      </c>
    </row>
    <row r="127" spans="28:46" x14ac:dyDescent="0.3">
      <c r="AC127" s="9" t="e">
        <f>U16</f>
        <v>#VALUE!</v>
      </c>
      <c r="AM127" s="47" t="s">
        <v>127</v>
      </c>
    </row>
    <row r="128" spans="28:46" ht="13.5" customHeight="1" x14ac:dyDescent="0.35">
      <c r="AB128" s="19"/>
      <c r="AG128" s="47">
        <f>C47</f>
        <v>0</v>
      </c>
      <c r="AN128" s="47" t="str">
        <f>$H$36</f>
        <v xml:space="preserve"> </v>
      </c>
    </row>
    <row r="129" spans="33:44" x14ac:dyDescent="0.3">
      <c r="AG129" s="9"/>
      <c r="AN129" s="47"/>
    </row>
    <row r="130" spans="33:44" x14ac:dyDescent="0.3">
      <c r="AG130" s="294">
        <f>C50</f>
        <v>64</v>
      </c>
    </row>
    <row r="131" spans="33:44" x14ac:dyDescent="0.3">
      <c r="AN131" s="202" t="str">
        <f>$H$36</f>
        <v xml:space="preserve"> </v>
      </c>
      <c r="AP131" s="47" t="str">
        <f>U52</f>
        <v xml:space="preserve"> </v>
      </c>
      <c r="AQ131" s="47"/>
    </row>
    <row r="132" spans="33:44" x14ac:dyDescent="0.3">
      <c r="AN132" s="47"/>
      <c r="AP132" s="47" t="str">
        <f>U53</f>
        <v xml:space="preserve"> </v>
      </c>
    </row>
    <row r="133" spans="33:44" x14ac:dyDescent="0.3">
      <c r="AN133" s="202" t="str">
        <f>$H$36</f>
        <v xml:space="preserve"> </v>
      </c>
      <c r="AQ133" s="9"/>
      <c r="AR133" s="9"/>
    </row>
    <row r="134" spans="33:44" x14ac:dyDescent="0.3">
      <c r="AQ134" s="9" t="str">
        <f>G36</f>
        <v xml:space="preserve"> </v>
      </c>
      <c r="AR134" s="9"/>
    </row>
    <row r="135" spans="33:44" x14ac:dyDescent="0.3">
      <c r="AR135" s="9"/>
    </row>
    <row r="136" spans="33:44" x14ac:dyDescent="0.3">
      <c r="AN136" s="9" t="str">
        <f>"od spodní hrany:   "&amp;X23</f>
        <v xml:space="preserve">od spodní hrany:    </v>
      </c>
      <c r="AO136" s="5" t="str">
        <f>Z23</f>
        <v xml:space="preserve"> </v>
      </c>
    </row>
    <row r="137" spans="33:44" x14ac:dyDescent="0.3">
      <c r="AN137" s="9" t="str">
        <f>X24</f>
        <v xml:space="preserve"> </v>
      </c>
      <c r="AO137" s="5" t="str">
        <f>Z24</f>
        <v xml:space="preserve"> </v>
      </c>
    </row>
  </sheetData>
  <sheetProtection algorithmName="SHA-512" hashValue="KstdhRO7V+COsVBL9cI2qCNiKLrEhEU0/Ik48+IT9fASTfAdXzJj5Ur/tOwJ4BEEiGHbSt6VuVRK3ttF8hngdw==" saltValue="abAnIDfC4mHZzXFHa9RKDw==" spinCount="100000" sheet="1" objects="1" scenarios="1"/>
  <mergeCells count="21">
    <mergeCell ref="D4:H4"/>
    <mergeCell ref="D5:H5"/>
    <mergeCell ref="F34:H34"/>
    <mergeCell ref="C34:E34"/>
    <mergeCell ref="A32:A75"/>
    <mergeCell ref="C36:C37"/>
    <mergeCell ref="D36:D37"/>
    <mergeCell ref="E36:E37"/>
    <mergeCell ref="W61:X61"/>
    <mergeCell ref="D6:H6"/>
    <mergeCell ref="D7:H7"/>
    <mergeCell ref="D8:H8"/>
    <mergeCell ref="D9:H9"/>
    <mergeCell ref="AD108:AH108"/>
    <mergeCell ref="AF113:AH113"/>
    <mergeCell ref="AC113:AE113"/>
    <mergeCell ref="AD103:AH103"/>
    <mergeCell ref="AD104:AH104"/>
    <mergeCell ref="AD105:AH105"/>
    <mergeCell ref="AD106:AH106"/>
    <mergeCell ref="AD107:AH107"/>
  </mergeCells>
  <hyperlinks>
    <hyperlink ref="W61:X61" location="HL!A1" tooltip="Zpět na plánování" display="Zpět" xr:uid="{00000000-0004-0000-0500-000000000000}"/>
    <hyperlink ref="AA1" location="AVS!A1" tooltip="Úvodní strana AVENTOS" display="Úvod AVENTOS" xr:uid="{00000000-0004-0000-0500-000002000000}"/>
  </hyperlinks>
  <pageMargins left="0.23622047244094491" right="0.23622047244094491" top="0.55118110236220474" bottom="0.74803149606299213" header="0.31496062992125984" footer="0.31496062992125984"/>
  <pageSetup paperSize="9" scale="95" orientation="landscape" verticalDpi="599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AT136"/>
  <sheetViews>
    <sheetView showGridLines="0" showRowColHeaders="0" workbookViewId="0">
      <selection activeCell="U20" sqref="U20"/>
    </sheetView>
  </sheetViews>
  <sheetFormatPr defaultColWidth="8.9140625" defaultRowHeight="14" x14ac:dyDescent="0.3"/>
  <cols>
    <col min="1" max="1" width="1" style="2" customWidth="1"/>
    <col min="2" max="2" width="3.08203125" style="2" customWidth="1"/>
    <col min="3" max="3" width="8.9140625" style="2" customWidth="1"/>
    <col min="4" max="6" width="8.9140625" style="2"/>
    <col min="7" max="7" width="8.9140625" style="2" customWidth="1"/>
    <col min="8" max="8" width="8.9140625" style="2"/>
    <col min="9" max="9" width="0.75" style="2" customWidth="1"/>
    <col min="10" max="10" width="6.5" style="2" customWidth="1"/>
    <col min="11" max="11" width="11" style="2" hidden="1" customWidth="1"/>
    <col min="12" max="20" width="8.9140625" style="2" hidden="1" customWidth="1"/>
    <col min="21" max="21" width="17.75" style="2" customWidth="1"/>
    <col min="22" max="22" width="18.4140625" style="2" customWidth="1"/>
    <col min="23" max="23" width="8.9140625" style="2" customWidth="1"/>
    <col min="24" max="24" width="10.08203125" style="2" customWidth="1"/>
    <col min="25" max="25" width="1.25" style="2" customWidth="1"/>
    <col min="26" max="26" width="19.08203125" style="2" customWidth="1"/>
    <col min="27" max="28" width="8.9140625" style="2"/>
    <col min="29" max="37" width="6.58203125" style="2" customWidth="1"/>
    <col min="38" max="38" width="1.08203125" style="2" customWidth="1"/>
    <col min="39" max="39" width="6.58203125" style="2" customWidth="1"/>
    <col min="40" max="40" width="12.25" style="2" customWidth="1"/>
    <col min="41" max="41" width="8.9140625" style="2" customWidth="1"/>
    <col min="42" max="42" width="6.83203125" style="2" customWidth="1"/>
    <col min="43" max="43" width="9.4140625" style="2" customWidth="1"/>
    <col min="44" max="44" width="5.9140625" style="2" customWidth="1"/>
    <col min="45" max="45" width="9.33203125" style="2" customWidth="1"/>
    <col min="46" max="46" width="8.33203125" style="2" customWidth="1"/>
    <col min="47" max="16384" width="8.9140625" style="2"/>
  </cols>
  <sheetData>
    <row r="1" spans="2:26" ht="25" x14ac:dyDescent="0.5">
      <c r="C1" s="1" t="s">
        <v>19</v>
      </c>
      <c r="Z1" s="226" t="s">
        <v>22</v>
      </c>
    </row>
    <row r="2" spans="2:26" ht="18" customHeight="1" x14ac:dyDescent="0.4">
      <c r="B2" s="22"/>
      <c r="U2" s="227"/>
      <c r="W2" s="224"/>
      <c r="X2" s="224"/>
    </row>
    <row r="3" spans="2:26" ht="18" customHeight="1" x14ac:dyDescent="0.3">
      <c r="B3" s="6"/>
      <c r="C3" s="17" t="s">
        <v>23</v>
      </c>
      <c r="D3" s="17"/>
      <c r="E3" s="17"/>
      <c r="F3" s="17"/>
      <c r="G3" s="17"/>
      <c r="H3" s="17"/>
      <c r="K3" s="9" t="s">
        <v>24</v>
      </c>
      <c r="L3" s="30">
        <f>IF(AND(L4=1, L5=1, L6=1, L7=1, L8=1, L9=1, L10=1),1,2)</f>
        <v>2</v>
      </c>
      <c r="M3" s="31" t="s">
        <v>25</v>
      </c>
      <c r="N3" s="31" t="s">
        <v>27</v>
      </c>
      <c r="W3" s="50"/>
      <c r="X3" s="50"/>
    </row>
    <row r="4" spans="2:26" ht="16.5" customHeight="1" x14ac:dyDescent="0.3">
      <c r="B4" s="6"/>
      <c r="C4" s="78"/>
      <c r="D4" s="304" t="s">
        <v>26</v>
      </c>
      <c r="E4" s="304"/>
      <c r="F4" s="304"/>
      <c r="G4" s="304"/>
      <c r="H4" s="304"/>
      <c r="J4" s="12" t="str">
        <f>IF($C$4&lt;210, "Minimálně 210 mm!", IF($C$4&gt;600, "Maximálně 600 mm!", " "))</f>
        <v>Minimálně 210 mm!</v>
      </c>
      <c r="L4" s="63">
        <f>IF(OR(C4&lt;210, C4&gt;600), 2, 1)</f>
        <v>2</v>
      </c>
    </row>
    <row r="5" spans="2:26" ht="16.5" customHeight="1" x14ac:dyDescent="0.3">
      <c r="B5" s="6"/>
      <c r="C5" s="78"/>
      <c r="D5" s="304" t="s">
        <v>28</v>
      </c>
      <c r="E5" s="304"/>
      <c r="F5" s="304"/>
      <c r="G5" s="304"/>
      <c r="H5" s="304"/>
      <c r="J5" s="12" t="str">
        <f>IF(C5&lt;200, "Minimálně 200 mm!", " ")</f>
        <v>Minimálně 200 mm!</v>
      </c>
      <c r="L5" s="63">
        <f>IF(C5&lt;200, 2, 1)</f>
        <v>2</v>
      </c>
      <c r="M5" s="167" t="s">
        <v>29</v>
      </c>
      <c r="N5" s="152">
        <f>IF(OR(S15&lt;P21, S15&gt;Q24), 2, 1)</f>
        <v>2</v>
      </c>
    </row>
    <row r="6" spans="2:26" ht="16.5" customHeight="1" x14ac:dyDescent="0.3">
      <c r="B6" s="6"/>
      <c r="C6" s="78"/>
      <c r="D6" s="304" t="s">
        <v>30</v>
      </c>
      <c r="E6" s="304"/>
      <c r="F6" s="304"/>
      <c r="G6" s="304"/>
      <c r="H6" s="304"/>
      <c r="J6" s="12" t="str">
        <f>IF(C6&lt;14,"Minimálně 14 mm!", IF(C6&gt;26, "Maximálně 26 mm!", " "))</f>
        <v>Minimálně 14 mm!</v>
      </c>
      <c r="L6" s="63">
        <f>IF(OR($C$6&lt;14, $C$6&gt;26), 2, 1)</f>
        <v>2</v>
      </c>
      <c r="W6" s="224"/>
      <c r="X6" s="224"/>
    </row>
    <row r="7" spans="2:26" ht="16.5" customHeight="1" x14ac:dyDescent="0.3">
      <c r="B7" s="6"/>
      <c r="C7" s="78"/>
      <c r="D7" s="304" t="s">
        <v>31</v>
      </c>
      <c r="E7" s="304"/>
      <c r="F7" s="304"/>
      <c r="G7" s="304"/>
      <c r="H7" s="304"/>
      <c r="J7" s="12" t="str">
        <f>IF(C7&lt;14,"Minimálně 14 mm!"," ")</f>
        <v>Minimálně 14 mm!</v>
      </c>
      <c r="L7" s="63">
        <f>IF(C7&lt;14, 2, 1)</f>
        <v>2</v>
      </c>
      <c r="W7" s="224"/>
      <c r="X7" s="224"/>
    </row>
    <row r="8" spans="2:26" ht="16.5" customHeight="1" x14ac:dyDescent="0.3">
      <c r="B8" s="6"/>
      <c r="C8" s="78"/>
      <c r="D8" s="304" t="s">
        <v>109</v>
      </c>
      <c r="E8" s="304"/>
      <c r="F8" s="304"/>
      <c r="G8" s="304"/>
      <c r="H8" s="304"/>
      <c r="J8" s="12" t="str">
        <f>IF(C8&gt;$C$6,"Maximálně "&amp;$C$6&amp;" mm!"," ")</f>
        <v xml:space="preserve"> </v>
      </c>
      <c r="L8" s="63">
        <f>IF(C8&gt;$C$6, 2, 1)</f>
        <v>1</v>
      </c>
      <c r="W8" s="224"/>
      <c r="X8" s="224"/>
    </row>
    <row r="9" spans="2:26" ht="16.5" customHeight="1" x14ac:dyDescent="0.3">
      <c r="B9" s="6"/>
      <c r="C9" s="78"/>
      <c r="D9" s="304" t="s">
        <v>34</v>
      </c>
      <c r="E9" s="304"/>
      <c r="F9" s="304"/>
      <c r="G9" s="304"/>
      <c r="H9" s="304"/>
      <c r="J9" s="12" t="str">
        <f>IF(C9&gt;$C$6,"Maximálně "&amp;$C$6&amp;" mm!"," ")</f>
        <v xml:space="preserve"> </v>
      </c>
      <c r="L9" s="63">
        <f>IF(C9&gt;$C$6, 2, 1)</f>
        <v>1</v>
      </c>
      <c r="W9" s="46"/>
      <c r="X9" s="46"/>
    </row>
    <row r="10" spans="2:26" ht="16.5" customHeight="1" x14ac:dyDescent="0.3">
      <c r="B10" s="6"/>
      <c r="C10" s="78"/>
      <c r="D10" s="304" t="s">
        <v>35</v>
      </c>
      <c r="E10" s="304"/>
      <c r="F10" s="304"/>
      <c r="G10" s="304"/>
      <c r="H10" s="304"/>
      <c r="J10" s="12" t="str">
        <f>IF(C10&gt;C7,"Maximálně "&amp;C7&amp;" mm!"," ")</f>
        <v xml:space="preserve"> </v>
      </c>
      <c r="L10" s="63">
        <f>IF(C10&gt;C7, 2, 1)</f>
        <v>1</v>
      </c>
      <c r="W10" s="224"/>
      <c r="X10" s="224"/>
    </row>
    <row r="11" spans="2:26" ht="17.25" customHeight="1" x14ac:dyDescent="0.3">
      <c r="C11" s="12" t="str">
        <f>IF(L3=2, "Vyplňte správně všechny parametry!"," ")</f>
        <v>Vyplňte správně všechny parametry!</v>
      </c>
      <c r="L11" s="63"/>
      <c r="M11" s="63"/>
      <c r="N11" s="63"/>
      <c r="O11" s="63"/>
      <c r="P11" s="63"/>
      <c r="Q11" s="63"/>
      <c r="W11" s="224"/>
      <c r="X11" s="224"/>
    </row>
    <row r="12" spans="2:26" ht="25" customHeight="1" x14ac:dyDescent="0.3">
      <c r="C12" s="2" t="s">
        <v>132</v>
      </c>
      <c r="L12" s="63"/>
      <c r="M12" s="63"/>
      <c r="N12" s="63"/>
      <c r="O12" s="63"/>
      <c r="P12" s="63"/>
      <c r="Q12" s="63"/>
    </row>
    <row r="13" spans="2:26" ht="16.5" customHeight="1" x14ac:dyDescent="0.3">
      <c r="B13" s="26"/>
      <c r="C13" s="78"/>
      <c r="D13" s="304" t="s">
        <v>37</v>
      </c>
      <c r="E13" s="304"/>
      <c r="F13" s="304"/>
      <c r="G13" s="304"/>
      <c r="H13" s="304"/>
      <c r="J13" s="18" t="str">
        <f>IF(C13&gt;28, "Maximálně 28 mm!", " ")</f>
        <v xml:space="preserve"> </v>
      </c>
      <c r="L13" s="63"/>
      <c r="M13" s="63"/>
      <c r="N13" s="33" t="s">
        <v>133</v>
      </c>
      <c r="O13" s="29"/>
      <c r="P13" s="63"/>
      <c r="W13" s="9" t="s">
        <v>121</v>
      </c>
      <c r="X13" s="5">
        <f>$F$30</f>
        <v>0</v>
      </c>
    </row>
    <row r="14" spans="2:26" ht="16.5" customHeight="1" x14ac:dyDescent="0.3">
      <c r="B14" s="26"/>
      <c r="C14" s="78"/>
      <c r="D14" s="311" t="s">
        <v>40</v>
      </c>
      <c r="E14" s="312"/>
      <c r="F14" s="312"/>
      <c r="G14" s="312"/>
      <c r="H14" s="313"/>
      <c r="L14" s="63"/>
      <c r="M14" s="9" t="s">
        <v>72</v>
      </c>
      <c r="N14" s="94">
        <f>$C$6+36</f>
        <v>36</v>
      </c>
      <c r="O14" s="63"/>
      <c r="P14" s="63"/>
      <c r="Q14" s="9" t="s">
        <v>38</v>
      </c>
      <c r="S14" s="9" t="s">
        <v>39</v>
      </c>
    </row>
    <row r="15" spans="2:26" ht="16.5" customHeight="1" x14ac:dyDescent="0.3">
      <c r="B15" s="25"/>
      <c r="C15" s="78"/>
      <c r="D15" s="311" t="s">
        <v>41</v>
      </c>
      <c r="E15" s="312"/>
      <c r="F15" s="312"/>
      <c r="G15" s="312"/>
      <c r="H15" s="313"/>
      <c r="K15" s="9"/>
      <c r="M15" s="37" t="s">
        <v>73</v>
      </c>
      <c r="N15" s="38">
        <f>$C$4-$N$14</f>
        <v>-36</v>
      </c>
      <c r="O15" s="15"/>
      <c r="Q15" s="2">
        <f>(C4*C5*C13/1000000000*C14)+C15*2</f>
        <v>0</v>
      </c>
      <c r="S15" s="112">
        <f>IF($L$3=1, C4*Q15, 0)</f>
        <v>0</v>
      </c>
      <c r="T15" s="63"/>
    </row>
    <row r="16" spans="2:26" ht="15.75" customHeight="1" x14ac:dyDescent="0.3">
      <c r="C16" s="90">
        <f>IF($L$3=1, $Q$15, 0)</f>
        <v>0</v>
      </c>
      <c r="D16" s="311" t="s">
        <v>42</v>
      </c>
      <c r="E16" s="312"/>
      <c r="F16" s="312"/>
      <c r="G16" s="312"/>
      <c r="H16" s="313"/>
      <c r="K16" s="9"/>
      <c r="L16" s="4"/>
      <c r="M16" s="232" t="s">
        <v>76</v>
      </c>
      <c r="N16" s="130">
        <f>62+$C$6-$C$8</f>
        <v>62</v>
      </c>
      <c r="O16" s="4"/>
      <c r="U16" s="11"/>
      <c r="W16" s="63">
        <f>$H$30</f>
        <v>0</v>
      </c>
    </row>
    <row r="17" spans="1:24" ht="14.25" customHeight="1" x14ac:dyDescent="0.3">
      <c r="C17" s="298" t="str">
        <f>IF(AND($L$3=1,$N$5=2, $C$16&gt;0),"Ukazatel výkonnosti LF je mimo rozsah. Upravte rozměry korpusu nebo hmotnost čela.", " ")</f>
        <v xml:space="preserve"> </v>
      </c>
    </row>
    <row r="18" spans="1:24" ht="14.25" customHeight="1" x14ac:dyDescent="0.3">
      <c r="W18" s="15">
        <f>$H$30</f>
        <v>0</v>
      </c>
    </row>
    <row r="19" spans="1:24" ht="14.25" customHeight="1" x14ac:dyDescent="0.3">
      <c r="C19" s="2" t="s">
        <v>44</v>
      </c>
      <c r="P19" s="2" t="s">
        <v>134</v>
      </c>
      <c r="S19" s="18"/>
    </row>
    <row r="20" spans="1:24" ht="14.25" customHeight="1" x14ac:dyDescent="0.3">
      <c r="C20" s="2" t="s">
        <v>45</v>
      </c>
      <c r="L20" s="225" t="s">
        <v>46</v>
      </c>
      <c r="M20" s="228" t="s">
        <v>135</v>
      </c>
      <c r="N20" s="225"/>
      <c r="O20" s="225"/>
      <c r="P20" s="225" t="s">
        <v>79</v>
      </c>
      <c r="Q20" s="225" t="s">
        <v>80</v>
      </c>
      <c r="S20" s="18"/>
    </row>
    <row r="21" spans="1:24" ht="14.25" customHeight="1" x14ac:dyDescent="0.3">
      <c r="C21" s="2" t="s">
        <v>48</v>
      </c>
      <c r="L21" s="225" t="s">
        <v>136</v>
      </c>
      <c r="M21" s="87">
        <f>IF(AND($S$15&gt;P21,$S$15&lt;Q21),1,0)</f>
        <v>0</v>
      </c>
      <c r="N21" s="228"/>
      <c r="O21" s="225"/>
      <c r="P21" s="225">
        <v>419</v>
      </c>
      <c r="Q21" s="225">
        <v>1270</v>
      </c>
      <c r="S21" s="18"/>
      <c r="W21" s="15">
        <f>$H$30</f>
        <v>0</v>
      </c>
    </row>
    <row r="22" spans="1:24" ht="14.25" customHeight="1" x14ac:dyDescent="0.3">
      <c r="C22" s="2" t="s">
        <v>50</v>
      </c>
      <c r="L22" s="225" t="s">
        <v>137</v>
      </c>
      <c r="M22" s="87">
        <f>IF(AND($S$15&gt;P22,$S$15&lt;Q22),1,0)</f>
        <v>0</v>
      </c>
      <c r="N22" s="228"/>
      <c r="O22" s="225"/>
      <c r="P22" s="225">
        <v>1270</v>
      </c>
      <c r="Q22" s="225">
        <v>2265</v>
      </c>
      <c r="S22" s="18"/>
      <c r="W22" s="9" t="s">
        <v>43</v>
      </c>
    </row>
    <row r="23" spans="1:24" ht="14.25" customHeight="1" x14ac:dyDescent="0.3">
      <c r="C23" s="2" t="s">
        <v>53</v>
      </c>
      <c r="L23" s="225" t="s">
        <v>138</v>
      </c>
      <c r="M23" s="87">
        <f t="shared" ref="M23:M24" si="0">IF(AND($S$15&gt;P23,$S$15&lt;Q23),1,0)</f>
        <v>0</v>
      </c>
      <c r="N23" s="228"/>
      <c r="O23" s="225"/>
      <c r="P23" s="225">
        <v>2265</v>
      </c>
      <c r="Q23" s="225">
        <v>4200</v>
      </c>
      <c r="S23" s="18"/>
    </row>
    <row r="24" spans="1:24" ht="18" customHeight="1" x14ac:dyDescent="0.3">
      <c r="C24" s="2" t="s">
        <v>55</v>
      </c>
      <c r="L24" s="225" t="s">
        <v>139</v>
      </c>
      <c r="M24" s="87">
        <f t="shared" si="0"/>
        <v>0</v>
      </c>
      <c r="N24" s="228"/>
      <c r="O24" s="225"/>
      <c r="P24" s="225">
        <v>4200</v>
      </c>
      <c r="Q24" s="225">
        <v>9001</v>
      </c>
      <c r="S24" s="18"/>
    </row>
    <row r="25" spans="1:24" ht="15.75" customHeight="1" thickBot="1" x14ac:dyDescent="0.35">
      <c r="A25" s="303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</row>
    <row r="26" spans="1:24" ht="25" customHeight="1" thickTop="1" x14ac:dyDescent="0.35">
      <c r="A26" s="303"/>
      <c r="B26" s="76" t="str">
        <f>"Výsledky pro výšku korpusu KH "&amp;$C$4&amp;" mm"</f>
        <v>Výsledky pro výšku korpusu KH  mm</v>
      </c>
      <c r="X26" s="103" t="str">
        <f>$C$1</f>
        <v>AVENTOS HK top</v>
      </c>
    </row>
    <row r="27" spans="1:24" ht="6.65" customHeight="1" x14ac:dyDescent="0.35">
      <c r="A27" s="303"/>
      <c r="B27" s="76"/>
      <c r="L27" s="63"/>
      <c r="M27" s="63"/>
      <c r="N27" s="63"/>
      <c r="O27" s="63"/>
      <c r="P27" s="63"/>
      <c r="X27" s="103"/>
    </row>
    <row r="28" spans="1:24" ht="17.5" x14ac:dyDescent="0.35">
      <c r="A28" s="303"/>
      <c r="C28" s="305" t="s">
        <v>140</v>
      </c>
      <c r="D28" s="305"/>
      <c r="E28" s="305"/>
      <c r="F28" s="305" t="s">
        <v>64</v>
      </c>
      <c r="G28" s="305"/>
      <c r="H28" s="305"/>
      <c r="X28" s="103"/>
    </row>
    <row r="29" spans="1:24" ht="17.5" x14ac:dyDescent="0.35">
      <c r="A29" s="303"/>
      <c r="C29" s="229" t="s">
        <v>141</v>
      </c>
      <c r="D29" s="229" t="s">
        <v>70</v>
      </c>
      <c r="E29" s="229" t="s">
        <v>71</v>
      </c>
      <c r="F29" s="229" t="s">
        <v>66</v>
      </c>
      <c r="G29" s="229" t="s">
        <v>67</v>
      </c>
      <c r="H29" s="229" t="s">
        <v>68</v>
      </c>
      <c r="X29" s="103"/>
    </row>
    <row r="30" spans="1:24" ht="17.5" x14ac:dyDescent="0.35">
      <c r="A30" s="303"/>
      <c r="C30" s="32">
        <f>IF($L$3=1, SUM($C$6, 36), 0)</f>
        <v>0</v>
      </c>
      <c r="D30" s="162">
        <f>IF($L$3=1, 37, 0)</f>
        <v>0</v>
      </c>
      <c r="E30" s="162">
        <f>IF($L$3=1, 64, 0)</f>
        <v>0</v>
      </c>
      <c r="F30" s="32">
        <f>IF($L$3=1, $N$16, 0)</f>
        <v>0</v>
      </c>
      <c r="G30" s="32">
        <f>IF($L$3=1, SUM($C$7-$C$10+12.5), 0)</f>
        <v>0</v>
      </c>
      <c r="H30" s="32">
        <f>IF($L$3=1, SUM($C$7-$C$10+12.5), 0)</f>
        <v>0</v>
      </c>
      <c r="X30" s="103"/>
    </row>
    <row r="31" spans="1:24" ht="25" customHeight="1" x14ac:dyDescent="0.35">
      <c r="A31" s="303"/>
      <c r="C31" s="2" t="s">
        <v>123</v>
      </c>
      <c r="X31" s="103"/>
    </row>
    <row r="32" spans="1:24" ht="16" customHeight="1" x14ac:dyDescent="0.35">
      <c r="A32" s="303"/>
      <c r="C32" s="2" t="s">
        <v>142</v>
      </c>
      <c r="X32" s="103"/>
    </row>
    <row r="33" spans="1:24" ht="16" customHeight="1" x14ac:dyDescent="0.35">
      <c r="A33" s="303"/>
      <c r="X33" s="103"/>
    </row>
    <row r="34" spans="1:24" ht="17.5" x14ac:dyDescent="0.35">
      <c r="A34" s="303"/>
      <c r="X34" s="103"/>
    </row>
    <row r="35" spans="1:24" ht="17.5" x14ac:dyDescent="0.35">
      <c r="A35" s="303"/>
      <c r="B35" s="19" t="s">
        <v>81</v>
      </c>
      <c r="U35" s="19" t="s">
        <v>82</v>
      </c>
    </row>
    <row r="36" spans="1:24" x14ac:dyDescent="0.3">
      <c r="A36" s="303"/>
    </row>
    <row r="37" spans="1:24" x14ac:dyDescent="0.3">
      <c r="A37" s="303"/>
    </row>
    <row r="38" spans="1:24" x14ac:dyDescent="0.3">
      <c r="A38" s="303"/>
      <c r="L38" s="2" t="s">
        <v>143</v>
      </c>
      <c r="M38" s="2" t="s">
        <v>144</v>
      </c>
      <c r="O38" s="2" t="s">
        <v>145</v>
      </c>
      <c r="P38" s="2" t="s">
        <v>146</v>
      </c>
      <c r="U38" s="73">
        <f>$F$30</f>
        <v>0</v>
      </c>
    </row>
    <row r="39" spans="1:24" x14ac:dyDescent="0.3">
      <c r="A39" s="303"/>
      <c r="H39" s="250">
        <f>C30</f>
        <v>0</v>
      </c>
      <c r="L39" s="2" t="s">
        <v>147</v>
      </c>
      <c r="M39" s="2" t="s">
        <v>148</v>
      </c>
      <c r="O39" s="2" t="s">
        <v>149</v>
      </c>
      <c r="P39" s="2" t="s">
        <v>150</v>
      </c>
    </row>
    <row r="40" spans="1:24" x14ac:dyDescent="0.3">
      <c r="A40" s="303"/>
      <c r="C40" s="63"/>
      <c r="L40" s="2" t="s">
        <v>151</v>
      </c>
      <c r="M40" s="2" t="s">
        <v>152</v>
      </c>
      <c r="O40" s="2" t="s">
        <v>153</v>
      </c>
      <c r="P40" s="2" t="s">
        <v>154</v>
      </c>
    </row>
    <row r="41" spans="1:24" x14ac:dyDescent="0.3">
      <c r="A41" s="303"/>
      <c r="L41" s="2" t="s">
        <v>155</v>
      </c>
      <c r="M41" s="2" t="s">
        <v>156</v>
      </c>
      <c r="O41" s="2" t="s">
        <v>157</v>
      </c>
      <c r="P41" s="2" t="s">
        <v>158</v>
      </c>
    </row>
    <row r="42" spans="1:24" x14ac:dyDescent="0.3">
      <c r="A42" s="303"/>
      <c r="L42" s="2" t="s">
        <v>159</v>
      </c>
      <c r="M42" s="2" t="s">
        <v>160</v>
      </c>
      <c r="O42" s="2" t="s">
        <v>161</v>
      </c>
      <c r="P42" s="2" t="s">
        <v>162</v>
      </c>
      <c r="U42" s="47"/>
    </row>
    <row r="43" spans="1:24" x14ac:dyDescent="0.3">
      <c r="A43" s="303"/>
    </row>
    <row r="44" spans="1:24" x14ac:dyDescent="0.3">
      <c r="A44" s="303"/>
    </row>
    <row r="45" spans="1:24" x14ac:dyDescent="0.3">
      <c r="A45" s="303"/>
      <c r="L45" s="2" t="s">
        <v>163</v>
      </c>
      <c r="M45" s="2">
        <v>1</v>
      </c>
    </row>
    <row r="46" spans="1:24" x14ac:dyDescent="0.3">
      <c r="A46" s="303"/>
      <c r="C46" s="48"/>
      <c r="U46" s="47"/>
    </row>
    <row r="47" spans="1:24" x14ac:dyDescent="0.3">
      <c r="A47" s="303"/>
      <c r="L47" s="2" t="s">
        <v>164</v>
      </c>
      <c r="M47" s="2">
        <v>1</v>
      </c>
    </row>
    <row r="48" spans="1:24" x14ac:dyDescent="0.3">
      <c r="A48" s="303"/>
    </row>
    <row r="49" spans="1:24" x14ac:dyDescent="0.3">
      <c r="A49" s="303"/>
      <c r="L49" s="2" t="s">
        <v>165</v>
      </c>
      <c r="M49" s="2">
        <v>1</v>
      </c>
      <c r="U49" s="71">
        <f>$G$30</f>
        <v>0</v>
      </c>
    </row>
    <row r="50" spans="1:24" x14ac:dyDescent="0.3">
      <c r="A50" s="303"/>
      <c r="L50" s="2" t="s">
        <v>166</v>
      </c>
    </row>
    <row r="51" spans="1:24" x14ac:dyDescent="0.3">
      <c r="A51" s="303"/>
      <c r="C51" s="2" t="s">
        <v>607</v>
      </c>
    </row>
    <row r="52" spans="1:24" x14ac:dyDescent="0.3">
      <c r="A52" s="303"/>
      <c r="C52" s="2" t="s">
        <v>605</v>
      </c>
    </row>
    <row r="53" spans="1:24" x14ac:dyDescent="0.3">
      <c r="A53" s="303"/>
      <c r="C53" s="2" t="s">
        <v>606</v>
      </c>
    </row>
    <row r="54" spans="1:24" x14ac:dyDescent="0.3">
      <c r="A54" s="303"/>
    </row>
    <row r="55" spans="1:24" x14ac:dyDescent="0.3">
      <c r="A55" s="303"/>
    </row>
    <row r="56" spans="1:24" x14ac:dyDescent="0.3">
      <c r="A56" s="303"/>
      <c r="C56" s="2" t="s">
        <v>89</v>
      </c>
      <c r="F56" s="2" t="s">
        <v>167</v>
      </c>
    </row>
    <row r="57" spans="1:24" x14ac:dyDescent="0.3">
      <c r="A57" s="303"/>
      <c r="C57" s="2" t="s">
        <v>91</v>
      </c>
      <c r="F57" s="2" t="s">
        <v>168</v>
      </c>
    </row>
    <row r="58" spans="1:24" ht="15.75" customHeight="1" thickBot="1" x14ac:dyDescent="0.35">
      <c r="A58" s="303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1:24" ht="25" customHeight="1" thickTop="1" x14ac:dyDescent="0.35">
      <c r="A59" s="303"/>
      <c r="B59" s="76" t="str">
        <f>"Kování pro výšku korpusu KH "&amp;$C$4&amp;" a šířku korpusu KB "&amp;$C$5&amp;" mm"</f>
        <v>Kování pro výšku korpusu KH  a šířku korpusu KB  mm</v>
      </c>
      <c r="X59" s="103" t="str">
        <f>$C$1</f>
        <v>AVENTOS HK top</v>
      </c>
    </row>
    <row r="60" spans="1:24" ht="25" customHeight="1" x14ac:dyDescent="0.35">
      <c r="A60" s="303"/>
      <c r="B60" s="156" t="s">
        <v>169</v>
      </c>
      <c r="X60" s="103"/>
    </row>
    <row r="61" spans="1:24" ht="17.149999999999999" customHeight="1" x14ac:dyDescent="0.3">
      <c r="A61" s="303"/>
      <c r="B61" s="158" t="s">
        <v>92</v>
      </c>
      <c r="C61" s="140"/>
      <c r="D61" s="140"/>
      <c r="E61" s="140"/>
      <c r="F61" s="140" t="s">
        <v>93</v>
      </c>
      <c r="G61" s="140"/>
      <c r="H61" s="13" t="s">
        <v>94</v>
      </c>
      <c r="I61" s="140"/>
      <c r="J61" s="166" t="s">
        <v>95</v>
      </c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</row>
    <row r="62" spans="1:24" x14ac:dyDescent="0.3">
      <c r="A62" s="303"/>
      <c r="B62" s="2" t="s">
        <v>96</v>
      </c>
      <c r="F62" s="2" t="str">
        <f>IF($M$21&gt;0,$L$39,IF($M$22&gt;0,$L$40,IF($M$23&gt;0,$L$41,IF($M$24&gt;0,$L$42," "))))</f>
        <v xml:space="preserve"> </v>
      </c>
      <c r="H62" s="63" t="str">
        <f>IF($N$5=1, SUM($M$21:$M$24), " ")</f>
        <v xml:space="preserve"> </v>
      </c>
    </row>
    <row r="63" spans="1:24" x14ac:dyDescent="0.3">
      <c r="A63" s="303"/>
      <c r="B63" s="2" t="s">
        <v>170</v>
      </c>
      <c r="F63" s="2" t="str">
        <f>IF($N$5=1, $L$45, " ")</f>
        <v xml:space="preserve"> </v>
      </c>
      <c r="H63" s="63" t="str">
        <f>IF($N$5=1, $M$45, " ")</f>
        <v xml:space="preserve"> </v>
      </c>
      <c r="J63" s="2" t="s">
        <v>99</v>
      </c>
    </row>
    <row r="64" spans="1:24" x14ac:dyDescent="0.3">
      <c r="A64" s="303"/>
      <c r="B64" s="2" t="s">
        <v>171</v>
      </c>
      <c r="F64" s="2" t="str">
        <f>IF($N$5=1, $L$47, " ")</f>
        <v xml:space="preserve"> </v>
      </c>
      <c r="H64" s="63" t="str">
        <f>IF($N$5=1, $M$47, " ")</f>
        <v xml:space="preserve"> </v>
      </c>
    </row>
    <row r="66" spans="2:24" ht="25" customHeight="1" x14ac:dyDescent="0.35">
      <c r="B66" s="156" t="s">
        <v>172</v>
      </c>
      <c r="X66" s="103"/>
    </row>
    <row r="67" spans="2:24" ht="17.149999999999999" customHeight="1" x14ac:dyDescent="0.3">
      <c r="B67" s="158" t="s">
        <v>92</v>
      </c>
      <c r="C67" s="140"/>
      <c r="D67" s="140"/>
      <c r="E67" s="140"/>
      <c r="F67" s="140" t="s">
        <v>93</v>
      </c>
      <c r="G67" s="140"/>
      <c r="H67" s="13" t="s">
        <v>94</v>
      </c>
      <c r="I67" s="140"/>
      <c r="J67" s="166" t="s">
        <v>95</v>
      </c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</row>
    <row r="68" spans="2:24" x14ac:dyDescent="0.3">
      <c r="B68" s="2" t="s">
        <v>173</v>
      </c>
      <c r="F68" s="2" t="str">
        <f>IF($M$21&gt;0,$M$39,IF($M$22&gt;0,$M$40,IF($M$23&gt;0,$M$41,IF($M$24&gt;0,$M$42," "))))</f>
        <v xml:space="preserve"> </v>
      </c>
      <c r="H68" s="63" t="str">
        <f>IF($N$5=1, SUM($M$21:$M$24), " ")</f>
        <v xml:space="preserve"> </v>
      </c>
    </row>
    <row r="69" spans="2:24" x14ac:dyDescent="0.3">
      <c r="B69" s="2" t="s">
        <v>170</v>
      </c>
      <c r="F69" s="2" t="str">
        <f>IF($N$5=1, $L$45, " ")</f>
        <v xml:space="preserve"> </v>
      </c>
      <c r="H69" s="63" t="str">
        <f>IF($N$5=1, $M$45, " ")</f>
        <v xml:space="preserve"> </v>
      </c>
      <c r="J69" s="2" t="s">
        <v>99</v>
      </c>
    </row>
    <row r="70" spans="2:24" x14ac:dyDescent="0.3">
      <c r="B70" s="2" t="s">
        <v>171</v>
      </c>
      <c r="F70" s="2" t="str">
        <f>IF($N$5=1, $L$47, " ")</f>
        <v xml:space="preserve"> </v>
      </c>
      <c r="H70" s="63" t="str">
        <f>IF($N$5=1, $M$47, " ")</f>
        <v xml:space="preserve"> </v>
      </c>
    </row>
    <row r="71" spans="2:24" x14ac:dyDescent="0.3">
      <c r="B71" s="2" t="s">
        <v>174</v>
      </c>
      <c r="F71" s="2" t="str">
        <f>IF(N5=1, IF(C4&gt;500,L50, L49), " ")</f>
        <v xml:space="preserve"> </v>
      </c>
      <c r="H71" s="63" t="str">
        <f>IF($N$5=1, $M$49, " ")</f>
        <v xml:space="preserve"> </v>
      </c>
      <c r="J71" s="2" t="s">
        <v>99</v>
      </c>
    </row>
    <row r="74" spans="2:24" x14ac:dyDescent="0.3">
      <c r="B74" s="2" t="s">
        <v>104</v>
      </c>
    </row>
    <row r="75" spans="2:24" x14ac:dyDescent="0.3">
      <c r="B75" s="2" t="s">
        <v>591</v>
      </c>
    </row>
    <row r="100" spans="28:46" ht="21" customHeight="1" x14ac:dyDescent="0.35">
      <c r="AC100" s="99" t="s">
        <v>105</v>
      </c>
      <c r="AO100" s="139" t="str">
        <f>X26</f>
        <v>AVENTOS HK top</v>
      </c>
    </row>
    <row r="101" spans="28:46" x14ac:dyDescent="0.3">
      <c r="AC101" s="17" t="s">
        <v>23</v>
      </c>
      <c r="AD101" s="17"/>
      <c r="AE101" s="17"/>
      <c r="AF101" s="17"/>
      <c r="AG101" s="17"/>
      <c r="AH101" s="17"/>
      <c r="AJ101" s="2" t="str">
        <f>C12</f>
        <v>Pro výpočet kování (volitelně)</v>
      </c>
    </row>
    <row r="102" spans="28:46" x14ac:dyDescent="0.3">
      <c r="AC102" s="170">
        <f t="shared" ref="AC102:AC108" si="1">C4</f>
        <v>0</v>
      </c>
      <c r="AD102" s="311" t="s">
        <v>26</v>
      </c>
      <c r="AE102" s="312"/>
      <c r="AF102" s="312"/>
      <c r="AG102" s="312"/>
      <c r="AH102" s="313"/>
      <c r="AJ102" s="90">
        <f>C13</f>
        <v>0</v>
      </c>
      <c r="AK102" s="304" t="s">
        <v>37</v>
      </c>
      <c r="AL102" s="304"/>
      <c r="AM102" s="304"/>
      <c r="AN102" s="304"/>
      <c r="AO102" s="304"/>
    </row>
    <row r="103" spans="28:46" x14ac:dyDescent="0.3">
      <c r="AC103" s="170">
        <f t="shared" si="1"/>
        <v>0</v>
      </c>
      <c r="AD103" s="311" t="s">
        <v>28</v>
      </c>
      <c r="AE103" s="312"/>
      <c r="AF103" s="312"/>
      <c r="AG103" s="312"/>
      <c r="AH103" s="313"/>
      <c r="AJ103" s="90">
        <f t="shared" ref="AJ103:AJ105" si="2">C14</f>
        <v>0</v>
      </c>
      <c r="AK103" s="311" t="s">
        <v>40</v>
      </c>
      <c r="AL103" s="312"/>
      <c r="AM103" s="312"/>
      <c r="AN103" s="312"/>
      <c r="AO103" s="313"/>
    </row>
    <row r="104" spans="28:46" x14ac:dyDescent="0.3">
      <c r="AC104" s="170">
        <f t="shared" si="1"/>
        <v>0</v>
      </c>
      <c r="AD104" s="311" t="s">
        <v>30</v>
      </c>
      <c r="AE104" s="312"/>
      <c r="AF104" s="312"/>
      <c r="AG104" s="312"/>
      <c r="AH104" s="313"/>
      <c r="AJ104" s="90">
        <f t="shared" si="2"/>
        <v>0</v>
      </c>
      <c r="AK104" s="311" t="s">
        <v>41</v>
      </c>
      <c r="AL104" s="312"/>
      <c r="AM104" s="312"/>
      <c r="AN104" s="312"/>
      <c r="AO104" s="313"/>
    </row>
    <row r="105" spans="28:46" x14ac:dyDescent="0.3">
      <c r="AC105" s="170">
        <f t="shared" si="1"/>
        <v>0</v>
      </c>
      <c r="AD105" s="311" t="s">
        <v>31</v>
      </c>
      <c r="AE105" s="312"/>
      <c r="AF105" s="312"/>
      <c r="AG105" s="312"/>
      <c r="AH105" s="313"/>
      <c r="AJ105" s="90">
        <f t="shared" si="2"/>
        <v>0</v>
      </c>
      <c r="AK105" s="311" t="s">
        <v>42</v>
      </c>
      <c r="AL105" s="312"/>
      <c r="AM105" s="312"/>
      <c r="AN105" s="312"/>
      <c r="AO105" s="313"/>
    </row>
    <row r="106" spans="28:46" x14ac:dyDescent="0.3">
      <c r="AC106" s="170">
        <f t="shared" si="1"/>
        <v>0</v>
      </c>
      <c r="AD106" s="311" t="s">
        <v>109</v>
      </c>
      <c r="AE106" s="312"/>
      <c r="AF106" s="312"/>
      <c r="AG106" s="312"/>
      <c r="AH106" s="313"/>
    </row>
    <row r="107" spans="28:46" x14ac:dyDescent="0.3">
      <c r="AC107" s="170">
        <f t="shared" si="1"/>
        <v>0</v>
      </c>
      <c r="AD107" s="311" t="s">
        <v>34</v>
      </c>
      <c r="AE107" s="312"/>
      <c r="AF107" s="312"/>
      <c r="AG107" s="312"/>
      <c r="AH107" s="313"/>
    </row>
    <row r="108" spans="28:46" x14ac:dyDescent="0.3">
      <c r="AC108" s="170">
        <f t="shared" si="1"/>
        <v>0</v>
      </c>
      <c r="AD108" s="311" t="s">
        <v>35</v>
      </c>
      <c r="AE108" s="312"/>
      <c r="AF108" s="312"/>
      <c r="AG108" s="312"/>
      <c r="AH108" s="313"/>
    </row>
    <row r="110" spans="28:46" x14ac:dyDescent="0.3"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</row>
    <row r="111" spans="28:46" ht="21.65" customHeight="1" x14ac:dyDescent="0.35">
      <c r="AB111" s="171"/>
      <c r="AC111" s="99" t="s">
        <v>106</v>
      </c>
      <c r="AL111" s="180"/>
      <c r="AM111" s="132" t="str">
        <f>B60</f>
        <v>Standard (s tlumením)</v>
      </c>
      <c r="AN111" s="132"/>
      <c r="AO111" s="132"/>
      <c r="AP111" s="132"/>
      <c r="AQ111" s="132"/>
      <c r="AR111" s="132"/>
      <c r="AS111" s="132"/>
      <c r="AT111" s="216" t="s">
        <v>107</v>
      </c>
    </row>
    <row r="112" spans="28:46" ht="14.5" x14ac:dyDescent="0.35">
      <c r="AC112" s="305" t="s">
        <v>64</v>
      </c>
      <c r="AD112" s="305"/>
      <c r="AE112" s="305"/>
      <c r="AF112" s="305" t="s">
        <v>140</v>
      </c>
      <c r="AG112" s="305"/>
      <c r="AH112" s="305"/>
      <c r="AL112" s="81"/>
      <c r="AM112" s="98" t="str">
        <f>B61</f>
        <v>popis</v>
      </c>
      <c r="AN112" s="98"/>
      <c r="AO112" s="98"/>
      <c r="AP112" s="98" t="str">
        <f>F61</f>
        <v>označení</v>
      </c>
      <c r="AQ112" s="98"/>
      <c r="AR112" s="185" t="str">
        <f>H61</f>
        <v>počet</v>
      </c>
      <c r="AS112" s="186" t="str">
        <f>J61</f>
        <v>poznámka</v>
      </c>
      <c r="AT112" s="182"/>
    </row>
    <row r="113" spans="29:46" x14ac:dyDescent="0.3">
      <c r="AC113" s="229" t="s">
        <v>66</v>
      </c>
      <c r="AD113" s="229" t="s">
        <v>67</v>
      </c>
      <c r="AE113" s="229" t="s">
        <v>68</v>
      </c>
      <c r="AF113" s="229" t="s">
        <v>141</v>
      </c>
      <c r="AG113" s="229" t="s">
        <v>70</v>
      </c>
      <c r="AH113" s="229" t="s">
        <v>71</v>
      </c>
      <c r="AL113" s="81"/>
      <c r="AM113" s="2" t="str">
        <f t="shared" ref="AM113:AM122" si="3">B62</f>
        <v>Sada zdvihačů</v>
      </c>
      <c r="AP113" s="2" t="str">
        <f t="shared" ref="AP113:AP122" si="4">F62</f>
        <v xml:space="preserve"> </v>
      </c>
      <c r="AR113" s="63" t="str">
        <f t="shared" ref="AR113:AR122" si="5">H62</f>
        <v xml:space="preserve"> </v>
      </c>
      <c r="AS113" s="47"/>
      <c r="AT113" s="80"/>
    </row>
    <row r="114" spans="29:46" x14ac:dyDescent="0.3">
      <c r="AC114" s="32">
        <f>F30</f>
        <v>0</v>
      </c>
      <c r="AD114" s="32">
        <f>G30</f>
        <v>0</v>
      </c>
      <c r="AE114" s="32">
        <f>H30</f>
        <v>0</v>
      </c>
      <c r="AF114" s="32">
        <f>C30</f>
        <v>0</v>
      </c>
      <c r="AG114" s="32">
        <f>D30</f>
        <v>0</v>
      </c>
      <c r="AH114" s="32">
        <f>E30</f>
        <v>0</v>
      </c>
      <c r="AL114" s="81"/>
      <c r="AM114" s="2" t="str">
        <f t="shared" si="3"/>
        <v>Sada krytek</v>
      </c>
      <c r="AP114" s="2" t="str">
        <f t="shared" si="4"/>
        <v xml:space="preserve"> </v>
      </c>
      <c r="AR114" s="63" t="str">
        <f t="shared" si="5"/>
        <v xml:space="preserve"> </v>
      </c>
      <c r="AS114" s="47" t="str">
        <f t="shared" ref="AS114:AS122" si="6">J63</f>
        <v>zvolte barvu</v>
      </c>
      <c r="AT114" s="80"/>
    </row>
    <row r="115" spans="29:46" x14ac:dyDescent="0.3">
      <c r="AC115" s="2" t="s">
        <v>123</v>
      </c>
      <c r="AL115" s="81"/>
      <c r="AM115" s="2" t="str">
        <f t="shared" si="3"/>
        <v>Sada čelního kování</v>
      </c>
      <c r="AP115" s="2" t="str">
        <f t="shared" si="4"/>
        <v xml:space="preserve"> </v>
      </c>
      <c r="AR115" s="63" t="str">
        <f t="shared" si="5"/>
        <v xml:space="preserve"> </v>
      </c>
      <c r="AS115" s="47"/>
      <c r="AT115" s="80"/>
    </row>
    <row r="116" spans="29:46" x14ac:dyDescent="0.3">
      <c r="AC116" s="2" t="s">
        <v>142</v>
      </c>
      <c r="AL116" s="81"/>
      <c r="AR116" s="63"/>
      <c r="AS116" s="47"/>
      <c r="AT116" s="80"/>
    </row>
    <row r="117" spans="29:46" x14ac:dyDescent="0.3">
      <c r="AL117" s="81"/>
      <c r="AM117" s="2" t="str">
        <f t="shared" si="3"/>
        <v>TIP-ON</v>
      </c>
      <c r="AR117" s="63"/>
      <c r="AS117" s="47"/>
      <c r="AT117" s="80"/>
    </row>
    <row r="118" spans="29:46" ht="14.5" x14ac:dyDescent="0.35">
      <c r="AL118" s="81"/>
      <c r="AM118" s="98" t="str">
        <f t="shared" si="3"/>
        <v>popis</v>
      </c>
      <c r="AN118" s="98"/>
      <c r="AO118" s="98"/>
      <c r="AP118" s="98" t="str">
        <f t="shared" si="4"/>
        <v>označení</v>
      </c>
      <c r="AQ118" s="98"/>
      <c r="AR118" s="185" t="str">
        <f t="shared" si="5"/>
        <v>počet</v>
      </c>
      <c r="AS118" s="186" t="str">
        <f t="shared" si="6"/>
        <v>poznámka</v>
      </c>
      <c r="AT118" s="182"/>
    </row>
    <row r="119" spans="29:46" x14ac:dyDescent="0.3">
      <c r="AE119" s="180" t="s">
        <v>175</v>
      </c>
      <c r="AF119" s="132"/>
      <c r="AG119" s="132"/>
      <c r="AH119" s="132"/>
      <c r="AI119" s="132"/>
      <c r="AJ119" s="132"/>
      <c r="AK119" s="177"/>
      <c r="AL119" s="81"/>
      <c r="AM119" s="2" t="str">
        <f t="shared" si="3"/>
        <v>Sada zdvihačů TIP-ON</v>
      </c>
      <c r="AP119" s="2" t="str">
        <f t="shared" si="4"/>
        <v xml:space="preserve"> </v>
      </c>
      <c r="AR119" s="63" t="str">
        <f t="shared" si="5"/>
        <v xml:space="preserve"> </v>
      </c>
      <c r="AS119" s="47"/>
      <c r="AT119" s="80"/>
    </row>
    <row r="120" spans="29:46" x14ac:dyDescent="0.3">
      <c r="AE120" s="178" t="s">
        <v>176</v>
      </c>
      <c r="AF120" s="140"/>
      <c r="AG120" s="140"/>
      <c r="AH120" s="140"/>
      <c r="AI120" s="140"/>
      <c r="AJ120" s="140"/>
      <c r="AK120" s="179"/>
      <c r="AL120" s="81"/>
      <c r="AM120" s="2" t="str">
        <f t="shared" si="3"/>
        <v>Sada krytek</v>
      </c>
      <c r="AP120" s="2" t="str">
        <f t="shared" si="4"/>
        <v xml:space="preserve"> </v>
      </c>
      <c r="AR120" s="63" t="str">
        <f t="shared" si="5"/>
        <v xml:space="preserve"> </v>
      </c>
      <c r="AS120" s="47" t="str">
        <f t="shared" si="6"/>
        <v>zvolte barvu</v>
      </c>
      <c r="AT120" s="80"/>
    </row>
    <row r="121" spans="29:46" x14ac:dyDescent="0.3">
      <c r="AL121" s="81"/>
      <c r="AM121" s="2" t="str">
        <f t="shared" si="3"/>
        <v>Sada čelního kování</v>
      </c>
      <c r="AP121" s="2" t="str">
        <f t="shared" si="4"/>
        <v xml:space="preserve"> </v>
      </c>
      <c r="AR121" s="63" t="str">
        <f t="shared" si="5"/>
        <v xml:space="preserve"> </v>
      </c>
      <c r="AS121" s="47"/>
      <c r="AT121" s="80"/>
    </row>
    <row r="122" spans="29:46" ht="15.5" x14ac:dyDescent="0.35">
      <c r="AC122" s="184" t="str">
        <f>B35</f>
        <v>Vrtání korpusu:</v>
      </c>
      <c r="AL122" s="178"/>
      <c r="AM122" s="140" t="str">
        <f t="shared" si="3"/>
        <v>Píst TIP-ON</v>
      </c>
      <c r="AN122" s="140"/>
      <c r="AO122" s="140"/>
      <c r="AP122" s="140" t="str">
        <f t="shared" si="4"/>
        <v xml:space="preserve"> </v>
      </c>
      <c r="AQ122" s="140"/>
      <c r="AR122" s="13" t="str">
        <f t="shared" si="5"/>
        <v xml:space="preserve"> </v>
      </c>
      <c r="AS122" s="166" t="str">
        <f t="shared" si="6"/>
        <v>zvolte barvu</v>
      </c>
      <c r="AT122" s="179"/>
    </row>
    <row r="124" spans="29:46" ht="15.5" x14ac:dyDescent="0.3">
      <c r="AN124" s="175" t="s">
        <v>82</v>
      </c>
    </row>
    <row r="126" spans="29:46" x14ac:dyDescent="0.3">
      <c r="AI126" s="63">
        <f>$C$30</f>
        <v>0</v>
      </c>
      <c r="AN126" s="9" t="s">
        <v>121</v>
      </c>
      <c r="AO126" s="5">
        <f>$F$30</f>
        <v>0</v>
      </c>
    </row>
    <row r="127" spans="29:46" x14ac:dyDescent="0.3">
      <c r="AQ127" s="63">
        <f>$F$30</f>
        <v>0</v>
      </c>
    </row>
    <row r="129" spans="29:44" x14ac:dyDescent="0.3">
      <c r="AN129" s="63">
        <f>$H$30</f>
        <v>0</v>
      </c>
    </row>
    <row r="131" spans="29:44" x14ac:dyDescent="0.3">
      <c r="AN131" s="15">
        <f>$H$30</f>
        <v>0</v>
      </c>
    </row>
    <row r="134" spans="29:44" x14ac:dyDescent="0.3">
      <c r="AN134" s="15">
        <f>$H$30</f>
        <v>0</v>
      </c>
    </row>
    <row r="135" spans="29:44" x14ac:dyDescent="0.3">
      <c r="AN135" s="63" t="s">
        <v>43</v>
      </c>
    </row>
    <row r="136" spans="29:44" x14ac:dyDescent="0.3">
      <c r="AC136" s="2" t="str">
        <f>$C$51</f>
        <v>Platí pro zdvihače s předmontovanými eurošrouby.</v>
      </c>
      <c r="AR136" s="47">
        <f>$G$30</f>
        <v>0</v>
      </c>
    </row>
  </sheetData>
  <sheetProtection algorithmName="SHA-512" hashValue="0eUTiAiSi4nUnRoL6U7iRE4nrKrTGGX2jUm8UG8wHlbPxp9PAFtncc04dYFEbLRWdTgPuCzamcJzd4ijrqwdlA==" saltValue="P4CO68+pVLn5Ap9QK5YdPw==" spinCount="100000" sheet="1" objects="1" scenarios="1"/>
  <mergeCells count="27">
    <mergeCell ref="D4:H4"/>
    <mergeCell ref="D6:H6"/>
    <mergeCell ref="F28:H28"/>
    <mergeCell ref="C28:E28"/>
    <mergeCell ref="A25:A64"/>
    <mergeCell ref="D5:H5"/>
    <mergeCell ref="D13:H13"/>
    <mergeCell ref="D14:H14"/>
    <mergeCell ref="D15:H15"/>
    <mergeCell ref="D7:H7"/>
    <mergeCell ref="D8:H8"/>
    <mergeCell ref="D9:H9"/>
    <mergeCell ref="D10:H10"/>
    <mergeCell ref="D16:H16"/>
    <mergeCell ref="AC112:AE112"/>
    <mergeCell ref="AF112:AH112"/>
    <mergeCell ref="AD107:AH107"/>
    <mergeCell ref="AD108:AH108"/>
    <mergeCell ref="AK102:AO102"/>
    <mergeCell ref="AK103:AO103"/>
    <mergeCell ref="AK104:AO104"/>
    <mergeCell ref="AK105:AO105"/>
    <mergeCell ref="AD102:AH102"/>
    <mergeCell ref="AD103:AH103"/>
    <mergeCell ref="AD104:AH104"/>
    <mergeCell ref="AD105:AH105"/>
    <mergeCell ref="AD106:AH106"/>
  </mergeCells>
  <phoneticPr fontId="43" type="noConversion"/>
  <hyperlinks>
    <hyperlink ref="Z1" location="AVS!A1" tooltip="Úvodní strana AVENTOS" display="Úvod AVENTOS" xr:uid="{00000000-0004-0000-0600-000002000000}"/>
  </hyperlinks>
  <pageMargins left="0.23622047244094491" right="0.23622047244094491" top="0.55118110236220474" bottom="0.74803149606299213" header="0.31496062992125984" footer="0.31496062992125984"/>
  <pageSetup paperSize="9" scale="95" orientation="landscape" verticalDpi="599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39997558519241921"/>
  </sheetPr>
  <dimension ref="A1:AT136"/>
  <sheetViews>
    <sheetView showGridLines="0" showRowColHeaders="0" workbookViewId="0">
      <selection activeCell="Z1" sqref="Z1"/>
    </sheetView>
  </sheetViews>
  <sheetFormatPr defaultColWidth="8.9140625" defaultRowHeight="14" x14ac:dyDescent="0.3"/>
  <cols>
    <col min="1" max="1" width="1" style="2" customWidth="1"/>
    <col min="2" max="2" width="3.08203125" style="2" customWidth="1"/>
    <col min="3" max="3" width="8.9140625" style="2" customWidth="1"/>
    <col min="4" max="6" width="8.9140625" style="2"/>
    <col min="7" max="7" width="8.9140625" style="2" customWidth="1"/>
    <col min="8" max="8" width="8.9140625" style="2"/>
    <col min="9" max="9" width="0.75" style="2" customWidth="1"/>
    <col min="10" max="10" width="6.5" style="2" customWidth="1"/>
    <col min="11" max="11" width="11" style="2" hidden="1" customWidth="1"/>
    <col min="12" max="20" width="8.9140625" style="2" hidden="1" customWidth="1"/>
    <col min="21" max="21" width="17.75" style="2" customWidth="1"/>
    <col min="22" max="22" width="18.4140625" style="2" customWidth="1"/>
    <col min="23" max="23" width="8.9140625" style="2" customWidth="1"/>
    <col min="24" max="24" width="10.08203125" style="2" customWidth="1"/>
    <col min="25" max="25" width="1.25" style="2" customWidth="1"/>
    <col min="26" max="26" width="19.08203125" style="2" customWidth="1"/>
    <col min="27" max="28" width="8.9140625" style="2"/>
    <col min="29" max="37" width="6.58203125" style="2" customWidth="1"/>
    <col min="38" max="38" width="1.08203125" style="2" customWidth="1"/>
    <col min="39" max="39" width="6.58203125" style="2" customWidth="1"/>
    <col min="40" max="40" width="12.25" style="2" customWidth="1"/>
    <col min="41" max="41" width="8.9140625" style="2"/>
    <col min="42" max="42" width="6.83203125" style="2" customWidth="1"/>
    <col min="43" max="43" width="9.4140625" style="2" customWidth="1"/>
    <col min="44" max="44" width="5.9140625" style="2" customWidth="1"/>
    <col min="45" max="45" width="9.33203125" style="2" customWidth="1"/>
    <col min="46" max="46" width="8.33203125" style="2" customWidth="1"/>
    <col min="47" max="48" width="8.9140625" style="2"/>
    <col min="49" max="49" width="3.08203125" style="2" customWidth="1"/>
    <col min="50" max="16384" width="8.9140625" style="2"/>
  </cols>
  <sheetData>
    <row r="1" spans="2:26" ht="25" x14ac:dyDescent="0.5">
      <c r="C1" s="1" t="s">
        <v>20</v>
      </c>
      <c r="Z1" s="226" t="s">
        <v>22</v>
      </c>
    </row>
    <row r="2" spans="2:26" ht="18" customHeight="1" x14ac:dyDescent="0.4">
      <c r="B2" s="22"/>
      <c r="U2" s="227"/>
      <c r="W2" s="224"/>
      <c r="X2" s="224"/>
    </row>
    <row r="3" spans="2:26" ht="18" customHeight="1" x14ac:dyDescent="0.3">
      <c r="B3" s="6"/>
      <c r="C3" s="17" t="s">
        <v>23</v>
      </c>
      <c r="D3" s="17"/>
      <c r="E3" s="17"/>
      <c r="F3" s="17"/>
      <c r="G3" s="17"/>
      <c r="H3" s="17"/>
      <c r="K3" s="9" t="s">
        <v>24</v>
      </c>
      <c r="L3" s="30">
        <f>IF(AND(L4=1, L5=1, L6=1, L7=1, L8=1, L9=1, L10=1),1,2)</f>
        <v>2</v>
      </c>
      <c r="M3" s="31" t="s">
        <v>25</v>
      </c>
      <c r="W3" s="50"/>
      <c r="X3" s="50"/>
    </row>
    <row r="4" spans="2:26" ht="16.5" customHeight="1" x14ac:dyDescent="0.3">
      <c r="B4" s="6"/>
      <c r="C4" s="78"/>
      <c r="D4" s="304" t="s">
        <v>26</v>
      </c>
      <c r="E4" s="304"/>
      <c r="F4" s="304"/>
      <c r="G4" s="304"/>
      <c r="H4" s="304"/>
      <c r="J4" s="12" t="str">
        <f>IF($C$4&lt;186, "Minimálně 186 mm!", IF($C$4&gt;600, "Maximálně 600 mm!", " "))</f>
        <v>Minimálně 186 mm!</v>
      </c>
      <c r="L4" s="63">
        <f>IF(OR(C4&lt;186, C4&gt;400), 2, 1)</f>
        <v>2</v>
      </c>
      <c r="M4" s="31" t="s">
        <v>27</v>
      </c>
    </row>
    <row r="5" spans="2:26" ht="16.5" customHeight="1" x14ac:dyDescent="0.3">
      <c r="B5" s="6"/>
      <c r="C5" s="78"/>
      <c r="D5" s="304" t="s">
        <v>28</v>
      </c>
      <c r="E5" s="304"/>
      <c r="F5" s="304"/>
      <c r="G5" s="304"/>
      <c r="H5" s="304"/>
      <c r="J5" s="12" t="str">
        <f>IF(C5&lt;200, "Minimálně 200 mm!", " ")</f>
        <v>Minimálně 200 mm!</v>
      </c>
      <c r="L5" s="63">
        <f>IF(C5&lt;200, 2, 1)</f>
        <v>2</v>
      </c>
      <c r="M5" s="167" t="s">
        <v>29</v>
      </c>
      <c r="N5" s="152">
        <f>IF(OR(S15&lt;P21, S15&gt;Q23), 2, 1)</f>
        <v>2</v>
      </c>
    </row>
    <row r="6" spans="2:26" ht="16.5" customHeight="1" x14ac:dyDescent="0.3">
      <c r="B6" s="6"/>
      <c r="C6" s="78"/>
      <c r="D6" s="304" t="s">
        <v>30</v>
      </c>
      <c r="E6" s="304"/>
      <c r="F6" s="304"/>
      <c r="G6" s="304"/>
      <c r="H6" s="304"/>
      <c r="J6" s="12" t="str">
        <f>IF(C6&lt;14,"Minimálně 14 mm!", IF(C6&gt;22, "Maximálně 22 mm!", " "))</f>
        <v>Minimálně 14 mm!</v>
      </c>
      <c r="L6" s="63">
        <f>IF(OR($C$6&lt;14, $C$6&gt;22), 2, 1)</f>
        <v>2</v>
      </c>
      <c r="W6" s="224"/>
      <c r="X6" s="224"/>
    </row>
    <row r="7" spans="2:26" ht="16.5" customHeight="1" x14ac:dyDescent="0.3">
      <c r="B7" s="6"/>
      <c r="C7" s="78"/>
      <c r="D7" s="304" t="s">
        <v>31</v>
      </c>
      <c r="E7" s="304"/>
      <c r="F7" s="304"/>
      <c r="G7" s="304"/>
      <c r="H7" s="304"/>
      <c r="J7" s="12" t="str">
        <f>IF(C7&lt;14,"Minimálně 14 mm!"," ")</f>
        <v>Minimálně 14 mm!</v>
      </c>
      <c r="L7" s="63">
        <f>IF(C7&lt;14, 2, 1)</f>
        <v>2</v>
      </c>
      <c r="W7" s="224"/>
      <c r="X7" s="224"/>
    </row>
    <row r="8" spans="2:26" ht="16.5" customHeight="1" x14ac:dyDescent="0.3">
      <c r="B8" s="6"/>
      <c r="C8" s="78"/>
      <c r="D8" s="304" t="s">
        <v>109</v>
      </c>
      <c r="E8" s="304"/>
      <c r="F8" s="304"/>
      <c r="G8" s="304"/>
      <c r="H8" s="304"/>
      <c r="J8" s="12" t="str">
        <f>IF(AND($C$6&gt;0,$C8&gt;$C$6),"Maximálně "&amp;$C$6&amp;" mm!"," ")</f>
        <v xml:space="preserve"> </v>
      </c>
      <c r="L8" s="63">
        <f>IF(C8&gt;$C$6, 2, 1)</f>
        <v>1</v>
      </c>
      <c r="W8" s="224"/>
      <c r="X8" s="224"/>
    </row>
    <row r="9" spans="2:26" ht="16.5" customHeight="1" x14ac:dyDescent="0.3">
      <c r="B9" s="6"/>
      <c r="C9" s="78"/>
      <c r="D9" s="304" t="s">
        <v>34</v>
      </c>
      <c r="E9" s="304"/>
      <c r="F9" s="304"/>
      <c r="G9" s="304"/>
      <c r="H9" s="304"/>
      <c r="J9" s="12" t="str">
        <f>IF(AND($C$6&gt;0,$C9&gt;$C$6),"Maximálně "&amp;$C$6&amp;" mm!"," ")</f>
        <v xml:space="preserve"> </v>
      </c>
      <c r="L9" s="63">
        <f>IF(C9&gt;$C$6, 2, 1)</f>
        <v>1</v>
      </c>
      <c r="W9" s="224"/>
      <c r="X9" s="224"/>
    </row>
    <row r="10" spans="2:26" ht="16.5" customHeight="1" x14ac:dyDescent="0.3">
      <c r="B10" s="6"/>
      <c r="C10" s="78"/>
      <c r="D10" s="304" t="s">
        <v>35</v>
      </c>
      <c r="E10" s="304"/>
      <c r="F10" s="304"/>
      <c r="G10" s="304"/>
      <c r="H10" s="304"/>
      <c r="J10" s="12" t="str">
        <f>IF(AND($C$7&gt;0,$C10&gt;$C$7),"Maximálně "&amp;$C$7&amp;" mm!"," ")</f>
        <v xml:space="preserve"> </v>
      </c>
      <c r="L10" s="63">
        <f>IF(C10&gt;C7, 2, 1)</f>
        <v>1</v>
      </c>
      <c r="W10" s="46"/>
      <c r="X10" s="46"/>
    </row>
    <row r="11" spans="2:26" ht="17.25" customHeight="1" x14ac:dyDescent="0.3">
      <c r="C11" s="44" t="str">
        <f>IF(L3=2, "Vyplňte správně všechny parametry!"," ")</f>
        <v>Vyplňte správně všechny parametry!</v>
      </c>
      <c r="L11" s="63"/>
      <c r="M11" s="63"/>
      <c r="N11" s="63"/>
      <c r="O11" s="63"/>
      <c r="P11" s="63"/>
      <c r="Q11" s="63"/>
      <c r="W11" s="224"/>
      <c r="X11" s="224"/>
    </row>
    <row r="12" spans="2:26" ht="33" customHeight="1" x14ac:dyDescent="0.3">
      <c r="C12" s="2" t="s">
        <v>132</v>
      </c>
      <c r="L12" s="63"/>
      <c r="M12" s="63"/>
      <c r="N12" s="63"/>
      <c r="O12" s="63"/>
      <c r="P12" s="63"/>
      <c r="Q12" s="63"/>
    </row>
    <row r="13" spans="2:26" ht="16.5" customHeight="1" x14ac:dyDescent="0.3">
      <c r="B13" s="26"/>
      <c r="C13" s="78"/>
      <c r="D13" s="304" t="s">
        <v>37</v>
      </c>
      <c r="E13" s="304"/>
      <c r="F13" s="304"/>
      <c r="G13" s="304"/>
      <c r="H13" s="304"/>
      <c r="J13" s="18" t="str">
        <f>IF(C13&gt;26, "Maximálně 26 mm!", " ")</f>
        <v xml:space="preserve"> </v>
      </c>
      <c r="L13" s="63"/>
      <c r="M13" s="63"/>
      <c r="N13" s="33" t="s">
        <v>177</v>
      </c>
      <c r="O13" s="29"/>
      <c r="P13" s="63"/>
      <c r="W13" s="9" t="s">
        <v>121</v>
      </c>
      <c r="X13" s="5">
        <f>$C$30</f>
        <v>0</v>
      </c>
    </row>
    <row r="14" spans="2:26" ht="16.5" customHeight="1" x14ac:dyDescent="0.3">
      <c r="B14" s="26"/>
      <c r="C14" s="78"/>
      <c r="D14" s="311" t="s">
        <v>40</v>
      </c>
      <c r="E14" s="312"/>
      <c r="F14" s="312"/>
      <c r="G14" s="312"/>
      <c r="H14" s="313"/>
      <c r="L14" s="63"/>
      <c r="M14" s="9" t="s">
        <v>72</v>
      </c>
      <c r="N14" s="34">
        <v>74</v>
      </c>
      <c r="O14" s="63"/>
      <c r="P14" s="63"/>
      <c r="Q14" s="9" t="s">
        <v>38</v>
      </c>
      <c r="S14" s="9" t="s">
        <v>39</v>
      </c>
    </row>
    <row r="15" spans="2:26" ht="16.5" customHeight="1" x14ac:dyDescent="0.3">
      <c r="B15" s="25"/>
      <c r="C15" s="78"/>
      <c r="D15" s="311" t="s">
        <v>41</v>
      </c>
      <c r="E15" s="312"/>
      <c r="F15" s="312"/>
      <c r="G15" s="312"/>
      <c r="H15" s="313"/>
      <c r="K15" s="9"/>
      <c r="M15" s="37" t="s">
        <v>73</v>
      </c>
      <c r="N15" s="38">
        <f>$C$4-$N$14</f>
        <v>-74</v>
      </c>
      <c r="O15" s="15"/>
      <c r="Q15" s="2">
        <f>(C4*C5*C13/1000000000*C14)+C15*2</f>
        <v>0</v>
      </c>
      <c r="S15" s="112">
        <f>IF($L$3=1, C4*Q15, 0)</f>
        <v>0</v>
      </c>
      <c r="T15" s="63"/>
    </row>
    <row r="16" spans="2:26" ht="15.75" customHeight="1" x14ac:dyDescent="0.3">
      <c r="C16" s="90">
        <f>IF($L$3=1, $Q$15, 0)</f>
        <v>0</v>
      </c>
      <c r="D16" s="311" t="s">
        <v>42</v>
      </c>
      <c r="E16" s="312"/>
      <c r="F16" s="312"/>
      <c r="G16" s="312"/>
      <c r="H16" s="313"/>
      <c r="K16" s="9" t="s">
        <v>75</v>
      </c>
      <c r="L16" s="4"/>
      <c r="M16" s="232" t="s">
        <v>76</v>
      </c>
      <c r="N16" s="35">
        <f>78-$C$8</f>
        <v>78</v>
      </c>
      <c r="O16" s="4"/>
      <c r="U16" s="11">
        <f>$F$30</f>
        <v>0</v>
      </c>
      <c r="W16" s="63">
        <f>$E$30</f>
        <v>0</v>
      </c>
    </row>
    <row r="17" spans="2:24" ht="14.25" customHeight="1" x14ac:dyDescent="0.3">
      <c r="C17" s="298" t="str">
        <f>IF(AND($L$3=1,$N$5=2, $C$16&gt;0),"Ukazatel výkonnosti LF je mimo rozsah. Upravte rozměry korpusu nebo hmotnost čela.", " ")</f>
        <v xml:space="preserve"> </v>
      </c>
    </row>
    <row r="18" spans="2:24" ht="14.25" customHeight="1" x14ac:dyDescent="0.3">
      <c r="W18" s="15">
        <f>$E$30</f>
        <v>0</v>
      </c>
    </row>
    <row r="19" spans="2:24" ht="14.25" customHeight="1" x14ac:dyDescent="0.3">
      <c r="C19" s="2" t="s">
        <v>44</v>
      </c>
      <c r="P19" s="2" t="s">
        <v>134</v>
      </c>
      <c r="S19" s="18"/>
    </row>
    <row r="20" spans="2:24" ht="14.25" customHeight="1" x14ac:dyDescent="0.3">
      <c r="C20" s="2" t="s">
        <v>45</v>
      </c>
      <c r="L20" s="225" t="s">
        <v>46</v>
      </c>
      <c r="M20" s="228" t="s">
        <v>135</v>
      </c>
      <c r="N20" s="225"/>
      <c r="O20" s="225"/>
      <c r="P20" s="225" t="s">
        <v>79</v>
      </c>
      <c r="Q20" s="225" t="s">
        <v>80</v>
      </c>
      <c r="S20" s="18"/>
    </row>
    <row r="21" spans="2:24" ht="14.25" customHeight="1" x14ac:dyDescent="0.3">
      <c r="C21" s="2" t="s">
        <v>48</v>
      </c>
      <c r="L21" s="154" t="s">
        <v>178</v>
      </c>
      <c r="M21" s="87">
        <f>IF(AND($S$15&gt;P21,$S$15&lt;Q21),1,0)</f>
        <v>0</v>
      </c>
      <c r="N21" s="228"/>
      <c r="O21" s="225"/>
      <c r="P21" s="155">
        <v>219.99</v>
      </c>
      <c r="Q21" s="155">
        <v>450</v>
      </c>
      <c r="S21" s="18"/>
      <c r="W21" s="15">
        <f>$E$30</f>
        <v>0</v>
      </c>
    </row>
    <row r="22" spans="2:24" ht="14.25" customHeight="1" x14ac:dyDescent="0.3">
      <c r="C22" s="2" t="s">
        <v>50</v>
      </c>
      <c r="L22" s="154" t="s">
        <v>179</v>
      </c>
      <c r="M22" s="87">
        <f>IF(AND($S$15&gt;P22,$S$15&lt;Q22),1,0)</f>
        <v>0</v>
      </c>
      <c r="N22" s="228"/>
      <c r="O22" s="225"/>
      <c r="P22" s="155">
        <v>449.99</v>
      </c>
      <c r="Q22" s="155">
        <v>980</v>
      </c>
      <c r="S22" s="18"/>
      <c r="W22" s="9" t="s">
        <v>43</v>
      </c>
    </row>
    <row r="23" spans="2:24" ht="14.25" customHeight="1" x14ac:dyDescent="0.3">
      <c r="C23" s="2" t="s">
        <v>53</v>
      </c>
      <c r="L23" s="154" t="s">
        <v>180</v>
      </c>
      <c r="M23" s="87">
        <f>IF(AND($S$15&gt;P23,$S$15&lt;Q23),1,0)</f>
        <v>0</v>
      </c>
      <c r="N23" s="228"/>
      <c r="O23" s="225"/>
      <c r="P23" s="155">
        <v>979.99</v>
      </c>
      <c r="Q23" s="155">
        <v>2216</v>
      </c>
      <c r="S23" s="18"/>
    </row>
    <row r="24" spans="2:24" ht="18" customHeight="1" x14ac:dyDescent="0.3">
      <c r="C24" s="2" t="s">
        <v>55</v>
      </c>
      <c r="S24" s="18"/>
    </row>
    <row r="25" spans="2:24" ht="15.75" customHeight="1" thickBot="1" x14ac:dyDescent="0.35"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</row>
    <row r="26" spans="2:24" ht="25" customHeight="1" thickTop="1" x14ac:dyDescent="0.35">
      <c r="B26" s="76" t="str">
        <f>"Výsledky pro výšku korpusu KH "&amp;$C$4&amp;" mm"</f>
        <v>Výsledky pro výšku korpusu KH  mm</v>
      </c>
      <c r="X26" s="103" t="str">
        <f>$C$1</f>
        <v>AVENTOS HK-S</v>
      </c>
    </row>
    <row r="27" spans="2:24" ht="6.65" customHeight="1" x14ac:dyDescent="0.35">
      <c r="B27" s="76"/>
      <c r="L27" s="63"/>
      <c r="M27" s="63"/>
      <c r="N27" s="63"/>
      <c r="O27" s="63"/>
      <c r="P27" s="63"/>
      <c r="X27" s="103"/>
    </row>
    <row r="28" spans="2:24" ht="14.25" customHeight="1" x14ac:dyDescent="0.3">
      <c r="C28" s="321" t="s">
        <v>64</v>
      </c>
      <c r="D28" s="321"/>
      <c r="E28" s="321"/>
      <c r="F28" s="321" t="s">
        <v>65</v>
      </c>
      <c r="G28" s="321"/>
      <c r="H28" s="321"/>
      <c r="S28" s="18"/>
    </row>
    <row r="29" spans="2:24" ht="14.25" customHeight="1" x14ac:dyDescent="0.3">
      <c r="C29" s="230" t="s">
        <v>66</v>
      </c>
      <c r="D29" s="230" t="s">
        <v>67</v>
      </c>
      <c r="E29" s="230" t="s">
        <v>68</v>
      </c>
      <c r="F29" s="230" t="s">
        <v>69</v>
      </c>
      <c r="G29" s="230" t="s">
        <v>70</v>
      </c>
      <c r="H29" s="230" t="s">
        <v>71</v>
      </c>
      <c r="S29" s="18"/>
    </row>
    <row r="30" spans="2:24" ht="20.149999999999999" customHeight="1" x14ac:dyDescent="0.3">
      <c r="C30" s="32">
        <f>IF($L$3=1, $N$16, 0)</f>
        <v>0</v>
      </c>
      <c r="D30" s="32">
        <f>IF($L$3=1, SUM($C$7-$C$10+12.5), 0)</f>
        <v>0</v>
      </c>
      <c r="E30" s="32">
        <f>IF($L$3=1, SUM($C$7-$C$10+12.5), 0)</f>
        <v>0</v>
      </c>
      <c r="F30" s="32">
        <f>IF($L$3=1, $N$15, 0)</f>
        <v>0</v>
      </c>
      <c r="G30" s="32">
        <f>IF($L$3=1, 37, 0)</f>
        <v>0</v>
      </c>
      <c r="H30" s="32">
        <f>IF($L$3=1, 64, 0)</f>
        <v>0</v>
      </c>
      <c r="S30" s="18"/>
    </row>
    <row r="31" spans="2:24" ht="22" customHeight="1" x14ac:dyDescent="0.3">
      <c r="C31" s="2" t="s">
        <v>123</v>
      </c>
      <c r="S31" s="18"/>
    </row>
    <row r="32" spans="2:24" ht="16" customHeight="1" x14ac:dyDescent="0.3">
      <c r="C32" s="2" t="s">
        <v>124</v>
      </c>
    </row>
    <row r="33" spans="1:24" ht="17.5" x14ac:dyDescent="0.35">
      <c r="A33" s="303"/>
      <c r="X33" s="103"/>
    </row>
    <row r="34" spans="1:24" ht="17.5" x14ac:dyDescent="0.35">
      <c r="A34" s="303"/>
      <c r="B34" s="19" t="s">
        <v>81</v>
      </c>
      <c r="U34" s="19" t="s">
        <v>82</v>
      </c>
    </row>
    <row r="35" spans="1:24" x14ac:dyDescent="0.3">
      <c r="A35" s="303"/>
      <c r="L35" s="2" t="s">
        <v>181</v>
      </c>
      <c r="M35" s="2" t="s">
        <v>144</v>
      </c>
    </row>
    <row r="36" spans="1:24" x14ac:dyDescent="0.3">
      <c r="A36" s="303"/>
      <c r="L36" s="2" t="s">
        <v>182</v>
      </c>
      <c r="M36" s="2" t="s">
        <v>183</v>
      </c>
    </row>
    <row r="37" spans="1:24" x14ac:dyDescent="0.3">
      <c r="A37" s="303"/>
      <c r="L37" s="2" t="s">
        <v>184</v>
      </c>
      <c r="M37" s="2" t="s">
        <v>185</v>
      </c>
      <c r="U37" s="73">
        <f>$C$30</f>
        <v>0</v>
      </c>
    </row>
    <row r="38" spans="1:24" x14ac:dyDescent="0.3">
      <c r="A38" s="303"/>
      <c r="L38" s="2" t="s">
        <v>186</v>
      </c>
      <c r="M38" s="2" t="s">
        <v>187</v>
      </c>
    </row>
    <row r="39" spans="1:24" x14ac:dyDescent="0.3">
      <c r="A39" s="303"/>
      <c r="C39" s="63" t="str">
        <f>"("&amp;$C$4-$F$30&amp;")"</f>
        <v>(0)</v>
      </c>
    </row>
    <row r="40" spans="1:24" x14ac:dyDescent="0.3">
      <c r="A40" s="303"/>
    </row>
    <row r="41" spans="1:24" x14ac:dyDescent="0.3">
      <c r="A41" s="303"/>
      <c r="U41" s="47"/>
    </row>
    <row r="42" spans="1:24" x14ac:dyDescent="0.3">
      <c r="A42" s="303"/>
      <c r="L42" s="2" t="s">
        <v>188</v>
      </c>
      <c r="M42" s="2" t="str">
        <f>IF(M21=1, "součást balení", "1L/1P")</f>
        <v>1L/1P</v>
      </c>
    </row>
    <row r="43" spans="1:24" x14ac:dyDescent="0.3">
      <c r="A43" s="303"/>
      <c r="C43" s="48">
        <f>$F$30</f>
        <v>0</v>
      </c>
    </row>
    <row r="44" spans="1:24" x14ac:dyDescent="0.3">
      <c r="A44" s="303"/>
      <c r="L44" s="2" t="s">
        <v>87</v>
      </c>
      <c r="M44" s="2">
        <v>2</v>
      </c>
    </row>
    <row r="45" spans="1:24" x14ac:dyDescent="0.3">
      <c r="A45" s="303"/>
      <c r="U45" s="47"/>
    </row>
    <row r="46" spans="1:24" x14ac:dyDescent="0.3">
      <c r="A46" s="303"/>
      <c r="L46" s="2" t="s">
        <v>165</v>
      </c>
      <c r="M46" s="2">
        <v>1</v>
      </c>
    </row>
    <row r="47" spans="1:24" x14ac:dyDescent="0.3">
      <c r="A47" s="303"/>
    </row>
    <row r="48" spans="1:24" x14ac:dyDescent="0.3">
      <c r="A48" s="303"/>
      <c r="U48" s="71">
        <f>$D$30</f>
        <v>0</v>
      </c>
    </row>
    <row r="49" spans="1:26" x14ac:dyDescent="0.3">
      <c r="A49" s="303"/>
    </row>
    <row r="50" spans="1:26" x14ac:dyDescent="0.3">
      <c r="A50" s="303"/>
    </row>
    <row r="51" spans="1:26" x14ac:dyDescent="0.3">
      <c r="A51" s="303"/>
    </row>
    <row r="52" spans="1:26" x14ac:dyDescent="0.3">
      <c r="A52" s="303"/>
      <c r="Z52" s="168" t="s">
        <v>88</v>
      </c>
    </row>
    <row r="53" spans="1:26" x14ac:dyDescent="0.3">
      <c r="A53" s="303"/>
    </row>
    <row r="54" spans="1:26" x14ac:dyDescent="0.3">
      <c r="A54" s="303"/>
    </row>
    <row r="55" spans="1:26" x14ac:dyDescent="0.3">
      <c r="A55" s="303"/>
      <c r="C55" s="2" t="s">
        <v>89</v>
      </c>
      <c r="F55" s="2" t="s">
        <v>189</v>
      </c>
    </row>
    <row r="56" spans="1:26" x14ac:dyDescent="0.3">
      <c r="A56" s="303"/>
      <c r="C56" s="2" t="s">
        <v>91</v>
      </c>
      <c r="F56" s="2" t="s">
        <v>190</v>
      </c>
    </row>
    <row r="57" spans="1:26" x14ac:dyDescent="0.3">
      <c r="A57" s="303"/>
    </row>
    <row r="58" spans="1:26" x14ac:dyDescent="0.3">
      <c r="A58" s="303"/>
    </row>
    <row r="59" spans="1:26" x14ac:dyDescent="0.3">
      <c r="A59" s="303"/>
    </row>
    <row r="60" spans="1:26" x14ac:dyDescent="0.3">
      <c r="A60" s="303"/>
    </row>
    <row r="61" spans="1:26" x14ac:dyDescent="0.3">
      <c r="A61" s="303"/>
    </row>
    <row r="62" spans="1:26" ht="15.75" customHeight="1" thickBot="1" x14ac:dyDescent="0.35">
      <c r="A62" s="303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1:26" ht="25" customHeight="1" thickTop="1" x14ac:dyDescent="0.35">
      <c r="A63" s="303"/>
      <c r="B63" s="76" t="str">
        <f>"Kování pro výšku korpusu KH "&amp;$C$4&amp;" a šířku korpusu KB "&amp;$C$5&amp;" mm"</f>
        <v>Kování pro výšku korpusu KH  a šířku korpusu KB  mm</v>
      </c>
      <c r="X63" s="103" t="str">
        <f>$C$1</f>
        <v>AVENTOS HK-S</v>
      </c>
    </row>
    <row r="64" spans="1:26" ht="25" customHeight="1" x14ac:dyDescent="0.35">
      <c r="A64" s="303"/>
      <c r="B64" s="156" t="s">
        <v>169</v>
      </c>
      <c r="X64" s="103"/>
    </row>
    <row r="65" spans="1:26" ht="17.149999999999999" customHeight="1" x14ac:dyDescent="0.3">
      <c r="A65" s="303"/>
      <c r="B65" s="158" t="s">
        <v>92</v>
      </c>
      <c r="C65" s="140"/>
      <c r="D65" s="140"/>
      <c r="E65" s="140"/>
      <c r="F65" s="140" t="s">
        <v>93</v>
      </c>
      <c r="G65" s="140"/>
      <c r="H65" s="13" t="s">
        <v>94</v>
      </c>
      <c r="I65" s="140"/>
      <c r="J65" s="166" t="s">
        <v>95</v>
      </c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</row>
    <row r="66" spans="1:26" x14ac:dyDescent="0.3">
      <c r="A66" s="303"/>
      <c r="B66" s="2" t="s">
        <v>96</v>
      </c>
      <c r="F66" s="2" t="str">
        <f>IF($M$21&gt;0,$L$36,IF($M$22&gt;0,$L$37,IF($M$23&gt;0,$L$38," ")))</f>
        <v xml:space="preserve"> </v>
      </c>
      <c r="H66" s="63" t="str">
        <f>IF($N$5=1, SUM($M$21:$M$24), " ")</f>
        <v xml:space="preserve"> </v>
      </c>
      <c r="J66" s="2" t="s">
        <v>99</v>
      </c>
    </row>
    <row r="67" spans="1:26" x14ac:dyDescent="0.3">
      <c r="A67" s="303"/>
      <c r="B67" s="2" t="s">
        <v>191</v>
      </c>
      <c r="F67" s="2" t="str">
        <f>IF($N$5=1, $L$44, " ")</f>
        <v xml:space="preserve"> </v>
      </c>
      <c r="H67" s="63" t="str">
        <f>IF($N$5=1, $M$44, " ")</f>
        <v xml:space="preserve"> </v>
      </c>
    </row>
    <row r="68" spans="1:26" x14ac:dyDescent="0.3">
      <c r="A68" s="303"/>
    </row>
    <row r="69" spans="1:26" x14ac:dyDescent="0.3">
      <c r="A69" s="303"/>
    </row>
    <row r="70" spans="1:26" ht="25" customHeight="1" x14ac:dyDescent="0.35">
      <c r="B70" s="156" t="s">
        <v>172</v>
      </c>
      <c r="X70" s="103"/>
    </row>
    <row r="71" spans="1:26" ht="17.149999999999999" customHeight="1" x14ac:dyDescent="0.3">
      <c r="B71" s="158" t="s">
        <v>92</v>
      </c>
      <c r="C71" s="140"/>
      <c r="D71" s="140"/>
      <c r="E71" s="140"/>
      <c r="F71" s="140" t="s">
        <v>93</v>
      </c>
      <c r="G71" s="140"/>
      <c r="H71" s="13" t="s">
        <v>94</v>
      </c>
      <c r="I71" s="140"/>
      <c r="J71" s="166" t="s">
        <v>95</v>
      </c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</row>
    <row r="72" spans="1:26" x14ac:dyDescent="0.3">
      <c r="B72" s="2" t="s">
        <v>173</v>
      </c>
      <c r="F72" s="2" t="str">
        <f>IF($M$21&gt;0,$M$36,IF($M$22&gt;0,$M$37,IF($M$23&gt;0,$M$38," ")))</f>
        <v xml:space="preserve"> </v>
      </c>
      <c r="H72" s="63" t="str">
        <f>IF($N$5=1, SUM($M$21:$M$24), " ")</f>
        <v xml:space="preserve"> </v>
      </c>
      <c r="J72" s="2" t="s">
        <v>99</v>
      </c>
    </row>
    <row r="73" spans="1:26" x14ac:dyDescent="0.3">
      <c r="B73" s="2" t="s">
        <v>191</v>
      </c>
      <c r="F73" s="2" t="str">
        <f>IF($N$5=1, $L$44, " ")</f>
        <v xml:space="preserve"> </v>
      </c>
      <c r="H73" s="63" t="str">
        <f>IF($N$5=1, $M$44, " ")</f>
        <v xml:space="preserve"> </v>
      </c>
    </row>
    <row r="74" spans="1:26" x14ac:dyDescent="0.3">
      <c r="B74" s="2" t="s">
        <v>174</v>
      </c>
      <c r="F74" s="2" t="str">
        <f>IF($N$5=1, $L$46, " ")</f>
        <v xml:space="preserve"> </v>
      </c>
      <c r="H74" s="63" t="str">
        <f>IF($N$5=1, $M$46, " ")</f>
        <v xml:space="preserve"> </v>
      </c>
      <c r="J74" s="2" t="s">
        <v>99</v>
      </c>
    </row>
    <row r="78" spans="1:26" x14ac:dyDescent="0.3">
      <c r="B78" s="2" t="s">
        <v>104</v>
      </c>
    </row>
    <row r="79" spans="1:26" x14ac:dyDescent="0.3">
      <c r="B79" s="2" t="s">
        <v>591</v>
      </c>
      <c r="Z79" s="168" t="s">
        <v>88</v>
      </c>
    </row>
    <row r="100" spans="29:46" ht="17.5" x14ac:dyDescent="0.35">
      <c r="AC100" s="99" t="s">
        <v>105</v>
      </c>
      <c r="AO100" s="195" t="str">
        <f>X26</f>
        <v>AVENTOS HK-S</v>
      </c>
    </row>
    <row r="101" spans="29:46" x14ac:dyDescent="0.3">
      <c r="AC101" s="17" t="s">
        <v>23</v>
      </c>
      <c r="AD101" s="17"/>
      <c r="AE101" s="17"/>
      <c r="AF101" s="17"/>
      <c r="AG101" s="17"/>
      <c r="AH101" s="17"/>
      <c r="AJ101" s="2" t="str">
        <f>C12</f>
        <v>Pro výpočet kování (volitelně)</v>
      </c>
    </row>
    <row r="102" spans="29:46" x14ac:dyDescent="0.3">
      <c r="AC102" s="170">
        <f t="shared" ref="AC102:AC108" si="0">C4</f>
        <v>0</v>
      </c>
      <c r="AD102" s="311" t="s">
        <v>26</v>
      </c>
      <c r="AE102" s="312"/>
      <c r="AF102" s="312"/>
      <c r="AG102" s="312"/>
      <c r="AH102" s="313"/>
      <c r="AJ102" s="90">
        <f>C13</f>
        <v>0</v>
      </c>
      <c r="AK102" s="304" t="s">
        <v>37</v>
      </c>
      <c r="AL102" s="304"/>
      <c r="AM102" s="304"/>
      <c r="AN102" s="304"/>
      <c r="AO102" s="304"/>
    </row>
    <row r="103" spans="29:46" x14ac:dyDescent="0.3">
      <c r="AC103" s="170">
        <f t="shared" si="0"/>
        <v>0</v>
      </c>
      <c r="AD103" s="311" t="s">
        <v>28</v>
      </c>
      <c r="AE103" s="312"/>
      <c r="AF103" s="312"/>
      <c r="AG103" s="312"/>
      <c r="AH103" s="313"/>
      <c r="AJ103" s="90">
        <f t="shared" ref="AJ103:AJ105" si="1">C14</f>
        <v>0</v>
      </c>
      <c r="AK103" s="311" t="s">
        <v>40</v>
      </c>
      <c r="AL103" s="312"/>
      <c r="AM103" s="312"/>
      <c r="AN103" s="312"/>
      <c r="AO103" s="313"/>
    </row>
    <row r="104" spans="29:46" x14ac:dyDescent="0.3">
      <c r="AC104" s="170">
        <f t="shared" si="0"/>
        <v>0</v>
      </c>
      <c r="AD104" s="311" t="s">
        <v>30</v>
      </c>
      <c r="AE104" s="312"/>
      <c r="AF104" s="312"/>
      <c r="AG104" s="312"/>
      <c r="AH104" s="313"/>
      <c r="AJ104" s="90">
        <f t="shared" si="1"/>
        <v>0</v>
      </c>
      <c r="AK104" s="311" t="s">
        <v>41</v>
      </c>
      <c r="AL104" s="312"/>
      <c r="AM104" s="312"/>
      <c r="AN104" s="312"/>
      <c r="AO104" s="313"/>
    </row>
    <row r="105" spans="29:46" x14ac:dyDescent="0.3">
      <c r="AC105" s="170">
        <f t="shared" si="0"/>
        <v>0</v>
      </c>
      <c r="AD105" s="311" t="s">
        <v>31</v>
      </c>
      <c r="AE105" s="312"/>
      <c r="AF105" s="312"/>
      <c r="AG105" s="312"/>
      <c r="AH105" s="313"/>
      <c r="AJ105" s="90">
        <f t="shared" si="1"/>
        <v>0</v>
      </c>
      <c r="AK105" s="311" t="s">
        <v>42</v>
      </c>
      <c r="AL105" s="312"/>
      <c r="AM105" s="312"/>
      <c r="AN105" s="312"/>
      <c r="AO105" s="313"/>
    </row>
    <row r="106" spans="29:46" x14ac:dyDescent="0.3">
      <c r="AC106" s="170">
        <f t="shared" si="0"/>
        <v>0</v>
      </c>
      <c r="AD106" s="311" t="s">
        <v>109</v>
      </c>
      <c r="AE106" s="312"/>
      <c r="AF106" s="312"/>
      <c r="AG106" s="312"/>
      <c r="AH106" s="313"/>
    </row>
    <row r="107" spans="29:46" x14ac:dyDescent="0.3">
      <c r="AC107" s="170">
        <f t="shared" si="0"/>
        <v>0</v>
      </c>
      <c r="AD107" s="311" t="s">
        <v>34</v>
      </c>
      <c r="AE107" s="312"/>
      <c r="AF107" s="312"/>
      <c r="AG107" s="312"/>
      <c r="AH107" s="313"/>
    </row>
    <row r="108" spans="29:46" x14ac:dyDescent="0.3">
      <c r="AC108" s="170">
        <f t="shared" si="0"/>
        <v>0</v>
      </c>
      <c r="AD108" s="311" t="s">
        <v>35</v>
      </c>
      <c r="AE108" s="312"/>
      <c r="AF108" s="312"/>
      <c r="AG108" s="312"/>
      <c r="AH108" s="313"/>
    </row>
    <row r="110" spans="29:46" x14ac:dyDescent="0.3"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</row>
    <row r="111" spans="29:46" ht="20.149999999999999" customHeight="1" x14ac:dyDescent="0.35">
      <c r="AC111" s="99" t="s">
        <v>106</v>
      </c>
      <c r="AL111" s="180"/>
      <c r="AM111" s="132" t="str">
        <f>B64</f>
        <v>Standard (s tlumením)</v>
      </c>
      <c r="AN111" s="132"/>
      <c r="AO111" s="132"/>
      <c r="AP111" s="132"/>
      <c r="AQ111" s="132"/>
      <c r="AR111" s="132"/>
      <c r="AS111" s="132"/>
      <c r="AT111" s="216" t="s">
        <v>107</v>
      </c>
    </row>
    <row r="112" spans="29:46" ht="14.5" x14ac:dyDescent="0.35">
      <c r="AC112" s="305" t="s">
        <v>64</v>
      </c>
      <c r="AD112" s="305"/>
      <c r="AE112" s="305"/>
      <c r="AF112" s="305" t="s">
        <v>140</v>
      </c>
      <c r="AG112" s="305"/>
      <c r="AH112" s="305"/>
      <c r="AL112" s="81"/>
      <c r="AM112" s="98" t="str">
        <f>B65</f>
        <v>popis</v>
      </c>
      <c r="AN112" s="98"/>
      <c r="AO112" s="98"/>
      <c r="AP112" s="98" t="str">
        <f>F65</f>
        <v>označení</v>
      </c>
      <c r="AQ112" s="98"/>
      <c r="AR112" s="185" t="str">
        <f>H65</f>
        <v>počet</v>
      </c>
      <c r="AS112" s="186" t="str">
        <f>J65</f>
        <v>poznámka</v>
      </c>
      <c r="AT112" s="182"/>
    </row>
    <row r="113" spans="29:46" x14ac:dyDescent="0.3">
      <c r="AC113" s="229" t="s">
        <v>66</v>
      </c>
      <c r="AD113" s="229" t="s">
        <v>67</v>
      </c>
      <c r="AE113" s="229" t="s">
        <v>68</v>
      </c>
      <c r="AF113" s="229" t="s">
        <v>141</v>
      </c>
      <c r="AG113" s="229" t="s">
        <v>70</v>
      </c>
      <c r="AH113" s="229" t="s">
        <v>71</v>
      </c>
      <c r="AL113" s="81"/>
      <c r="AM113" s="2" t="str">
        <f>B66</f>
        <v>Sada zdvihačů</v>
      </c>
      <c r="AP113" s="2" t="str">
        <f>F66</f>
        <v xml:space="preserve"> </v>
      </c>
      <c r="AR113" s="63" t="str">
        <f>H66</f>
        <v xml:space="preserve"> </v>
      </c>
      <c r="AS113" s="47" t="str">
        <f>J66</f>
        <v>zvolte barvu</v>
      </c>
      <c r="AT113" s="80"/>
    </row>
    <row r="114" spans="29:46" x14ac:dyDescent="0.3">
      <c r="AC114" s="32">
        <f>C30</f>
        <v>0</v>
      </c>
      <c r="AD114" s="32">
        <f t="shared" ref="AD114:AH114" si="2">D30</f>
        <v>0</v>
      </c>
      <c r="AE114" s="32">
        <f t="shared" si="2"/>
        <v>0</v>
      </c>
      <c r="AF114" s="32">
        <f t="shared" si="2"/>
        <v>0</v>
      </c>
      <c r="AG114" s="32">
        <f t="shared" si="2"/>
        <v>0</v>
      </c>
      <c r="AH114" s="32">
        <f t="shared" si="2"/>
        <v>0</v>
      </c>
      <c r="AL114" s="81"/>
      <c r="AM114" s="2" t="str">
        <f>B67</f>
        <v>Čelní kování</v>
      </c>
      <c r="AP114" s="2" t="str">
        <f>F67</f>
        <v xml:space="preserve"> </v>
      </c>
      <c r="AR114" s="63" t="str">
        <f>H67</f>
        <v xml:space="preserve"> </v>
      </c>
      <c r="AT114" s="80"/>
    </row>
    <row r="115" spans="29:46" x14ac:dyDescent="0.3">
      <c r="AC115" s="2" t="str">
        <f>C31</f>
        <v xml:space="preserve">  * Vzdálenost od horní(!) hrany čela na první otvor čelního kování. </v>
      </c>
      <c r="AL115" s="81"/>
      <c r="AS115" s="47"/>
      <c r="AT115" s="80"/>
    </row>
    <row r="116" spans="29:46" x14ac:dyDescent="0.3">
      <c r="AC116" s="2" t="str">
        <f>C32</f>
        <v>** Vzdálenost od spodní hrany korpusu na osu vrtání pro zdvihač</v>
      </c>
      <c r="AL116" s="81"/>
      <c r="AR116" s="63"/>
      <c r="AS116" s="47"/>
      <c r="AT116" s="80"/>
    </row>
    <row r="117" spans="29:46" x14ac:dyDescent="0.3">
      <c r="AL117" s="81"/>
      <c r="AM117" s="2" t="str">
        <f t="shared" ref="AM117" si="3">B70</f>
        <v>TIP-ON</v>
      </c>
      <c r="AR117" s="63"/>
      <c r="AS117" s="47"/>
      <c r="AT117" s="80"/>
    </row>
    <row r="118" spans="29:46" ht="14.5" x14ac:dyDescent="0.35">
      <c r="AL118" s="81"/>
      <c r="AM118" s="98" t="str">
        <f>B71</f>
        <v>popis</v>
      </c>
      <c r="AN118" s="98"/>
      <c r="AO118" s="98"/>
      <c r="AP118" s="98" t="str">
        <f>F71</f>
        <v>označení</v>
      </c>
      <c r="AQ118" s="98"/>
      <c r="AR118" s="63" t="str">
        <f t="shared" ref="AR118:AR119" si="4">H71</f>
        <v>počet</v>
      </c>
      <c r="AS118" s="186"/>
      <c r="AT118" s="182"/>
    </row>
    <row r="119" spans="29:46" x14ac:dyDescent="0.3">
      <c r="AE119" s="180" t="s">
        <v>175</v>
      </c>
      <c r="AF119" s="132"/>
      <c r="AG119" s="132"/>
      <c r="AH119" s="132"/>
      <c r="AI119" s="132"/>
      <c r="AJ119" s="132"/>
      <c r="AK119" s="177"/>
      <c r="AL119" s="81"/>
      <c r="AM119" s="2" t="str">
        <f>B72</f>
        <v>Sada zdvihačů TIP-ON</v>
      </c>
      <c r="AP119" s="2" t="str">
        <f>F72</f>
        <v xml:space="preserve"> </v>
      </c>
      <c r="AR119" s="63" t="str">
        <f t="shared" si="4"/>
        <v xml:space="preserve"> </v>
      </c>
      <c r="AS119" s="47" t="str">
        <f>J72</f>
        <v>zvolte barvu</v>
      </c>
      <c r="AT119" s="80"/>
    </row>
    <row r="120" spans="29:46" x14ac:dyDescent="0.3">
      <c r="AE120" s="178" t="s">
        <v>176</v>
      </c>
      <c r="AF120" s="140"/>
      <c r="AG120" s="140"/>
      <c r="AH120" s="140"/>
      <c r="AI120" s="140"/>
      <c r="AJ120" s="140"/>
      <c r="AK120" s="179"/>
      <c r="AL120" s="81"/>
      <c r="AM120" s="2" t="str">
        <f>B73</f>
        <v>Čelní kování</v>
      </c>
      <c r="AP120" s="2" t="str">
        <f>F73</f>
        <v xml:space="preserve"> </v>
      </c>
      <c r="AR120" s="63" t="str">
        <f>H73</f>
        <v xml:space="preserve"> </v>
      </c>
      <c r="AS120" s="47"/>
      <c r="AT120" s="80"/>
    </row>
    <row r="121" spans="29:46" x14ac:dyDescent="0.3">
      <c r="AL121" s="178"/>
      <c r="AM121" s="140" t="str">
        <f>B74</f>
        <v>Píst TIP-ON</v>
      </c>
      <c r="AN121" s="140"/>
      <c r="AO121" s="140"/>
      <c r="AP121" s="140" t="str">
        <f>F74</f>
        <v xml:space="preserve"> </v>
      </c>
      <c r="AQ121" s="140"/>
      <c r="AR121" s="13" t="str">
        <f>H74</f>
        <v xml:space="preserve"> </v>
      </c>
      <c r="AS121" s="166" t="str">
        <f>J74</f>
        <v>zvolte barvu</v>
      </c>
      <c r="AT121" s="179"/>
    </row>
    <row r="123" spans="29:46" ht="15.5" x14ac:dyDescent="0.35">
      <c r="AC123" s="184" t="s">
        <v>192</v>
      </c>
    </row>
    <row r="124" spans="29:46" ht="15.5" x14ac:dyDescent="0.3">
      <c r="AN124" s="175" t="s">
        <v>82</v>
      </c>
    </row>
    <row r="126" spans="29:46" x14ac:dyDescent="0.3">
      <c r="AN126" s="9" t="s">
        <v>121</v>
      </c>
      <c r="AO126" s="5">
        <f>$C$30</f>
        <v>0</v>
      </c>
    </row>
    <row r="127" spans="29:46" x14ac:dyDescent="0.3">
      <c r="AG127" s="63" t="str">
        <f>"("&amp;$C$4-$F$30&amp;")"</f>
        <v>(0)</v>
      </c>
      <c r="AQ127" s="63">
        <f>$C$30</f>
        <v>0</v>
      </c>
    </row>
    <row r="128" spans="29:46" x14ac:dyDescent="0.3">
      <c r="AC128" s="11">
        <f>$F$30</f>
        <v>0</v>
      </c>
    </row>
    <row r="129" spans="33:44" x14ac:dyDescent="0.3">
      <c r="AN129" s="63">
        <f>$E$30</f>
        <v>0</v>
      </c>
    </row>
    <row r="131" spans="33:44" x14ac:dyDescent="0.3">
      <c r="AG131" s="48">
        <f>$F$30</f>
        <v>0</v>
      </c>
      <c r="AN131" s="15">
        <f>$E$30</f>
        <v>0</v>
      </c>
    </row>
    <row r="134" spans="33:44" x14ac:dyDescent="0.3">
      <c r="AN134" s="15">
        <f>$E$30</f>
        <v>0</v>
      </c>
    </row>
    <row r="135" spans="33:44" x14ac:dyDescent="0.3">
      <c r="AN135" s="63" t="s">
        <v>43</v>
      </c>
    </row>
    <row r="136" spans="33:44" x14ac:dyDescent="0.3">
      <c r="AR136" s="9">
        <f>$D$30</f>
        <v>0</v>
      </c>
    </row>
  </sheetData>
  <sheetProtection algorithmName="SHA-512" hashValue="Aq8tjQ3+R/lW4NSHAwxjbui7xT1JwN2Vc9QoZ1Cb254XlJ/Itp4PqG9rvkpE/KNqXyHdIm9QSXGbNNO7co0ZnQ==" saltValue="GO5+gVvVh960pTehLzigiw==" spinCount="100000" sheet="1" objects="1" scenarios="1"/>
  <mergeCells count="27">
    <mergeCell ref="D4:H4"/>
    <mergeCell ref="D6:H6"/>
    <mergeCell ref="A33:A69"/>
    <mergeCell ref="D10:H10"/>
    <mergeCell ref="C28:E28"/>
    <mergeCell ref="F28:H28"/>
    <mergeCell ref="D7:H7"/>
    <mergeCell ref="D8:H8"/>
    <mergeCell ref="D9:H9"/>
    <mergeCell ref="D5:H5"/>
    <mergeCell ref="D13:H13"/>
    <mergeCell ref="D14:H14"/>
    <mergeCell ref="D15:H15"/>
    <mergeCell ref="D16:H16"/>
    <mergeCell ref="AD102:AH102"/>
    <mergeCell ref="AK102:AO102"/>
    <mergeCell ref="AD103:AH103"/>
    <mergeCell ref="AK103:AO103"/>
    <mergeCell ref="AD104:AH104"/>
    <mergeCell ref="AK104:AO104"/>
    <mergeCell ref="AC112:AE112"/>
    <mergeCell ref="AF112:AH112"/>
    <mergeCell ref="AD105:AH105"/>
    <mergeCell ref="AK105:AO105"/>
    <mergeCell ref="AD106:AH106"/>
    <mergeCell ref="AD107:AH107"/>
    <mergeCell ref="AD108:AH108"/>
  </mergeCells>
  <phoneticPr fontId="43" type="noConversion"/>
  <hyperlinks>
    <hyperlink ref="Z52:AA52" location="'HK-S'!A1" tooltip="Zpět na plánování" display="Zpět" xr:uid="{00000000-0004-0000-0700-000000000000}"/>
    <hyperlink ref="Z1" location="AVS!A1" tooltip="Úvodní strana AVENTOS" display="Úvod AVENTOS" xr:uid="{00000000-0004-0000-0700-000002000000}"/>
    <hyperlink ref="Z79" location="'HK-S'!A1" tooltip="Zpět na plánování" display="Zpět" xr:uid="{8C7ED3A7-2B7A-4039-BA83-A717D624970B}"/>
  </hyperlinks>
  <pageMargins left="0.23622047244094491" right="0.23622047244094491" top="0.55118110236220474" bottom="0.74803149606299213" header="0.31496062992125984" footer="0.31496062992125984"/>
  <pageSetup paperSize="9" scale="95" orientation="landscape" verticalDpi="599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39997558519241921"/>
  </sheetPr>
  <dimension ref="A1:AT137"/>
  <sheetViews>
    <sheetView showGridLines="0" showRowColHeaders="0" zoomScaleNormal="100" workbookViewId="0">
      <selection activeCell="U21" sqref="U21"/>
    </sheetView>
  </sheetViews>
  <sheetFormatPr defaultColWidth="8.9140625" defaultRowHeight="14" x14ac:dyDescent="0.3"/>
  <cols>
    <col min="1" max="1" width="1" style="2" customWidth="1"/>
    <col min="2" max="2" width="3.08203125" style="2" customWidth="1"/>
    <col min="3" max="3" width="8.9140625" style="2" customWidth="1"/>
    <col min="4" max="6" width="8.9140625" style="2"/>
    <col min="7" max="7" width="8.9140625" style="2" customWidth="1"/>
    <col min="8" max="8" width="8.9140625" style="2"/>
    <col min="9" max="9" width="0.75" style="2" customWidth="1"/>
    <col min="10" max="10" width="6.5" style="2" customWidth="1"/>
    <col min="11" max="11" width="11" style="2" hidden="1" customWidth="1"/>
    <col min="12" max="20" width="8.9140625" style="2" hidden="1" customWidth="1"/>
    <col min="21" max="21" width="17.75" style="2" customWidth="1"/>
    <col min="22" max="22" width="18.4140625" style="2" customWidth="1"/>
    <col min="23" max="23" width="8.9140625" style="2" customWidth="1"/>
    <col min="24" max="24" width="10.08203125" style="2" customWidth="1"/>
    <col min="25" max="25" width="1.25" style="2" customWidth="1"/>
    <col min="26" max="26" width="8.9140625" style="2"/>
    <col min="27" max="27" width="19.75" style="2" customWidth="1"/>
    <col min="28" max="28" width="8.9140625" style="2"/>
    <col min="29" max="37" width="6.58203125" style="2" customWidth="1"/>
    <col min="38" max="38" width="1.08203125" style="2" customWidth="1"/>
    <col min="39" max="39" width="6.58203125" style="2" customWidth="1"/>
    <col min="40" max="40" width="12.25" style="2" customWidth="1"/>
    <col min="41" max="41" width="8.9140625" style="2"/>
    <col min="42" max="42" width="6.83203125" style="2" customWidth="1"/>
    <col min="43" max="43" width="9.4140625" style="2" customWidth="1"/>
    <col min="44" max="44" width="5.9140625" style="2" customWidth="1"/>
    <col min="45" max="45" width="9.33203125" style="2" customWidth="1"/>
    <col min="46" max="46" width="8.33203125" style="2" customWidth="1"/>
    <col min="47" max="16384" width="8.9140625" style="2"/>
  </cols>
  <sheetData>
    <row r="1" spans="2:27" ht="25" x14ac:dyDescent="0.5">
      <c r="B1" s="1" t="s">
        <v>21</v>
      </c>
      <c r="AA1" s="226" t="s">
        <v>22</v>
      </c>
    </row>
    <row r="2" spans="2:27" ht="18" customHeight="1" x14ac:dyDescent="0.4">
      <c r="B2" s="22"/>
      <c r="U2" s="227"/>
      <c r="W2" s="224"/>
      <c r="X2" s="224"/>
    </row>
    <row r="3" spans="2:27" ht="18" customHeight="1" x14ac:dyDescent="0.3">
      <c r="B3" s="6"/>
      <c r="C3" s="17" t="s">
        <v>108</v>
      </c>
      <c r="D3" s="17"/>
      <c r="E3" s="17"/>
      <c r="F3" s="17"/>
      <c r="G3" s="17"/>
      <c r="H3" s="17"/>
      <c r="K3" s="9" t="s">
        <v>24</v>
      </c>
      <c r="L3" s="30">
        <f>IF(AND(L4=1, L5=1, L6=1, L7=1, L8=1, L9=1, L10=1),1,2)</f>
        <v>2</v>
      </c>
      <c r="M3" s="31" t="s">
        <v>25</v>
      </c>
      <c r="W3" s="50"/>
      <c r="X3" s="50"/>
    </row>
    <row r="4" spans="2:27" ht="16.5" customHeight="1" x14ac:dyDescent="0.3">
      <c r="B4" s="6"/>
      <c r="C4" s="78"/>
      <c r="D4" s="304" t="s">
        <v>26</v>
      </c>
      <c r="E4" s="304"/>
      <c r="F4" s="304"/>
      <c r="G4" s="304"/>
      <c r="H4" s="304"/>
      <c r="J4" s="12" t="str">
        <f>IF($C$4&lt;236, "Minimálně 236 mm!", IF($C$4&gt;600, "Maximálně 600 mm!", " "))</f>
        <v>Minimálně 236 mm!</v>
      </c>
      <c r="L4" s="63">
        <f>IF(OR(C4&lt;236, C4&gt;600), 2, 1)</f>
        <v>2</v>
      </c>
      <c r="M4" s="31" t="s">
        <v>27</v>
      </c>
    </row>
    <row r="5" spans="2:27" ht="16.5" customHeight="1" x14ac:dyDescent="0.3">
      <c r="B5" s="6"/>
      <c r="C5" s="78"/>
      <c r="D5" s="304" t="s">
        <v>28</v>
      </c>
      <c r="E5" s="304"/>
      <c r="F5" s="304"/>
      <c r="G5" s="304"/>
      <c r="H5" s="304"/>
      <c r="J5" s="12" t="str">
        <f>IF($C$5&lt;200, "Minimálně 200 mm!", IF($C$5&gt;1800, "Maximálně 1800 mm!", " "))</f>
        <v>Minimálně 200 mm!</v>
      </c>
      <c r="L5" s="63">
        <f>IF(OR(C5&lt;200, C5&gt;1800), 2, 1)</f>
        <v>2</v>
      </c>
      <c r="M5" s="167" t="s">
        <v>29</v>
      </c>
      <c r="N5" s="152">
        <f>IF(OR(P14&lt;O21, P14&gt;R23), 2, 1)</f>
        <v>2</v>
      </c>
      <c r="O5" s="2" t="s">
        <v>193</v>
      </c>
    </row>
    <row r="6" spans="2:27" ht="16.5" customHeight="1" x14ac:dyDescent="0.3">
      <c r="B6" s="6"/>
      <c r="C6" s="78"/>
      <c r="D6" s="304" t="s">
        <v>30</v>
      </c>
      <c r="E6" s="304"/>
      <c r="F6" s="304"/>
      <c r="G6" s="304"/>
      <c r="H6" s="304"/>
      <c r="J6" s="12" t="str">
        <f>IF(C6&lt;16,"Minimálně 16 mm!", IF(C6&gt;20, "Maximálně 20 mm!", " "))</f>
        <v>Minimálně 16 mm!</v>
      </c>
      <c r="L6" s="63">
        <f>IF(OR($C$6&lt;16, $C$6&gt;20), 2, 1)</f>
        <v>2</v>
      </c>
      <c r="N6" s="152">
        <f>IF(OR(P14&lt;O28, P14&gt;R30), 2, 1)</f>
        <v>2</v>
      </c>
      <c r="O6" s="2" t="s">
        <v>194</v>
      </c>
      <c r="W6" s="224"/>
      <c r="X6" s="224"/>
    </row>
    <row r="7" spans="2:27" ht="16.5" customHeight="1" x14ac:dyDescent="0.3">
      <c r="B7" s="6"/>
      <c r="C7" s="78"/>
      <c r="D7" s="304" t="s">
        <v>31</v>
      </c>
      <c r="E7" s="304"/>
      <c r="F7" s="304"/>
      <c r="G7" s="304"/>
      <c r="H7" s="304"/>
      <c r="J7" s="12" t="str">
        <f>IF(C7&lt;16,"Minimálně 16 mm!"," ")</f>
        <v>Minimálně 16 mm!</v>
      </c>
      <c r="L7" s="63">
        <f>IF(C7&lt;16, 2, 1)</f>
        <v>2</v>
      </c>
      <c r="W7" s="224"/>
      <c r="X7" s="224"/>
    </row>
    <row r="8" spans="2:27" ht="16.5" customHeight="1" x14ac:dyDescent="0.3">
      <c r="B8" s="6"/>
      <c r="C8" s="78"/>
      <c r="D8" s="304" t="s">
        <v>195</v>
      </c>
      <c r="E8" s="304"/>
      <c r="F8" s="304"/>
      <c r="G8" s="304"/>
      <c r="H8" s="304"/>
      <c r="J8" s="12" t="str">
        <f>IF($C$6&gt;15.999, IF(C8&lt;&gt;($C$6-16), "Musí být "&amp;($C$6-16)&amp;" mm! ***", " "), " ")</f>
        <v xml:space="preserve"> </v>
      </c>
      <c r="L8" s="63">
        <f>IF(C8=($C$6-16), 1, 2)</f>
        <v>2</v>
      </c>
      <c r="W8" s="224"/>
      <c r="X8" s="224"/>
    </row>
    <row r="9" spans="2:27" ht="16.5" customHeight="1" x14ac:dyDescent="0.3">
      <c r="B9" s="6"/>
      <c r="C9" s="78"/>
      <c r="D9" s="304" t="s">
        <v>34</v>
      </c>
      <c r="E9" s="304"/>
      <c r="F9" s="304"/>
      <c r="G9" s="304"/>
      <c r="H9" s="304"/>
      <c r="J9" s="12" t="str">
        <f>IF(C9&gt;$C$6,"Maximálně "&amp;$C$6&amp;" mm!"," ")</f>
        <v xml:space="preserve"> </v>
      </c>
      <c r="L9" s="63">
        <f>IF(C9&gt;$C$6, 2, 1)</f>
        <v>1</v>
      </c>
      <c r="W9" s="224"/>
      <c r="X9" s="224"/>
    </row>
    <row r="10" spans="2:27" ht="16.5" customHeight="1" x14ac:dyDescent="0.3">
      <c r="B10" s="6"/>
      <c r="C10" s="78"/>
      <c r="D10" s="304" t="s">
        <v>35</v>
      </c>
      <c r="E10" s="304"/>
      <c r="F10" s="304"/>
      <c r="G10" s="304"/>
      <c r="H10" s="304"/>
      <c r="J10" s="12" t="str">
        <f>IF(C10&gt;C7,"Maximálně "&amp;C7&amp;" mm!"," ")</f>
        <v xml:space="preserve"> </v>
      </c>
      <c r="L10" s="63">
        <f>IF(C10&gt;C7, 2, 1)</f>
        <v>1</v>
      </c>
      <c r="W10" s="46"/>
      <c r="X10" s="46"/>
    </row>
    <row r="11" spans="2:27" ht="17.25" customHeight="1" x14ac:dyDescent="0.3">
      <c r="C11" s="12" t="str">
        <f>IF(L3=2, "Vyplňte správně všechny parametry!"," ")</f>
        <v>Vyplňte správně všechny parametry!</v>
      </c>
      <c r="L11" s="63"/>
      <c r="M11" s="63"/>
      <c r="N11" s="63"/>
      <c r="O11" s="63"/>
      <c r="P11" s="63"/>
      <c r="Q11" s="63"/>
      <c r="W11" s="224"/>
      <c r="X11" s="224"/>
    </row>
    <row r="12" spans="2:27" ht="33" customHeight="1" x14ac:dyDescent="0.3">
      <c r="C12" s="2" t="s">
        <v>36</v>
      </c>
      <c r="K12" s="9" t="s">
        <v>24</v>
      </c>
      <c r="L12" s="30">
        <f>IF(AND(L3=1, L13=1, L14=1),1,2)</f>
        <v>2</v>
      </c>
      <c r="M12" s="63"/>
      <c r="Q12" s="63"/>
    </row>
    <row r="13" spans="2:27" ht="16.5" customHeight="1" x14ac:dyDescent="0.3">
      <c r="B13" s="26"/>
      <c r="C13" s="78"/>
      <c r="D13" s="304" t="s">
        <v>37</v>
      </c>
      <c r="E13" s="304"/>
      <c r="F13" s="304"/>
      <c r="G13" s="304"/>
      <c r="H13" s="304"/>
      <c r="J13" s="18" t="str">
        <f>IF(AND(C14&gt;0, C13&lt;14), "Minimálně 14 mm!", IF(C13&gt;24, "Maximálně 24 mm!", " "))</f>
        <v xml:space="preserve"> </v>
      </c>
      <c r="L13" s="63">
        <f>IF(OR(C13&lt;14, C13&gt;24), 2, 1)</f>
        <v>2</v>
      </c>
      <c r="N13" s="9" t="s">
        <v>38</v>
      </c>
      <c r="O13" s="9" t="s">
        <v>196</v>
      </c>
      <c r="P13" s="9" t="s">
        <v>39</v>
      </c>
      <c r="T13" s="63"/>
      <c r="W13" s="9" t="s">
        <v>121</v>
      </c>
      <c r="X13" s="5">
        <f>$C$36</f>
        <v>0</v>
      </c>
    </row>
    <row r="14" spans="2:27" ht="16.5" customHeight="1" x14ac:dyDescent="0.3">
      <c r="B14" s="26"/>
      <c r="C14" s="79"/>
      <c r="D14" s="304" t="s">
        <v>40</v>
      </c>
      <c r="E14" s="304"/>
      <c r="F14" s="304"/>
      <c r="G14" s="304"/>
      <c r="H14" s="304"/>
      <c r="J14" s="18" t="str">
        <f>IF(AND(OR(C13&gt;0, C15&gt;0), C14&lt;100), "Minimálně 100", " ")</f>
        <v xml:space="preserve"> </v>
      </c>
      <c r="L14" s="63">
        <f>IF(C14&gt;0, 1, 2)</f>
        <v>2</v>
      </c>
      <c r="N14" s="2">
        <f>(C4*C5*C13/1000000000*C14)+C15*2</f>
        <v>0</v>
      </c>
      <c r="O14" s="222">
        <f>IF(L12=1, ROUND(R23/C4, 2), 0)</f>
        <v>0</v>
      </c>
      <c r="P14" s="112">
        <f>IF(AND($L$12=1), C4*N14, 0)</f>
        <v>0</v>
      </c>
    </row>
    <row r="15" spans="2:27" ht="16.5" customHeight="1" x14ac:dyDescent="0.3">
      <c r="B15" s="26"/>
      <c r="C15" s="78"/>
      <c r="D15" s="304" t="s">
        <v>41</v>
      </c>
      <c r="E15" s="304"/>
      <c r="F15" s="304"/>
      <c r="G15" s="304"/>
      <c r="H15" s="304"/>
      <c r="L15" s="63"/>
      <c r="O15" s="112"/>
      <c r="W15" s="9" t="s">
        <v>43</v>
      </c>
    </row>
    <row r="16" spans="2:27" ht="16.5" customHeight="1" x14ac:dyDescent="0.3">
      <c r="B16" s="26"/>
      <c r="C16" s="221">
        <f>IF(L12=1, N14, 0)</f>
        <v>0</v>
      </c>
      <c r="D16" s="304" t="s">
        <v>42</v>
      </c>
      <c r="E16" s="304"/>
      <c r="F16" s="304"/>
      <c r="G16" s="304"/>
      <c r="H16" s="304"/>
      <c r="J16" s="18" t="str">
        <f>IF(AND(L12=1, N14&gt;O14), "Max. "&amp;O14&amp;" kg", " ")</f>
        <v xml:space="preserve"> </v>
      </c>
      <c r="L16" s="63"/>
      <c r="T16" s="11"/>
      <c r="V16" s="47">
        <f>F36</f>
        <v>0</v>
      </c>
      <c r="W16" s="63">
        <f>$E$36</f>
        <v>0</v>
      </c>
    </row>
    <row r="17" spans="2:24" ht="18.649999999999999" customHeight="1" x14ac:dyDescent="0.3">
      <c r="C17" s="298" t="str">
        <f>IF(AND($L$3=1,$N$5=2, $C$16&gt;0),"Ukazatel výkonnosti LF je mimo rozsah. Upravte rozměry korpusu nebo hmotnost čela.", " ")</f>
        <v xml:space="preserve"> </v>
      </c>
      <c r="Q17" s="9"/>
      <c r="R17" s="23"/>
      <c r="S17" s="24"/>
    </row>
    <row r="18" spans="2:24" ht="15.75" customHeight="1" x14ac:dyDescent="0.3">
      <c r="L18" s="149"/>
      <c r="M18" s="149"/>
      <c r="N18" s="149"/>
      <c r="O18" s="149"/>
      <c r="W18" s="15">
        <f>$E$36</f>
        <v>0</v>
      </c>
    </row>
    <row r="19" spans="2:24" ht="14.25" customHeight="1" x14ac:dyDescent="0.3">
      <c r="B19" s="25"/>
      <c r="C19" s="2" t="s">
        <v>44</v>
      </c>
      <c r="K19" s="214">
        <v>1</v>
      </c>
      <c r="L19" s="205" t="s">
        <v>197</v>
      </c>
      <c r="M19" s="154"/>
      <c r="N19" s="205"/>
      <c r="O19" s="324" t="s">
        <v>198</v>
      </c>
      <c r="P19" s="325"/>
      <c r="Q19" s="324" t="s">
        <v>134</v>
      </c>
      <c r="R19" s="325"/>
      <c r="S19" s="231" t="s">
        <v>199</v>
      </c>
      <c r="U19" s="206"/>
    </row>
    <row r="20" spans="2:24" ht="14.25" customHeight="1" x14ac:dyDescent="0.3">
      <c r="C20" s="2" t="s">
        <v>45</v>
      </c>
      <c r="K20" s="207" t="s">
        <v>46</v>
      </c>
      <c r="L20" s="208" t="s">
        <v>200</v>
      </c>
      <c r="M20" s="208" t="s">
        <v>135</v>
      </c>
      <c r="N20" s="154"/>
      <c r="O20" s="209" t="s">
        <v>79</v>
      </c>
      <c r="P20" s="209" t="s">
        <v>80</v>
      </c>
      <c r="Q20" s="209" t="s">
        <v>79</v>
      </c>
      <c r="R20" s="209" t="s">
        <v>80</v>
      </c>
      <c r="S20" s="213">
        <f>IF(OR($P$14=0, $P$14&gt;R23), 0, IF(OR($C$5&gt;1199,$P$14&gt;2699),4,IF(OR($C$5&gt;899,$P$14&gt;1799),3,2)))</f>
        <v>0</v>
      </c>
      <c r="U20" s="210"/>
    </row>
    <row r="21" spans="2:24" ht="14.25" customHeight="1" x14ac:dyDescent="0.3">
      <c r="C21" s="2" t="s">
        <v>48</v>
      </c>
      <c r="K21" s="154" t="s">
        <v>201</v>
      </c>
      <c r="L21" s="205">
        <f>IF($P$14&gt;O21,IF($P$14&lt;P21,1,0),0)</f>
        <v>0</v>
      </c>
      <c r="M21" s="211">
        <f>IF($P$14&gt;Q21,IF($P$14&lt;R21,2,0),0)</f>
        <v>0</v>
      </c>
      <c r="N21" s="154"/>
      <c r="O21" s="212">
        <f>IF(K19=1,199.99,179.99)</f>
        <v>199.99</v>
      </c>
      <c r="P21" s="212">
        <f>IF(K19=1,750,650)</f>
        <v>750</v>
      </c>
      <c r="Q21" s="212">
        <f>IF(K19=1,399.99,359.99)</f>
        <v>399.99</v>
      </c>
      <c r="R21" s="212">
        <f>IF(K19=1,1500,1300)</f>
        <v>1500</v>
      </c>
      <c r="U21" s="212"/>
      <c r="W21" s="15">
        <f>$E$36</f>
        <v>0</v>
      </c>
    </row>
    <row r="22" spans="2:24" ht="14.25" customHeight="1" x14ac:dyDescent="0.3">
      <c r="C22" s="2" t="s">
        <v>50</v>
      </c>
      <c r="K22" s="154" t="s">
        <v>202</v>
      </c>
      <c r="L22" s="205">
        <f>IF($P$14&gt;O22,IF($P$14&lt;P22,1,0),0)</f>
        <v>0</v>
      </c>
      <c r="M22" s="211">
        <f>IF($P$14&gt;Q22,IF($P$14&lt;R22,2,0),0)</f>
        <v>0</v>
      </c>
      <c r="N22" s="154"/>
      <c r="O22" s="212">
        <f>IF(K19=1,749.99,649)</f>
        <v>749.99</v>
      </c>
      <c r="P22" s="212">
        <f>IF(K19=1,1150,1000)</f>
        <v>1150</v>
      </c>
      <c r="Q22" s="212">
        <f>IF(K19=1,1499.99,1299.99)</f>
        <v>1499.99</v>
      </c>
      <c r="R22" s="212">
        <f>IF(K19=1,2300,2000)</f>
        <v>2300</v>
      </c>
      <c r="S22" s="212"/>
      <c r="U22" s="212"/>
    </row>
    <row r="23" spans="2:24" ht="16.5" customHeight="1" x14ac:dyDescent="0.3">
      <c r="C23" s="2" t="s">
        <v>53</v>
      </c>
      <c r="K23" s="154" t="s">
        <v>203</v>
      </c>
      <c r="L23" s="205">
        <f>IF($P$14&gt;O23,IF($P$14&lt;P23,1,0),0)</f>
        <v>0</v>
      </c>
      <c r="M23" s="211">
        <f>IF($P$14&gt;Q23,IF($P$14&lt;R23,2,0),0)</f>
        <v>0</v>
      </c>
      <c r="N23" s="154"/>
      <c r="O23" s="212">
        <f>IF(K19=1,1149.99,999.99)</f>
        <v>1149.99</v>
      </c>
      <c r="P23" s="212">
        <f>IF(K19=1,1801,1601)</f>
        <v>1801</v>
      </c>
      <c r="Q23" s="212">
        <f>IF(K19=1,2299.99,1999.99)</f>
        <v>2299.9899999999998</v>
      </c>
      <c r="R23" s="212">
        <f>IF(K19=1,3601,3201)</f>
        <v>3601</v>
      </c>
      <c r="S23" s="212"/>
      <c r="U23" s="212"/>
    </row>
    <row r="24" spans="2:24" ht="16.5" customHeight="1" x14ac:dyDescent="0.3">
      <c r="C24" s="2" t="s">
        <v>55</v>
      </c>
      <c r="K24" s="154"/>
      <c r="L24" s="205"/>
      <c r="M24" s="205"/>
      <c r="N24" s="154"/>
      <c r="O24" s="212"/>
      <c r="P24" s="212"/>
      <c r="Q24" s="212"/>
      <c r="R24" s="212"/>
      <c r="S24" s="212"/>
      <c r="U24" s="212"/>
    </row>
    <row r="25" spans="2:24" ht="22.5" customHeight="1" x14ac:dyDescent="0.3">
      <c r="B25" s="26"/>
      <c r="Q25" s="24"/>
    </row>
    <row r="26" spans="2:24" ht="15.75" customHeight="1" x14ac:dyDescent="0.3">
      <c r="B26" s="2" t="s">
        <v>112</v>
      </c>
      <c r="K26" s="214">
        <v>2</v>
      </c>
      <c r="L26" s="205" t="s">
        <v>204</v>
      </c>
      <c r="M26" s="154"/>
      <c r="N26" s="205"/>
      <c r="O26" s="324" t="s">
        <v>198</v>
      </c>
      <c r="P26" s="325"/>
      <c r="Q26" s="324" t="s">
        <v>134</v>
      </c>
      <c r="R26" s="325"/>
      <c r="S26" s="231" t="s">
        <v>199</v>
      </c>
      <c r="U26" s="206"/>
    </row>
    <row r="27" spans="2:24" ht="14.25" customHeight="1" x14ac:dyDescent="0.3">
      <c r="B27" s="25"/>
      <c r="K27" s="207" t="s">
        <v>46</v>
      </c>
      <c r="L27" s="208" t="s">
        <v>200</v>
      </c>
      <c r="M27" s="208" t="s">
        <v>135</v>
      </c>
      <c r="N27" s="154"/>
      <c r="O27" s="209" t="s">
        <v>79</v>
      </c>
      <c r="P27" s="209" t="s">
        <v>80</v>
      </c>
      <c r="Q27" s="209" t="s">
        <v>79</v>
      </c>
      <c r="R27" s="209" t="s">
        <v>80</v>
      </c>
      <c r="S27" s="213">
        <f>IF(OR($P$14=0, $P$14&gt;R30), 0, IF(OR($C$5&gt;1199,$P$14&gt;2699),4,IF(OR($C$5&gt;899,$P$14&gt;1799),3,2)))</f>
        <v>0</v>
      </c>
      <c r="U27" s="210"/>
    </row>
    <row r="28" spans="2:24" ht="14.25" customHeight="1" x14ac:dyDescent="0.3">
      <c r="C28" s="2" t="s">
        <v>672</v>
      </c>
      <c r="K28" s="154" t="s">
        <v>205</v>
      </c>
      <c r="L28" s="205">
        <f>IF($P$14&gt;O28,IF($P$14&lt;P28,1,0),0)</f>
        <v>0</v>
      </c>
      <c r="M28" s="211">
        <f>IF($P$14&gt;Q28,IF($P$14&lt;R28,2,0),0)</f>
        <v>0</v>
      </c>
      <c r="N28" s="154"/>
      <c r="O28" s="212">
        <f>IF(K26=1,199.99,179.99)</f>
        <v>179.99</v>
      </c>
      <c r="P28" s="212">
        <f>IF(K26=1,750,650)</f>
        <v>650</v>
      </c>
      <c r="Q28" s="212">
        <f>IF(K26=1,399.99,359.99)</f>
        <v>359.99</v>
      </c>
      <c r="R28" s="212">
        <f>IF(K26=1,1500,1300)</f>
        <v>1300</v>
      </c>
      <c r="S28" s="213"/>
      <c r="U28" s="212"/>
    </row>
    <row r="29" spans="2:24" ht="14.25" customHeight="1" x14ac:dyDescent="0.3">
      <c r="C29" s="2" t="s">
        <v>674</v>
      </c>
      <c r="K29" s="154" t="s">
        <v>206</v>
      </c>
      <c r="L29" s="205">
        <f>IF($P$14&gt;O29,IF($P$14&lt;P29,1,0),0)</f>
        <v>0</v>
      </c>
      <c r="M29" s="211">
        <f>IF($P$14&gt;Q29,IF($P$14&lt;R29,2,0),0)</f>
        <v>0</v>
      </c>
      <c r="N29" s="154"/>
      <c r="O29" s="212">
        <f>IF(K26=1,749.99,649)</f>
        <v>649</v>
      </c>
      <c r="P29" s="212">
        <f>IF(K26=1,1150,1000)</f>
        <v>1000</v>
      </c>
      <c r="Q29" s="212">
        <f>IF(K26=1,1499.99,1299.99)</f>
        <v>1299.99</v>
      </c>
      <c r="R29" s="212">
        <f>IF(K26=1,2300,2000)</f>
        <v>2000</v>
      </c>
      <c r="S29" s="212"/>
      <c r="U29" s="212"/>
    </row>
    <row r="30" spans="2:24" ht="14.25" customHeight="1" x14ac:dyDescent="0.3">
      <c r="K30" s="154" t="s">
        <v>207</v>
      </c>
      <c r="L30" s="205">
        <f>IF($P$14&gt;O30,IF($P$14&lt;P30,1,0),0)</f>
        <v>0</v>
      </c>
      <c r="M30" s="211">
        <f>IF($P$14&gt;Q30,IF($P$14&lt;R30,2,0),0)</f>
        <v>0</v>
      </c>
      <c r="N30" s="154"/>
      <c r="O30" s="212">
        <f>IF(K26=1,1149.99,999.99)</f>
        <v>999.99</v>
      </c>
      <c r="P30" s="212">
        <f>IF(K26=1,1801,1601)</f>
        <v>1601</v>
      </c>
      <c r="Q30" s="212">
        <f>IF(K26=1,2299.99,1999.99)</f>
        <v>1999.99</v>
      </c>
      <c r="R30" s="212">
        <f>IF(K26=1,3601,3201)</f>
        <v>3201</v>
      </c>
      <c r="S30" s="212"/>
      <c r="U30" s="212"/>
    </row>
    <row r="31" spans="2:24" ht="14.5" thickBot="1" x14ac:dyDescent="0.35"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</row>
    <row r="32" spans="2:24" ht="23.15" customHeight="1" thickTop="1" x14ac:dyDescent="0.35">
      <c r="B32" s="76" t="str">
        <f>"Výsledky pro výšku korpusu KH "&amp;$C$4&amp;" mm"</f>
        <v>Výsledky pro výšku korpusu KH  mm</v>
      </c>
      <c r="X32" s="103" t="str">
        <f>$B$1</f>
        <v>AVENTOS HK-XS</v>
      </c>
    </row>
    <row r="33" spans="1:21" ht="6.65" customHeight="1" x14ac:dyDescent="0.3"/>
    <row r="34" spans="1:21" ht="17.5" customHeight="1" x14ac:dyDescent="0.3">
      <c r="C34" s="305" t="s">
        <v>64</v>
      </c>
      <c r="D34" s="305"/>
      <c r="E34" s="305"/>
      <c r="F34" s="305" t="s">
        <v>65</v>
      </c>
      <c r="G34" s="305"/>
      <c r="H34" s="305"/>
      <c r="L34" s="63"/>
      <c r="M34" s="63"/>
      <c r="N34" s="33" t="s">
        <v>177</v>
      </c>
      <c r="O34" s="29"/>
    </row>
    <row r="35" spans="1:21" ht="17.5" customHeight="1" x14ac:dyDescent="0.3">
      <c r="C35" s="229" t="s">
        <v>66</v>
      </c>
      <c r="D35" s="229" t="s">
        <v>67</v>
      </c>
      <c r="E35" s="229" t="s">
        <v>68</v>
      </c>
      <c r="F35" s="229" t="s">
        <v>69</v>
      </c>
      <c r="G35" s="229" t="s">
        <v>70</v>
      </c>
      <c r="H35" s="229" t="s">
        <v>71</v>
      </c>
      <c r="L35" s="63"/>
      <c r="M35" s="9" t="s">
        <v>72</v>
      </c>
      <c r="N35" s="34">
        <f>137+$C$6</f>
        <v>137</v>
      </c>
      <c r="O35" s="63"/>
    </row>
    <row r="36" spans="1:21" ht="17.5" customHeight="1" x14ac:dyDescent="0.3">
      <c r="C36" s="32">
        <f>IF($L$3=1, $N$37, 0)</f>
        <v>0</v>
      </c>
      <c r="D36" s="32">
        <f>IF($L$3=1, SUM($C$7-$C$10+15.5), 0)</f>
        <v>0</v>
      </c>
      <c r="E36" s="32">
        <f>IF($L$3=1, SUM($C$7-$C$10+15.5), 0)</f>
        <v>0</v>
      </c>
      <c r="F36" s="32">
        <f>IF($L$3=1, $N$36, 0)</f>
        <v>0</v>
      </c>
      <c r="G36" s="32">
        <f>IF($L$3=1, 37, 0)</f>
        <v>0</v>
      </c>
      <c r="H36" s="32">
        <f>IF($L$3=1, 32, 0)</f>
        <v>0</v>
      </c>
      <c r="K36" s="9"/>
      <c r="M36" s="37" t="s">
        <v>73</v>
      </c>
      <c r="N36" s="38">
        <f>$C$4-$N$35-16</f>
        <v>-153</v>
      </c>
      <c r="O36" s="15"/>
    </row>
    <row r="37" spans="1:21" x14ac:dyDescent="0.3">
      <c r="C37" s="2" t="s">
        <v>208</v>
      </c>
      <c r="K37" s="9"/>
      <c r="L37" s="4"/>
      <c r="M37" s="232" t="s">
        <v>76</v>
      </c>
      <c r="N37" s="35">
        <f>126+$C$6-$C$8</f>
        <v>126</v>
      </c>
      <c r="O37" s="4"/>
    </row>
    <row r="38" spans="1:21" x14ac:dyDescent="0.3">
      <c r="C38" s="2" t="s">
        <v>209</v>
      </c>
    </row>
    <row r="39" spans="1:21" x14ac:dyDescent="0.3">
      <c r="C39" s="2" t="s">
        <v>210</v>
      </c>
    </row>
    <row r="40" spans="1:21" x14ac:dyDescent="0.3">
      <c r="C40" s="2" t="s">
        <v>211</v>
      </c>
    </row>
    <row r="41" spans="1:21" ht="18" customHeight="1" x14ac:dyDescent="0.3">
      <c r="A41" s="303"/>
      <c r="C41" s="18" t="s">
        <v>212</v>
      </c>
    </row>
    <row r="42" spans="1:21" x14ac:dyDescent="0.3">
      <c r="A42" s="303"/>
      <c r="C42" s="45" t="s">
        <v>213</v>
      </c>
    </row>
    <row r="43" spans="1:21" x14ac:dyDescent="0.3">
      <c r="A43" s="303"/>
      <c r="C43" s="2" t="s">
        <v>214</v>
      </c>
    </row>
    <row r="44" spans="1:21" x14ac:dyDescent="0.3">
      <c r="A44" s="303"/>
    </row>
    <row r="45" spans="1:21" ht="17.5" x14ac:dyDescent="0.35">
      <c r="A45" s="303"/>
      <c r="B45" s="19" t="str">
        <f>"Vrtání korpusu pro výšku KH "&amp;$C$4&amp;" mm"</f>
        <v>Vrtání korpusu pro výšku KH  mm</v>
      </c>
      <c r="L45" s="2" t="s">
        <v>181</v>
      </c>
      <c r="N45" s="2" t="s">
        <v>144</v>
      </c>
      <c r="U45" s="19" t="s">
        <v>82</v>
      </c>
    </row>
    <row r="46" spans="1:21" x14ac:dyDescent="0.3">
      <c r="A46" s="303"/>
      <c r="L46" s="2" t="s">
        <v>215</v>
      </c>
      <c r="M46" s="63">
        <f>IF(SUM($L$21:$L$23)&gt;0, L21, M21)</f>
        <v>0</v>
      </c>
      <c r="N46" s="2" t="s">
        <v>216</v>
      </c>
      <c r="O46" s="63">
        <f>IF(SUM($L$28:$L$30)&gt;0, L28, M28)</f>
        <v>0</v>
      </c>
    </row>
    <row r="47" spans="1:21" x14ac:dyDescent="0.3">
      <c r="A47" s="303"/>
      <c r="L47" s="2" t="s">
        <v>217</v>
      </c>
      <c r="M47" s="63">
        <f>IF(SUM($L$21:$L$23)&gt;0, L22, M22)</f>
        <v>0</v>
      </c>
      <c r="N47" s="2" t="s">
        <v>218</v>
      </c>
      <c r="O47" s="63">
        <f>IF(SUM($L$28:$L$30)&gt;0, L29, M29)</f>
        <v>0</v>
      </c>
    </row>
    <row r="48" spans="1:21" x14ac:dyDescent="0.3">
      <c r="A48" s="303"/>
      <c r="L48" s="2" t="s">
        <v>219</v>
      </c>
      <c r="M48" s="63">
        <f>IF(SUM($L$21:$L$23)&gt;0, L23, M23)</f>
        <v>0</v>
      </c>
      <c r="N48" s="2" t="s">
        <v>220</v>
      </c>
      <c r="O48" s="63">
        <f>IF(SUM($L$28:$L$30)&gt;0, L30, M30)</f>
        <v>0</v>
      </c>
    </row>
    <row r="49" spans="1:21" x14ac:dyDescent="0.3">
      <c r="A49" s="303"/>
      <c r="U49" s="70">
        <f>$C$36</f>
        <v>0</v>
      </c>
    </row>
    <row r="50" spans="1:21" x14ac:dyDescent="0.3">
      <c r="A50" s="303"/>
      <c r="C50" s="63" t="str">
        <f>"("&amp;$C$4-F36&amp;")"</f>
        <v>(0)</v>
      </c>
    </row>
    <row r="51" spans="1:21" x14ac:dyDescent="0.3">
      <c r="A51" s="303"/>
    </row>
    <row r="52" spans="1:21" x14ac:dyDescent="0.3">
      <c r="A52" s="303"/>
      <c r="L52" s="2" t="s">
        <v>221</v>
      </c>
      <c r="M52" s="63">
        <f>SUM($M$46:$M$48)</f>
        <v>0</v>
      </c>
      <c r="O52" s="63">
        <f>SUM($O$46:$O$48)</f>
        <v>0</v>
      </c>
      <c r="U52" s="47"/>
    </row>
    <row r="53" spans="1:21" x14ac:dyDescent="0.3">
      <c r="A53" s="303"/>
      <c r="M53" s="63"/>
      <c r="O53" s="63"/>
    </row>
    <row r="54" spans="1:21" x14ac:dyDescent="0.3">
      <c r="A54" s="303"/>
      <c r="L54" s="2" t="s">
        <v>222</v>
      </c>
      <c r="M54" s="63">
        <f>M52</f>
        <v>0</v>
      </c>
      <c r="O54" s="63">
        <f>O52</f>
        <v>0</v>
      </c>
    </row>
    <row r="55" spans="1:21" x14ac:dyDescent="0.3">
      <c r="A55" s="303"/>
      <c r="C55" s="48">
        <f>$F$36</f>
        <v>0</v>
      </c>
      <c r="M55" s="63"/>
      <c r="O55" s="63"/>
    </row>
    <row r="56" spans="1:21" x14ac:dyDescent="0.3">
      <c r="A56" s="303"/>
      <c r="L56" s="2" t="s">
        <v>165</v>
      </c>
      <c r="O56" s="63">
        <f>IF($S$27=0, 0, 1)</f>
        <v>0</v>
      </c>
      <c r="U56" s="47"/>
    </row>
    <row r="57" spans="1:21" x14ac:dyDescent="0.3">
      <c r="A57" s="303"/>
      <c r="M57" s="63"/>
      <c r="O57" s="63"/>
    </row>
    <row r="58" spans="1:21" x14ac:dyDescent="0.3">
      <c r="A58" s="303"/>
      <c r="L58" s="2" t="s">
        <v>223</v>
      </c>
      <c r="M58" s="63">
        <f>S20</f>
        <v>0</v>
      </c>
      <c r="O58" s="63"/>
    </row>
    <row r="59" spans="1:21" x14ac:dyDescent="0.3">
      <c r="A59" s="303"/>
      <c r="L59" s="2" t="s">
        <v>224</v>
      </c>
      <c r="O59" s="63">
        <f>S20</f>
        <v>0</v>
      </c>
      <c r="U59" s="71">
        <f>$D$36</f>
        <v>0</v>
      </c>
    </row>
    <row r="60" spans="1:21" x14ac:dyDescent="0.3">
      <c r="A60" s="303"/>
      <c r="L60" s="2" t="s">
        <v>225</v>
      </c>
      <c r="M60" s="63">
        <f>M58</f>
        <v>0</v>
      </c>
      <c r="O60" s="63">
        <f>O59</f>
        <v>0</v>
      </c>
    </row>
    <row r="61" spans="1:21" x14ac:dyDescent="0.3">
      <c r="A61" s="303"/>
      <c r="U61" s="2" t="s">
        <v>226</v>
      </c>
    </row>
    <row r="62" spans="1:21" x14ac:dyDescent="0.3">
      <c r="A62" s="303"/>
      <c r="U62" s="2" t="s">
        <v>227</v>
      </c>
    </row>
    <row r="63" spans="1:21" x14ac:dyDescent="0.3">
      <c r="A63" s="303"/>
    </row>
    <row r="64" spans="1:21" x14ac:dyDescent="0.3">
      <c r="A64" s="303"/>
    </row>
    <row r="65" spans="1:24" x14ac:dyDescent="0.3">
      <c r="A65" s="303"/>
    </row>
    <row r="66" spans="1:24" x14ac:dyDescent="0.3">
      <c r="A66" s="303"/>
      <c r="C66" s="2" t="s">
        <v>89</v>
      </c>
      <c r="F66" s="2" t="s">
        <v>167</v>
      </c>
    </row>
    <row r="67" spans="1:24" x14ac:dyDescent="0.3">
      <c r="A67" s="303"/>
      <c r="C67" s="2" t="s">
        <v>91</v>
      </c>
      <c r="F67" s="2" t="s">
        <v>168</v>
      </c>
    </row>
    <row r="68" spans="1:24" x14ac:dyDescent="0.3">
      <c r="A68" s="303"/>
    </row>
    <row r="69" spans="1:24" x14ac:dyDescent="0.3">
      <c r="A69" s="303"/>
    </row>
    <row r="70" spans="1:24" ht="14.5" thickBot="1" x14ac:dyDescent="0.35">
      <c r="A70" s="303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1:24" ht="25.5" customHeight="1" thickTop="1" x14ac:dyDescent="0.35">
      <c r="A71" s="303"/>
      <c r="B71" s="76" t="str">
        <f>"Kování pro výšku korpusu KH "&amp;$C$4&amp;" a šířku korpusu KB "&amp;$C$5&amp;" mm"</f>
        <v>Kování pro výšku korpusu KH  a šířku korpusu KB  mm</v>
      </c>
      <c r="X71" s="103" t="str">
        <f>$B$1</f>
        <v>AVENTOS HK-XS</v>
      </c>
    </row>
    <row r="72" spans="1:24" ht="17.5" x14ac:dyDescent="0.35">
      <c r="A72" s="303"/>
      <c r="B72" s="156" t="s">
        <v>169</v>
      </c>
      <c r="X72" s="103"/>
    </row>
    <row r="73" spans="1:24" x14ac:dyDescent="0.3">
      <c r="A73" s="303"/>
      <c r="B73" s="158" t="s">
        <v>92</v>
      </c>
      <c r="C73" s="140"/>
      <c r="D73" s="140"/>
      <c r="E73" s="140"/>
      <c r="F73" s="140" t="s">
        <v>93</v>
      </c>
      <c r="G73" s="140"/>
      <c r="H73" s="13" t="s">
        <v>94</v>
      </c>
      <c r="I73" s="140"/>
      <c r="J73" s="166" t="s">
        <v>95</v>
      </c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</row>
    <row r="74" spans="1:24" x14ac:dyDescent="0.3">
      <c r="A74" s="303"/>
      <c r="B74" s="2" t="s">
        <v>77</v>
      </c>
      <c r="F74" s="2" t="str">
        <f>IF($M$46&gt;0,$L$46,IF($M$47&gt;0,$L$47,IF($M$48&gt;0,$L$48," ")))</f>
        <v xml:space="preserve"> </v>
      </c>
      <c r="H74" s="63" t="str">
        <f>IF($N$5=1, SUM($M$46:$M$48), " ")</f>
        <v xml:space="preserve"> </v>
      </c>
    </row>
    <row r="75" spans="1:24" x14ac:dyDescent="0.3">
      <c r="A75" s="303"/>
      <c r="B75" s="2" t="s">
        <v>228</v>
      </c>
      <c r="F75" s="2" t="str">
        <f>IF($N$5=1, $L$52, " ")</f>
        <v xml:space="preserve"> </v>
      </c>
      <c r="H75" s="63" t="str">
        <f>IF($N$5=1, $M$52, " ")</f>
        <v xml:space="preserve"> </v>
      </c>
    </row>
    <row r="76" spans="1:24" x14ac:dyDescent="0.3">
      <c r="A76" s="303"/>
      <c r="B76" s="2" t="s">
        <v>191</v>
      </c>
      <c r="F76" s="2" t="str">
        <f>IF($N$5=1, $L$54, " ")</f>
        <v xml:space="preserve"> </v>
      </c>
      <c r="H76" s="63" t="str">
        <f>IF($N$5=1, $M$54, " ")</f>
        <v xml:space="preserve"> </v>
      </c>
    </row>
    <row r="77" spans="1:24" x14ac:dyDescent="0.3">
      <c r="A77" s="303"/>
      <c r="B77" s="2" t="s">
        <v>229</v>
      </c>
      <c r="F77" s="2" t="str">
        <f>IF($N$5=1, $L$58, " ")</f>
        <v xml:space="preserve"> </v>
      </c>
      <c r="H77" s="63" t="str">
        <f>IF($N$5=1, $M$58, " ")</f>
        <v xml:space="preserve"> </v>
      </c>
    </row>
    <row r="78" spans="1:24" x14ac:dyDescent="0.3">
      <c r="A78" s="303"/>
      <c r="B78" s="2" t="s">
        <v>230</v>
      </c>
      <c r="F78" s="2" t="str">
        <f>IF($N$5=1, $L$60, " ")</f>
        <v xml:space="preserve"> </v>
      </c>
      <c r="H78" s="63" t="str">
        <f>IF($N$5=1, $M$60, " ")</f>
        <v xml:space="preserve"> </v>
      </c>
    </row>
    <row r="79" spans="1:24" x14ac:dyDescent="0.3">
      <c r="A79" s="303"/>
    </row>
    <row r="80" spans="1:24" ht="17.5" x14ac:dyDescent="0.35">
      <c r="B80" s="156" t="s">
        <v>172</v>
      </c>
      <c r="X80" s="103"/>
    </row>
    <row r="81" spans="2:24" x14ac:dyDescent="0.3">
      <c r="B81" s="158" t="s">
        <v>92</v>
      </c>
      <c r="C81" s="140"/>
      <c r="D81" s="140"/>
      <c r="E81" s="140"/>
      <c r="F81" s="140" t="s">
        <v>93</v>
      </c>
      <c r="G81" s="140"/>
      <c r="H81" s="13" t="s">
        <v>94</v>
      </c>
      <c r="I81" s="140"/>
      <c r="J81" s="166" t="s">
        <v>95</v>
      </c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</row>
    <row r="82" spans="2:24" x14ac:dyDescent="0.3">
      <c r="B82" s="2" t="s">
        <v>77</v>
      </c>
      <c r="F82" s="2" t="str">
        <f>IF($O$46&gt;0,$N$46,IF($O$47&gt;0,$N$47,IF($O$48&gt;0,$N$48," ")))</f>
        <v xml:space="preserve"> </v>
      </c>
      <c r="H82" s="63" t="str">
        <f>IF($N$6=1, SUM($O$46:$O$48), " ")</f>
        <v xml:space="preserve"> </v>
      </c>
    </row>
    <row r="83" spans="2:24" x14ac:dyDescent="0.3">
      <c r="B83" s="2" t="s">
        <v>228</v>
      </c>
      <c r="F83" s="2" t="str">
        <f>IF($N$6=1, $L$52, " ")</f>
        <v xml:space="preserve"> </v>
      </c>
      <c r="H83" s="63" t="str">
        <f>IF($N$6=1, $O$52, " ")</f>
        <v xml:space="preserve"> </v>
      </c>
    </row>
    <row r="84" spans="2:24" x14ac:dyDescent="0.3">
      <c r="B84" s="2" t="s">
        <v>191</v>
      </c>
      <c r="F84" s="2" t="str">
        <f>IF($N$6=1, $L$54, " ")</f>
        <v xml:space="preserve"> </v>
      </c>
      <c r="H84" s="63" t="str">
        <f>IF($N$6=1, $O$54, " ")</f>
        <v xml:space="preserve"> </v>
      </c>
    </row>
    <row r="85" spans="2:24" x14ac:dyDescent="0.3">
      <c r="B85" s="2" t="s">
        <v>231</v>
      </c>
      <c r="F85" s="2" t="str">
        <f>IF($N$6=1, $L$59, " ")</f>
        <v xml:space="preserve"> </v>
      </c>
      <c r="H85" s="63" t="str">
        <f>IF($N$6=1, $O$59, " ")</f>
        <v xml:space="preserve"> </v>
      </c>
    </row>
    <row r="86" spans="2:24" x14ac:dyDescent="0.3">
      <c r="B86" s="2" t="s">
        <v>230</v>
      </c>
      <c r="F86" s="2" t="str">
        <f>IF($N$6=1, $L$60, " ")</f>
        <v xml:space="preserve"> </v>
      </c>
      <c r="H86" s="63" t="str">
        <f>IF($N$6=1, $O$60, " ")</f>
        <v xml:space="preserve"> </v>
      </c>
    </row>
    <row r="87" spans="2:24" x14ac:dyDescent="0.3">
      <c r="B87" s="2" t="s">
        <v>174</v>
      </c>
      <c r="F87" s="2" t="str">
        <f>IF($N$6=1, $L$56, " ")</f>
        <v xml:space="preserve"> </v>
      </c>
      <c r="H87" s="63" t="str">
        <f>IF($N$6=1, $O$56, " ")</f>
        <v xml:space="preserve"> </v>
      </c>
      <c r="J87" s="2" t="s">
        <v>99</v>
      </c>
    </row>
    <row r="91" spans="2:24" x14ac:dyDescent="0.3">
      <c r="B91" s="2" t="s">
        <v>591</v>
      </c>
    </row>
    <row r="100" spans="29:46" ht="17.5" x14ac:dyDescent="0.35">
      <c r="AC100" s="99" t="s">
        <v>105</v>
      </c>
      <c r="AO100" s="193" t="str">
        <f>X32</f>
        <v>AVENTOS HK-XS</v>
      </c>
    </row>
    <row r="101" spans="29:46" x14ac:dyDescent="0.3">
      <c r="AC101" s="17" t="s">
        <v>23</v>
      </c>
      <c r="AD101" s="17"/>
      <c r="AE101" s="17"/>
      <c r="AF101" s="17"/>
      <c r="AG101" s="17"/>
      <c r="AH101" s="17"/>
      <c r="AJ101" s="2" t="str">
        <f>C12</f>
        <v>Pro výpočet kování</v>
      </c>
    </row>
    <row r="102" spans="29:46" x14ac:dyDescent="0.3">
      <c r="AC102" s="170">
        <f t="shared" ref="AC102:AD108" si="0">C4</f>
        <v>0</v>
      </c>
      <c r="AD102" s="311" t="str">
        <f t="shared" si="0"/>
        <v>KH - Výška korpusu</v>
      </c>
      <c r="AE102" s="312"/>
      <c r="AF102" s="312"/>
      <c r="AG102" s="312"/>
      <c r="AH102" s="313"/>
      <c r="AJ102" s="90">
        <f>C13</f>
        <v>0</v>
      </c>
      <c r="AK102" s="304" t="s">
        <v>37</v>
      </c>
      <c r="AL102" s="304"/>
      <c r="AM102" s="304"/>
      <c r="AN102" s="304"/>
      <c r="AO102" s="304"/>
    </row>
    <row r="103" spans="29:46" x14ac:dyDescent="0.3">
      <c r="AC103" s="170">
        <f t="shared" si="0"/>
        <v>0</v>
      </c>
      <c r="AD103" s="311" t="str">
        <f t="shared" si="0"/>
        <v>KB - Šířka korpusu</v>
      </c>
      <c r="AE103" s="312"/>
      <c r="AF103" s="312"/>
      <c r="AG103" s="312"/>
      <c r="AH103" s="313"/>
      <c r="AJ103" s="90">
        <f>C14</f>
        <v>0</v>
      </c>
      <c r="AK103" s="311" t="s">
        <v>40</v>
      </c>
      <c r="AL103" s="312"/>
      <c r="AM103" s="312"/>
      <c r="AN103" s="312"/>
      <c r="AO103" s="313"/>
    </row>
    <row r="104" spans="29:46" x14ac:dyDescent="0.3">
      <c r="AC104" s="170">
        <f t="shared" si="0"/>
        <v>0</v>
      </c>
      <c r="AD104" s="311" t="str">
        <f t="shared" si="0"/>
        <v>A. Tloušťka dna/půdy</v>
      </c>
      <c r="AE104" s="312"/>
      <c r="AF104" s="312"/>
      <c r="AG104" s="312"/>
      <c r="AH104" s="313"/>
      <c r="AJ104" s="90">
        <f>C15</f>
        <v>0</v>
      </c>
      <c r="AK104" s="311" t="s">
        <v>41</v>
      </c>
      <c r="AL104" s="312"/>
      <c r="AM104" s="312"/>
      <c r="AN104" s="312"/>
      <c r="AO104" s="313"/>
    </row>
    <row r="105" spans="29:46" x14ac:dyDescent="0.3">
      <c r="AC105" s="170">
        <f t="shared" si="0"/>
        <v>0</v>
      </c>
      <c r="AD105" s="311" t="str">
        <f t="shared" si="0"/>
        <v>B. Tloušťka boku vpravo/vlevo</v>
      </c>
      <c r="AE105" s="312"/>
      <c r="AF105" s="312"/>
      <c r="AG105" s="312"/>
      <c r="AH105" s="313"/>
      <c r="AJ105" s="90">
        <f>C16</f>
        <v>0</v>
      </c>
      <c r="AK105" s="311" t="s">
        <v>42</v>
      </c>
      <c r="AL105" s="312"/>
      <c r="AM105" s="312"/>
      <c r="AN105" s="312"/>
      <c r="AO105" s="313"/>
    </row>
    <row r="106" spans="29:46" x14ac:dyDescent="0.3">
      <c r="AC106" s="170">
        <f t="shared" si="0"/>
        <v>0</v>
      </c>
      <c r="AD106" s="311" t="str">
        <f t="shared" si="0"/>
        <v>C. Mezera nahoře ***</v>
      </c>
      <c r="AE106" s="312"/>
      <c r="AF106" s="312"/>
      <c r="AG106" s="312"/>
      <c r="AH106" s="313"/>
    </row>
    <row r="107" spans="29:46" x14ac:dyDescent="0.3">
      <c r="AC107" s="170">
        <f t="shared" si="0"/>
        <v>0</v>
      </c>
      <c r="AD107" s="311" t="str">
        <f t="shared" si="0"/>
        <v>E. Mezera dole</v>
      </c>
      <c r="AE107" s="312"/>
      <c r="AF107" s="312"/>
      <c r="AG107" s="312"/>
      <c r="AH107" s="313"/>
    </row>
    <row r="108" spans="29:46" x14ac:dyDescent="0.3">
      <c r="AC108" s="170">
        <f t="shared" si="0"/>
        <v>0</v>
      </c>
      <c r="AD108" s="311" t="str">
        <f t="shared" si="0"/>
        <v>F. Mezera vpravo/vlevo</v>
      </c>
      <c r="AE108" s="312"/>
      <c r="AF108" s="312"/>
      <c r="AG108" s="312"/>
      <c r="AH108" s="313"/>
    </row>
    <row r="110" spans="29:46" ht="9" customHeight="1" x14ac:dyDescent="0.3"/>
    <row r="111" spans="29:46" ht="16.5" customHeight="1" x14ac:dyDescent="0.35">
      <c r="AC111" s="99" t="s">
        <v>106</v>
      </c>
      <c r="AL111" s="180"/>
      <c r="AM111" s="215" t="str">
        <f>B73</f>
        <v>popis</v>
      </c>
      <c r="AN111" s="215"/>
      <c r="AO111" s="215"/>
      <c r="AP111" s="215" t="str">
        <f>F73</f>
        <v>označení</v>
      </c>
      <c r="AQ111" s="215"/>
      <c r="AR111" s="215" t="str">
        <f>H73</f>
        <v>počet</v>
      </c>
      <c r="AS111" s="215"/>
      <c r="AT111" s="216" t="s">
        <v>107</v>
      </c>
    </row>
    <row r="112" spans="29:46" ht="14.5" x14ac:dyDescent="0.35">
      <c r="AC112" s="305" t="s">
        <v>64</v>
      </c>
      <c r="AD112" s="305"/>
      <c r="AE112" s="305"/>
      <c r="AF112" s="305" t="s">
        <v>140</v>
      </c>
      <c r="AG112" s="305"/>
      <c r="AH112" s="305"/>
      <c r="AL112" s="81"/>
      <c r="AM112" s="2" t="str">
        <f>B74</f>
        <v>Zdvihač</v>
      </c>
      <c r="AP112" s="2" t="str">
        <f>F74</f>
        <v xml:space="preserve"> </v>
      </c>
      <c r="AR112" s="63" t="str">
        <f>H74</f>
        <v xml:space="preserve"> </v>
      </c>
      <c r="AS112" s="47"/>
      <c r="AT112" s="182"/>
    </row>
    <row r="113" spans="29:46" x14ac:dyDescent="0.3">
      <c r="AC113" s="229" t="s">
        <v>66</v>
      </c>
      <c r="AD113" s="229" t="s">
        <v>67</v>
      </c>
      <c r="AE113" s="229" t="s">
        <v>68</v>
      </c>
      <c r="AF113" s="229" t="s">
        <v>141</v>
      </c>
      <c r="AG113" s="229" t="s">
        <v>70</v>
      </c>
      <c r="AH113" s="229" t="s">
        <v>71</v>
      </c>
      <c r="AL113" s="81"/>
      <c r="AM113" s="2" t="str">
        <f t="shared" ref="AM113:AM116" si="1">B75</f>
        <v>Boční čep</v>
      </c>
      <c r="AP113" s="2" t="str">
        <f t="shared" ref="AP113:AP116" si="2">F75</f>
        <v xml:space="preserve"> </v>
      </c>
      <c r="AR113" s="63" t="str">
        <f t="shared" ref="AR113:AR116" si="3">H75</f>
        <v xml:space="preserve"> </v>
      </c>
      <c r="AS113" s="47"/>
      <c r="AT113" s="80"/>
    </row>
    <row r="114" spans="29:46" x14ac:dyDescent="0.3">
      <c r="AC114" s="32">
        <f t="shared" ref="AC114:AH114" si="4">C36</f>
        <v>0</v>
      </c>
      <c r="AD114" s="32">
        <f t="shared" si="4"/>
        <v>0</v>
      </c>
      <c r="AE114" s="32">
        <f t="shared" si="4"/>
        <v>0</v>
      </c>
      <c r="AF114" s="32">
        <f t="shared" si="4"/>
        <v>0</v>
      </c>
      <c r="AG114" s="32">
        <f t="shared" si="4"/>
        <v>0</v>
      </c>
      <c r="AH114" s="32">
        <f t="shared" si="4"/>
        <v>0</v>
      </c>
      <c r="AL114" s="81"/>
      <c r="AM114" s="2" t="str">
        <f t="shared" si="1"/>
        <v>Čelní kování</v>
      </c>
      <c r="AP114" s="2" t="str">
        <f t="shared" si="2"/>
        <v xml:space="preserve"> </v>
      </c>
      <c r="AR114" s="63" t="str">
        <f t="shared" si="3"/>
        <v xml:space="preserve"> </v>
      </c>
      <c r="AS114" s="47"/>
      <c r="AT114" s="80"/>
    </row>
    <row r="115" spans="29:46" x14ac:dyDescent="0.3">
      <c r="AC115" s="2" t="str">
        <f>C37</f>
        <v xml:space="preserve">   * Vzdálenost od horní(!) hrany čela na první otvor čelního kování. </v>
      </c>
      <c r="AL115" s="81"/>
      <c r="AM115" s="2" t="str">
        <f t="shared" si="1"/>
        <v>Závěs CLIP top BLUMOTION</v>
      </c>
      <c r="AP115" s="2" t="str">
        <f t="shared" si="2"/>
        <v xml:space="preserve"> </v>
      </c>
      <c r="AR115" s="63" t="str">
        <f t="shared" si="3"/>
        <v xml:space="preserve"> </v>
      </c>
      <c r="AS115" s="47"/>
      <c r="AT115" s="80"/>
    </row>
    <row r="116" spans="29:46" x14ac:dyDescent="0.3">
      <c r="AC116" s="2" t="str">
        <f>C38</f>
        <v xml:space="preserve">  ** Vzdálenost od spodní hrany korpusu na osu vrtání pro boční čep.</v>
      </c>
      <c r="AL116" s="81"/>
      <c r="AM116" s="2" t="str">
        <f t="shared" si="1"/>
        <v>Montážní podložka křížová</v>
      </c>
      <c r="AP116" s="2" t="str">
        <f t="shared" si="2"/>
        <v xml:space="preserve"> </v>
      </c>
      <c r="AR116" s="63" t="str">
        <f t="shared" si="3"/>
        <v xml:space="preserve"> </v>
      </c>
      <c r="AS116" s="47"/>
      <c r="AT116" s="80"/>
    </row>
    <row r="117" spans="29:46" x14ac:dyDescent="0.3">
      <c r="AC117" s="2" t="str">
        <f>"   "&amp;C41</f>
        <v xml:space="preserve">      Hodnoty platí pro naložené závěsy a nulové montážní podložky</v>
      </c>
      <c r="AL117" s="81"/>
      <c r="AR117" s="63"/>
      <c r="AS117" s="47"/>
      <c r="AT117" s="80"/>
    </row>
    <row r="118" spans="29:46" ht="14.5" x14ac:dyDescent="0.35">
      <c r="AC118" s="2" t="str">
        <f>C28</f>
        <v>*** Mezera nahoře platí pro vrtání misky 5 mm od hrany. Chcete-li mezeru</v>
      </c>
      <c r="AL118" s="81"/>
      <c r="AM118" s="2" t="str">
        <f>B80</f>
        <v>TIP-ON</v>
      </c>
      <c r="AN118" s="98"/>
      <c r="AO118" s="98"/>
      <c r="AP118" s="98"/>
      <c r="AQ118" s="98"/>
      <c r="AR118" s="63"/>
      <c r="AS118" s="186"/>
      <c r="AT118" s="182"/>
    </row>
    <row r="119" spans="29:46" x14ac:dyDescent="0.3">
      <c r="AC119" s="2" t="str">
        <f>C29</f>
        <v xml:space="preserve">      menší nebo větší, přizpůsobte vzdálenost vrtání misky (viz katalog)</v>
      </c>
      <c r="AL119" s="81"/>
      <c r="AM119" s="2" t="str">
        <f>B82</f>
        <v>Zdvihač</v>
      </c>
      <c r="AP119" s="2" t="str">
        <f>F82</f>
        <v xml:space="preserve"> </v>
      </c>
      <c r="AR119" s="63" t="str">
        <f>H82</f>
        <v xml:space="preserve"> </v>
      </c>
      <c r="AT119" s="80"/>
    </row>
    <row r="120" spans="29:46" x14ac:dyDescent="0.3">
      <c r="AC120" s="2" t="e">
        <f>#REF!</f>
        <v>#REF!</v>
      </c>
      <c r="AL120" s="81"/>
      <c r="AM120" s="2" t="str">
        <f t="shared" ref="AM120:AM124" si="5">B83</f>
        <v>Boční čep</v>
      </c>
      <c r="AP120" s="2" t="str">
        <f t="shared" ref="AP120:AP124" si="6">F83</f>
        <v xml:space="preserve"> </v>
      </c>
      <c r="AR120" s="63" t="str">
        <f t="shared" ref="AR120:AR124" si="7">H83</f>
        <v xml:space="preserve"> </v>
      </c>
      <c r="AT120" s="80"/>
    </row>
    <row r="121" spans="29:46" x14ac:dyDescent="0.3">
      <c r="AL121" s="81"/>
      <c r="AM121" s="2" t="str">
        <f t="shared" si="5"/>
        <v>Čelní kování</v>
      </c>
      <c r="AP121" s="2" t="str">
        <f t="shared" si="6"/>
        <v xml:space="preserve"> </v>
      </c>
      <c r="AR121" s="63" t="str">
        <f t="shared" si="7"/>
        <v xml:space="preserve"> </v>
      </c>
      <c r="AT121" s="80"/>
    </row>
    <row r="122" spans="29:46" x14ac:dyDescent="0.3">
      <c r="AL122" s="81"/>
      <c r="AM122" s="2" t="str">
        <f t="shared" si="5"/>
        <v>Závěs CLIP top bez pružiny</v>
      </c>
      <c r="AP122" s="2" t="str">
        <f t="shared" si="6"/>
        <v xml:space="preserve"> </v>
      </c>
      <c r="AR122" s="63" t="str">
        <f t="shared" si="7"/>
        <v xml:space="preserve"> </v>
      </c>
      <c r="AT122" s="80"/>
    </row>
    <row r="123" spans="29:46" x14ac:dyDescent="0.3">
      <c r="AF123" s="180" t="s">
        <v>232</v>
      </c>
      <c r="AG123" s="132"/>
      <c r="AH123" s="132"/>
      <c r="AI123" s="132"/>
      <c r="AJ123" s="132"/>
      <c r="AK123" s="132"/>
      <c r="AL123" s="81"/>
      <c r="AM123" s="2" t="str">
        <f t="shared" si="5"/>
        <v>Montážní podložka křížová</v>
      </c>
      <c r="AP123" s="2" t="str">
        <f t="shared" si="6"/>
        <v xml:space="preserve"> </v>
      </c>
      <c r="AR123" s="63" t="str">
        <f t="shared" si="7"/>
        <v xml:space="preserve"> </v>
      </c>
      <c r="AT123" s="80"/>
    </row>
    <row r="124" spans="29:46" x14ac:dyDescent="0.3">
      <c r="AF124" s="178" t="s">
        <v>176</v>
      </c>
      <c r="AG124" s="140"/>
      <c r="AH124" s="140"/>
      <c r="AI124" s="140"/>
      <c r="AJ124" s="140"/>
      <c r="AK124" s="140"/>
      <c r="AL124" s="178"/>
      <c r="AM124" s="140" t="str">
        <f t="shared" si="5"/>
        <v>Píst TIP-ON</v>
      </c>
      <c r="AN124" s="140"/>
      <c r="AO124" s="140"/>
      <c r="AP124" s="140" t="str">
        <f t="shared" si="6"/>
        <v xml:space="preserve"> </v>
      </c>
      <c r="AQ124" s="140"/>
      <c r="AR124" s="13" t="str">
        <f t="shared" si="7"/>
        <v xml:space="preserve"> </v>
      </c>
      <c r="AS124" s="140" t="str">
        <f>J87</f>
        <v>zvolte barvu</v>
      </c>
      <c r="AT124" s="179"/>
    </row>
    <row r="125" spans="29:46" ht="15.5" x14ac:dyDescent="0.35">
      <c r="AC125" s="184"/>
      <c r="AD125" s="184"/>
    </row>
    <row r="126" spans="29:46" ht="15.5" x14ac:dyDescent="0.35">
      <c r="AE126" s="184" t="s">
        <v>192</v>
      </c>
      <c r="AO126" s="175" t="s">
        <v>82</v>
      </c>
    </row>
    <row r="128" spans="29:46" x14ac:dyDescent="0.3">
      <c r="AN128" s="9" t="s">
        <v>121</v>
      </c>
      <c r="AO128" s="5">
        <f>X13</f>
        <v>0</v>
      </c>
    </row>
    <row r="129" spans="29:44" x14ac:dyDescent="0.3">
      <c r="AC129" s="11">
        <f>C55</f>
        <v>0</v>
      </c>
      <c r="AG129" s="63" t="str">
        <f>C50</f>
        <v>(0)</v>
      </c>
      <c r="AQ129" s="47">
        <f>U49</f>
        <v>0</v>
      </c>
    </row>
    <row r="131" spans="29:44" x14ac:dyDescent="0.3">
      <c r="AN131" s="63">
        <f>W16</f>
        <v>0</v>
      </c>
    </row>
    <row r="133" spans="29:44" x14ac:dyDescent="0.3">
      <c r="AG133" s="48">
        <f>C55</f>
        <v>0</v>
      </c>
      <c r="AN133" s="15">
        <f>W18</f>
        <v>0</v>
      </c>
    </row>
    <row r="136" spans="29:44" x14ac:dyDescent="0.3">
      <c r="AN136" s="15">
        <f>W21</f>
        <v>0</v>
      </c>
    </row>
    <row r="137" spans="29:44" x14ac:dyDescent="0.3">
      <c r="AN137" s="63" t="s">
        <v>43</v>
      </c>
      <c r="AR137" s="47">
        <f>$U$59</f>
        <v>0</v>
      </c>
    </row>
  </sheetData>
  <sheetProtection algorithmName="SHA-512" hashValue="zRt1rs3Bm+iEWa68OjKvIzoIqKWuTtLrWvf96nAKmOf/oN5OocVCA0BTBNyKFpe8ZupsHQR8BLOV3qV+6e7Gyw==" saltValue="E8JfSCoRRljouqg4RVZVSA==" spinCount="100000" sheet="1" objects="1" scenarios="1"/>
  <mergeCells count="31">
    <mergeCell ref="AK102:AO102"/>
    <mergeCell ref="AK103:AO103"/>
    <mergeCell ref="AK104:AO104"/>
    <mergeCell ref="AK105:AO105"/>
    <mergeCell ref="D4:H4"/>
    <mergeCell ref="D6:H6"/>
    <mergeCell ref="A41:A79"/>
    <mergeCell ref="D10:H10"/>
    <mergeCell ref="C34:E34"/>
    <mergeCell ref="F34:H34"/>
    <mergeCell ref="D7:H7"/>
    <mergeCell ref="D8:H8"/>
    <mergeCell ref="D9:H9"/>
    <mergeCell ref="D13:H13"/>
    <mergeCell ref="D14:H14"/>
    <mergeCell ref="D15:H15"/>
    <mergeCell ref="D16:H16"/>
    <mergeCell ref="AC112:AE112"/>
    <mergeCell ref="AF112:AH112"/>
    <mergeCell ref="D5:H5"/>
    <mergeCell ref="AD106:AH106"/>
    <mergeCell ref="AD107:AH107"/>
    <mergeCell ref="AD108:AH108"/>
    <mergeCell ref="AD102:AH102"/>
    <mergeCell ref="AD104:AH104"/>
    <mergeCell ref="AD105:AH105"/>
    <mergeCell ref="O19:P19"/>
    <mergeCell ref="Q19:R19"/>
    <mergeCell ref="O26:P26"/>
    <mergeCell ref="Q26:R26"/>
    <mergeCell ref="AD103:AH103"/>
  </mergeCells>
  <phoneticPr fontId="43" type="noConversion"/>
  <hyperlinks>
    <hyperlink ref="AA1" location="AVS!A1" tooltip="Úvodní strana AVENTOS" display="Úvod AVENTOS" xr:uid="{00000000-0004-0000-0800-000002000000}"/>
  </hyperlinks>
  <pageMargins left="0.43307086614173229" right="0.23622047244094491" top="0.55118110236220474" bottom="0.74803149606299213" header="0.31496062992125984" footer="0.31496062992125984"/>
  <pageSetup paperSize="9" scale="95" orientation="landscape" verticalDpi="599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BEA3D178571C44A8A18A3B7AB6C0AA" ma:contentTypeVersion="14" ma:contentTypeDescription="Ein neues Dokument erstellen." ma:contentTypeScope="" ma:versionID="0c7c8ef06706f453caa48aedbe66567b">
  <xsd:schema xmlns:xsd="http://www.w3.org/2001/XMLSchema" xmlns:xs="http://www.w3.org/2001/XMLSchema" xmlns:p="http://schemas.microsoft.com/office/2006/metadata/properties" xmlns:ns3="70b3a97a-d61a-43a9-a7c6-751716de46dd" xmlns:ns4="da8b9bb0-b29f-4a58-8a1e-51edd261e97c" targetNamespace="http://schemas.microsoft.com/office/2006/metadata/properties" ma:root="true" ma:fieldsID="ab3a282ed6334fcb7ca6c2c997d72355" ns3:_="" ns4:_="">
    <xsd:import namespace="70b3a97a-d61a-43a9-a7c6-751716de46dd"/>
    <xsd:import namespace="da8b9bb0-b29f-4a58-8a1e-51edd261e97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3a97a-d61a-43a9-a7c6-751716de46d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8b9bb0-b29f-4a58-8a1e-51edd261e9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2EB8F3-E280-4008-BEE4-AFBDED16DFD4}">
  <ds:schemaRefs>
    <ds:schemaRef ds:uri="70b3a97a-d61a-43a9-a7c6-751716de46dd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da8b9bb0-b29f-4a58-8a1e-51edd261e97c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797457A-8A06-4093-BDAB-9D726D6C05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b3a97a-d61a-43a9-a7c6-751716de46dd"/>
    <ds:schemaRef ds:uri="da8b9bb0-b29f-4a58-8a1e-51edd261e9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234B9E-BA0C-458E-A237-02D37B2F2D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Uvod</vt:lpstr>
      <vt:lpstr>AVS</vt:lpstr>
      <vt:lpstr>HF</vt:lpstr>
      <vt:lpstr>HF-A</vt:lpstr>
      <vt:lpstr>HS</vt:lpstr>
      <vt:lpstr>HL</vt:lpstr>
      <vt:lpstr>HK</vt:lpstr>
      <vt:lpstr>HK-S</vt:lpstr>
      <vt:lpstr>HK-XS</vt:lpstr>
      <vt:lpstr>HKi</vt:lpstr>
      <vt:lpstr>BOX</vt:lpstr>
      <vt:lpstr>TBX_B</vt:lpstr>
      <vt:lpstr>TBX_T</vt:lpstr>
      <vt:lpstr>MVX</vt:lpstr>
      <vt:lpstr>LBX</vt:lpstr>
      <vt:lpstr>STR</vt:lpstr>
      <vt:lpstr>ST_TBX</vt:lpstr>
      <vt:lpstr>ST_MVX</vt:lpstr>
      <vt:lpstr>ST_LBX</vt:lpstr>
      <vt:lpstr>List</vt:lpstr>
      <vt:lpstr>AVS!Print_Area</vt:lpstr>
      <vt:lpstr>BOX!Print_Area</vt:lpstr>
      <vt:lpstr>HF!Print_Area</vt:lpstr>
      <vt:lpstr>'HF-A'!Print_Area</vt:lpstr>
      <vt:lpstr>HK!Print_Area</vt:lpstr>
      <vt:lpstr>HKi!Print_Area</vt:lpstr>
      <vt:lpstr>'HK-S'!Print_Area</vt:lpstr>
      <vt:lpstr>'HK-XS'!Print_Area</vt:lpstr>
      <vt:lpstr>HL!Print_Area</vt:lpstr>
      <vt:lpstr>HS!Print_Area</vt:lpstr>
      <vt:lpstr>LBX!Print_Area</vt:lpstr>
      <vt:lpstr>MVX!Print_Area</vt:lpstr>
      <vt:lpstr>ST_LBX!Print_Area</vt:lpstr>
      <vt:lpstr>ST_MVX!Print_Area</vt:lpstr>
      <vt:lpstr>ST_TBX!Print_Area</vt:lpstr>
      <vt:lpstr>STR!Print_Area</vt:lpstr>
      <vt:lpstr>TBX_B!Print_Area</vt:lpstr>
      <vt:lpstr>TBX_T!Print_Area</vt:lpstr>
      <vt:lpstr>Uvod!Print_Area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Sajdl;Robert Lejhanec</dc:creator>
  <cp:keywords/>
  <dc:description/>
  <cp:lastModifiedBy>Richard Sajdl</cp:lastModifiedBy>
  <cp:revision/>
  <cp:lastPrinted>2023-06-13T15:05:43Z</cp:lastPrinted>
  <dcterms:created xsi:type="dcterms:W3CDTF">2015-04-13T12:26:07Z</dcterms:created>
  <dcterms:modified xsi:type="dcterms:W3CDTF">2024-03-06T15:45:05Z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0x0101002ABEA3D178571C44A8A18A3B7AB6C0AA</vt:lpwstr>
  </property>
</Properties>
</file>