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drawings/drawing19.xml" ContentType="application/vnd.openxmlformats-officedocument.drawing+xml"/>
  <Override PartName="/xl/comments13.xml" ContentType="application/vnd.openxmlformats-officedocument.spreadsheetml.comments+xml"/>
  <Override PartName="/xl/drawings/drawing20.xml" ContentType="application/vnd.openxmlformats-officedocument.drawing+xml"/>
  <Override PartName="/xl/comments14.xml" ContentType="application/vnd.openxmlformats-officedocument.spreadsheetml.comments+xml"/>
  <Override PartName="/xl/drawings/drawing21.xml" ContentType="application/vnd.openxmlformats-officedocument.drawing+xml"/>
  <Override PartName="/xl/comments15.xml" ContentType="application/vnd.openxmlformats-officedocument.spreadsheetml.comments+xml"/>
  <Override PartName="/xl/drawings/drawing22.xml" ContentType="application/vnd.openxmlformats-officedocument.drawing+xml"/>
  <Override PartName="/xl/comments16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2.xml" ContentType="application/vnd.ms-excel.controlpropertie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Hein\Documents\Customer\Dealer\Demos\"/>
    </mc:Choice>
  </mc:AlternateContent>
  <bookViews>
    <workbookView showHorizontalScroll="0" showVerticalScroll="0" showSheetTabs="0" xWindow="-12" yWindow="-12" windowWidth="12120" windowHeight="8580" tabRatio="796" activeTab="1"/>
  </bookViews>
  <sheets>
    <sheet name="Napoveda" sheetId="20" r:id="rId1"/>
    <sheet name="FORM" sheetId="10" r:id="rId2"/>
    <sheet name="MENU" sheetId="4" r:id="rId3"/>
    <sheet name="MENU-2" sheetId="65" r:id="rId4"/>
    <sheet name="AVT77" sheetId="77" r:id="rId5"/>
    <sheet name="potr-v-R" sheetId="47" r:id="rId6"/>
    <sheet name="potr-ot-R" sheetId="61" r:id="rId7"/>
    <sheet name="AVT101" sheetId="1" r:id="rId8"/>
    <sheet name="AVT139" sheetId="66" r:id="rId9"/>
    <sheet name="AVT187" sheetId="67" r:id="rId10"/>
    <sheet name="AVT251" sheetId="68" r:id="rId11"/>
    <sheet name="AVT187In" sheetId="69" r:id="rId12"/>
    <sheet name="AVT101(vn-A)" sheetId="70" r:id="rId13"/>
    <sheet name="AVT139(vn-A)" sheetId="71" r:id="rId14"/>
    <sheet name="AVT187(vn-A)" sheetId="73" r:id="rId15"/>
    <sheet name="AVT187In(vn-A)" sheetId="76" r:id="rId16"/>
    <sheet name="AVT187(vn-S)" sheetId="74" r:id="rId17"/>
    <sheet name="AVT187In(vn-S)" sheetId="75" r:id="rId18"/>
    <sheet name="AVT-celny-101+187" sheetId="78" r:id="rId19"/>
    <sheet name="AVT-celny-139+187" sheetId="80" r:id="rId20"/>
    <sheet name="AVT-celny-2x187" sheetId="81" r:id="rId21"/>
    <sheet name="AVT-celny-2x187In" sheetId="82" r:id="rId22"/>
    <sheet name="potr-v-DS" sheetId="60" r:id="rId23"/>
    <sheet name="potr-ot-DS" sheetId="64" r:id="rId24"/>
    <sheet name="---" sheetId="39" r:id="rId25"/>
    <sheet name="OT440" sheetId="38" r:id="rId26"/>
    <sheet name="..." sheetId="8" r:id="rId27"/>
    <sheet name="OBJ" sheetId="2" r:id="rId28"/>
    <sheet name="verze" sheetId="3" r:id="rId29"/>
    <sheet name="CENY" sheetId="7" r:id="rId30"/>
  </sheets>
  <definedNames>
    <definedName name="_xlnm._FilterDatabase" localSheetId="27" hidden="1">OBJ!$F$22:$F$447</definedName>
    <definedName name="_xlnm.Print_Area" localSheetId="2">MENU!$A$1:$AS$111</definedName>
    <definedName name="_xlnm.Print_Area" localSheetId="3">'MENU-2'!$A$1:$AS$52</definedName>
    <definedName name="_xlnm.Print_Area" localSheetId="27">OBJ!$A$4:$M$459</definedName>
  </definedNames>
  <calcPr calcId="162913"/>
</workbook>
</file>

<file path=xl/calcChain.xml><?xml version="1.0" encoding="utf-8"?>
<calcChain xmlns="http://schemas.openxmlformats.org/spreadsheetml/2006/main">
  <c r="AI25" i="1" l="1"/>
  <c r="AI25" i="66"/>
  <c r="AI25" i="67"/>
  <c r="AI25" i="68"/>
  <c r="AI25" i="69"/>
  <c r="AI25" i="70"/>
  <c r="AI25" i="71"/>
  <c r="AI25" i="73"/>
  <c r="AI25" i="76"/>
  <c r="AI25" i="74"/>
  <c r="AI25" i="75"/>
  <c r="AI17" i="75"/>
  <c r="AI17" i="74"/>
  <c r="AI17" i="76"/>
  <c r="AI17" i="73"/>
  <c r="AI17" i="71"/>
  <c r="AI17" i="70"/>
  <c r="AI17" i="69"/>
  <c r="AI17" i="68"/>
  <c r="AI17" i="67"/>
  <c r="AI17" i="66"/>
  <c r="B27" i="78"/>
  <c r="B27" i="80"/>
  <c r="B27" i="81"/>
  <c r="B27" i="82"/>
  <c r="B34" i="75"/>
  <c r="B33" i="75"/>
  <c r="B32" i="75"/>
  <c r="B34" i="74"/>
  <c r="B33" i="74"/>
  <c r="B32" i="74"/>
  <c r="B34" i="76"/>
  <c r="B33" i="76"/>
  <c r="B32" i="76"/>
  <c r="B34" i="73"/>
  <c r="B33" i="73"/>
  <c r="B32" i="73"/>
  <c r="B34" i="71"/>
  <c r="B33" i="71"/>
  <c r="B32" i="71"/>
  <c r="B34" i="70"/>
  <c r="B33" i="70"/>
  <c r="B32" i="70"/>
  <c r="B34" i="69"/>
  <c r="B33" i="69"/>
  <c r="B32" i="69"/>
  <c r="B34" i="68"/>
  <c r="B33" i="68"/>
  <c r="B32" i="68"/>
  <c r="B34" i="67"/>
  <c r="B33" i="67"/>
  <c r="B32" i="67"/>
  <c r="B34" i="66"/>
  <c r="B33" i="66"/>
  <c r="B32" i="66"/>
  <c r="B34" i="1"/>
  <c r="B33" i="1"/>
  <c r="B32" i="1"/>
  <c r="AI17" i="1"/>
  <c r="B34" i="77"/>
  <c r="B32" i="77"/>
  <c r="AI25" i="77"/>
  <c r="AI17" i="77"/>
  <c r="E13" i="3"/>
  <c r="Q7" i="2" l="1"/>
  <c r="T7" i="2"/>
  <c r="Y7" i="2"/>
  <c r="Y8" i="2"/>
  <c r="Y9" i="2"/>
  <c r="Y10" i="2"/>
  <c r="N185" i="2"/>
  <c r="N201" i="2"/>
  <c r="N282" i="2"/>
  <c r="N283" i="2"/>
  <c r="N284" i="2"/>
  <c r="N285" i="2"/>
  <c r="N352" i="2"/>
  <c r="BO352" i="2"/>
  <c r="BO353" i="2"/>
  <c r="BO354" i="2"/>
  <c r="BO355" i="2"/>
  <c r="BO356" i="2"/>
  <c r="BO357" i="2"/>
  <c r="BO358" i="2"/>
  <c r="BO359" i="2"/>
  <c r="N359" i="2"/>
  <c r="BO360" i="2"/>
  <c r="N360" i="2"/>
  <c r="BO361" i="2"/>
  <c r="N361" i="2"/>
  <c r="BO362" i="2"/>
  <c r="N362" i="2"/>
  <c r="BO363" i="2"/>
  <c r="N363" i="2"/>
  <c r="BO364" i="2"/>
  <c r="N364" i="2"/>
  <c r="BO365" i="2"/>
  <c r="N365" i="2"/>
  <c r="BO366" i="2"/>
  <c r="N366" i="2"/>
  <c r="BO367" i="2"/>
  <c r="N367" i="2"/>
  <c r="BO368" i="2"/>
  <c r="N368" i="2"/>
  <c r="BO369" i="2"/>
  <c r="N369" i="2"/>
  <c r="BO370" i="2"/>
  <c r="N370" i="2"/>
  <c r="BO371" i="2"/>
  <c r="N371" i="2"/>
  <c r="BO372" i="2"/>
  <c r="N372" i="2"/>
  <c r="BO373" i="2"/>
  <c r="N373" i="2"/>
  <c r="BO374" i="2"/>
  <c r="N374" i="2"/>
  <c r="BO375" i="2"/>
  <c r="N375" i="2"/>
  <c r="BO376" i="2"/>
  <c r="N376" i="2"/>
  <c r="BO377" i="2"/>
  <c r="N377" i="2"/>
  <c r="N378" i="2"/>
  <c r="BO378" i="2"/>
  <c r="BO379" i="2"/>
  <c r="N379" i="2"/>
  <c r="N380" i="2"/>
  <c r="BO380" i="2"/>
  <c r="BO381" i="2"/>
  <c r="N381" i="2"/>
  <c r="BO382" i="2"/>
  <c r="N382" i="2"/>
  <c r="BO383" i="2"/>
  <c r="N383" i="2"/>
  <c r="BO384" i="2"/>
  <c r="N384" i="2"/>
  <c r="BO385" i="2"/>
  <c r="N385" i="2"/>
  <c r="N386" i="2"/>
  <c r="BO386" i="2"/>
  <c r="N387" i="2"/>
  <c r="N388" i="2"/>
  <c r="N389" i="2"/>
  <c r="N390" i="2"/>
  <c r="N391" i="2"/>
  <c r="N392" i="2"/>
  <c r="N393" i="2"/>
  <c r="N394" i="2"/>
  <c r="F394" i="2"/>
  <c r="I394" i="2"/>
  <c r="N395" i="2"/>
  <c r="N396" i="2"/>
  <c r="N397" i="2"/>
  <c r="N398" i="2"/>
  <c r="F398" i="2"/>
  <c r="I398" i="2"/>
  <c r="N399" i="2"/>
  <c r="N400" i="2"/>
  <c r="N401" i="2"/>
  <c r="N402" i="2"/>
  <c r="F402" i="2"/>
  <c r="I402" i="2"/>
  <c r="N403" i="2"/>
  <c r="N404" i="2"/>
  <c r="N405" i="2"/>
  <c r="N406" i="2"/>
  <c r="F406" i="2"/>
  <c r="I406" i="2"/>
  <c r="N407" i="2"/>
  <c r="N408" i="2"/>
  <c r="N409" i="2"/>
  <c r="N410" i="2"/>
  <c r="F410" i="2"/>
  <c r="I410" i="2"/>
  <c r="N411" i="2"/>
  <c r="N412" i="2"/>
  <c r="N413" i="2"/>
  <c r="N414" i="2"/>
  <c r="F414" i="2"/>
  <c r="I414" i="2"/>
  <c r="N415" i="2"/>
  <c r="N416" i="2"/>
  <c r="N417" i="2"/>
  <c r="N418" i="2"/>
  <c r="F418" i="2"/>
  <c r="I418" i="2"/>
  <c r="N419" i="2"/>
  <c r="N420" i="2"/>
  <c r="N421" i="2"/>
  <c r="N422" i="2"/>
  <c r="F422" i="2"/>
  <c r="I422" i="2"/>
  <c r="N423" i="2"/>
  <c r="N424" i="2"/>
  <c r="N425" i="2"/>
  <c r="N426" i="2"/>
  <c r="F426" i="2"/>
  <c r="I426" i="2"/>
  <c r="N427" i="2"/>
  <c r="N428" i="2"/>
  <c r="N429" i="2"/>
  <c r="N430" i="2"/>
  <c r="F430" i="2"/>
  <c r="I430" i="2"/>
  <c r="N431" i="2"/>
  <c r="N432" i="2"/>
  <c r="N433" i="2"/>
  <c r="BA433" i="2"/>
  <c r="BB433" i="2"/>
  <c r="N434" i="2"/>
  <c r="N435" i="2"/>
  <c r="N436" i="2"/>
  <c r="F436" i="2"/>
  <c r="BA436" i="2"/>
  <c r="BB436" i="2"/>
  <c r="N437" i="2"/>
  <c r="N438" i="2"/>
  <c r="N439" i="2"/>
  <c r="N440" i="2"/>
  <c r="N441" i="2"/>
  <c r="N442" i="2"/>
  <c r="N443" i="2"/>
  <c r="N444" i="2"/>
  <c r="N445" i="2"/>
  <c r="N446" i="2"/>
  <c r="N447" i="2"/>
  <c r="BD87" i="81"/>
  <c r="AU88" i="81"/>
  <c r="AU108" i="78"/>
  <c r="BD142" i="74"/>
  <c r="AU143" i="74"/>
  <c r="AU137" i="73"/>
  <c r="BD136" i="70"/>
  <c r="AU137" i="70"/>
  <c r="AU106" i="68"/>
  <c r="BD112" i="66"/>
  <c r="AU113" i="66"/>
  <c r="AU131" i="1"/>
  <c r="B358" i="2"/>
  <c r="B357" i="2"/>
  <c r="BD107" i="78"/>
  <c r="B356" i="2"/>
  <c r="K356" i="2"/>
  <c r="B355" i="2"/>
  <c r="L355" i="2"/>
  <c r="B354" i="2"/>
  <c r="AU127" i="1"/>
  <c r="B353" i="2"/>
  <c r="D353" i="2"/>
  <c r="E357" i="2"/>
  <c r="BD105" i="68"/>
  <c r="BD136" i="73"/>
  <c r="AU84" i="81"/>
  <c r="AU104" i="78"/>
  <c r="AU139" i="74"/>
  <c r="AU133" i="73"/>
  <c r="AU133" i="70"/>
  <c r="AV133" i="70"/>
  <c r="AU102" i="68"/>
  <c r="AU109" i="66"/>
  <c r="BD130" i="1"/>
  <c r="AU117" i="71"/>
  <c r="AW117" i="71"/>
  <c r="AU90" i="80"/>
  <c r="AU129" i="67"/>
  <c r="AU103" i="69"/>
  <c r="AU109" i="76"/>
  <c r="AU115" i="75"/>
  <c r="AU72" i="82"/>
  <c r="E358" i="2"/>
  <c r="K353" i="2"/>
  <c r="C356" i="2"/>
  <c r="K358" i="2"/>
  <c r="AU73" i="77"/>
  <c r="AU128" i="1"/>
  <c r="BD127" i="1"/>
  <c r="BD131" i="1"/>
  <c r="BD73" i="77"/>
  <c r="AU110" i="66"/>
  <c r="BD109" i="66"/>
  <c r="BD113" i="66"/>
  <c r="AU130" i="67"/>
  <c r="BD129" i="67"/>
  <c r="AU103" i="68"/>
  <c r="BD102" i="68"/>
  <c r="BD106" i="68"/>
  <c r="AU104" i="69"/>
  <c r="BD103" i="69"/>
  <c r="AU134" i="70"/>
  <c r="BD133" i="70"/>
  <c r="BD137" i="70"/>
  <c r="AU118" i="71"/>
  <c r="BD117" i="71"/>
  <c r="AU134" i="73"/>
  <c r="BD133" i="73"/>
  <c r="BD137" i="73"/>
  <c r="AU110" i="76"/>
  <c r="BD109" i="76"/>
  <c r="AU140" i="74"/>
  <c r="BD139" i="74"/>
  <c r="BD143" i="74"/>
  <c r="AU116" i="75"/>
  <c r="BD115" i="75"/>
  <c r="AU105" i="78"/>
  <c r="BD104" i="78"/>
  <c r="BD108" i="78"/>
  <c r="AU91" i="80"/>
  <c r="BD90" i="80"/>
  <c r="AU85" i="81"/>
  <c r="BD84" i="81"/>
  <c r="BD88" i="81"/>
  <c r="AU73" i="82"/>
  <c r="BD72" i="82"/>
  <c r="BD72" i="77"/>
  <c r="BD128" i="67"/>
  <c r="BD102" i="69"/>
  <c r="BD116" i="71"/>
  <c r="BD108" i="76"/>
  <c r="BD114" i="75"/>
  <c r="BD89" i="80"/>
  <c r="BD71" i="82"/>
  <c r="C353" i="2"/>
  <c r="L353" i="2"/>
  <c r="AU70" i="77"/>
  <c r="AU74" i="77"/>
  <c r="AU129" i="1"/>
  <c r="BD128" i="1"/>
  <c r="BF128" i="1"/>
  <c r="BD70" i="77"/>
  <c r="BF70" i="77"/>
  <c r="BD74" i="77"/>
  <c r="AU111" i="66"/>
  <c r="BD110" i="66"/>
  <c r="AU127" i="67"/>
  <c r="AU131" i="67"/>
  <c r="BD130" i="67"/>
  <c r="AU104" i="68"/>
  <c r="BD103" i="68"/>
  <c r="AU101" i="69"/>
  <c r="AU105" i="69"/>
  <c r="BD104" i="69"/>
  <c r="AU135" i="70"/>
  <c r="BD134" i="70"/>
  <c r="AU115" i="71"/>
  <c r="AU119" i="71"/>
  <c r="BD118" i="71"/>
  <c r="AU135" i="73"/>
  <c r="BD134" i="73"/>
  <c r="AU107" i="76"/>
  <c r="AU111" i="76"/>
  <c r="BD110" i="76"/>
  <c r="AU141" i="74"/>
  <c r="BD140" i="74"/>
  <c r="AU113" i="75"/>
  <c r="AU117" i="75"/>
  <c r="BD116" i="75"/>
  <c r="AU106" i="78"/>
  <c r="BD105" i="78"/>
  <c r="AU88" i="80"/>
  <c r="AU92" i="80"/>
  <c r="BD91" i="80"/>
  <c r="AU86" i="81"/>
  <c r="BD85" i="81"/>
  <c r="AU70" i="82"/>
  <c r="AU74" i="82"/>
  <c r="BD73" i="82"/>
  <c r="AU72" i="77"/>
  <c r="E353" i="2"/>
  <c r="C355" i="2"/>
  <c r="L356" i="2"/>
  <c r="D358" i="2"/>
  <c r="AU71" i="77"/>
  <c r="AU75" i="77"/>
  <c r="AU130" i="1"/>
  <c r="BD129" i="1"/>
  <c r="BD71" i="77"/>
  <c r="BD75" i="77"/>
  <c r="AU112" i="66"/>
  <c r="BD111" i="66"/>
  <c r="AU128" i="67"/>
  <c r="BD127" i="67"/>
  <c r="BD131" i="67"/>
  <c r="AU105" i="68"/>
  <c r="BD104" i="68"/>
  <c r="AU102" i="69"/>
  <c r="BD101" i="69"/>
  <c r="BD105" i="69"/>
  <c r="AU136" i="70"/>
  <c r="BD135" i="70"/>
  <c r="AU116" i="71"/>
  <c r="BD115" i="71"/>
  <c r="BD119" i="71"/>
  <c r="AU136" i="73"/>
  <c r="BD135" i="73"/>
  <c r="AU108" i="76"/>
  <c r="BD107" i="76"/>
  <c r="BD111" i="76"/>
  <c r="AU142" i="74"/>
  <c r="BD141" i="74"/>
  <c r="AU114" i="75"/>
  <c r="BD113" i="75"/>
  <c r="BD117" i="75"/>
  <c r="AU107" i="78"/>
  <c r="BD106" i="78"/>
  <c r="AU89" i="80"/>
  <c r="BD88" i="80"/>
  <c r="BD92" i="80"/>
  <c r="AU87" i="81"/>
  <c r="BD86" i="81"/>
  <c r="AU71" i="82"/>
  <c r="BD70" i="82"/>
  <c r="BD74" i="82"/>
  <c r="L354" i="2"/>
  <c r="E355" i="2"/>
  <c r="K355" i="2"/>
  <c r="D356" i="2"/>
  <c r="C357" i="2"/>
  <c r="L358" i="2"/>
  <c r="D354" i="2"/>
  <c r="E354" i="2"/>
  <c r="K354" i="2"/>
  <c r="D355" i="2"/>
  <c r="C354" i="2"/>
  <c r="E356" i="2"/>
  <c r="D357" i="2"/>
  <c r="K357" i="2"/>
  <c r="C358" i="2"/>
  <c r="L357" i="2"/>
  <c r="AV70" i="77"/>
  <c r="BE70" i="77"/>
  <c r="AW70" i="77"/>
  <c r="BH74" i="77"/>
  <c r="BH73" i="82"/>
  <c r="AZ75" i="82"/>
  <c r="BB75" i="82"/>
  <c r="AZ76" i="82"/>
  <c r="BB76" i="82"/>
  <c r="AZ77" i="82"/>
  <c r="BB77" i="82"/>
  <c r="AZ78" i="82"/>
  <c r="BB78" i="82"/>
  <c r="BH87" i="81"/>
  <c r="BH91" i="80"/>
  <c r="BH107" i="78"/>
  <c r="B183" i="2"/>
  <c r="E183" i="2"/>
  <c r="B134" i="2"/>
  <c r="B103" i="2"/>
  <c r="D103" i="2"/>
  <c r="B68" i="2"/>
  <c r="D68" i="2"/>
  <c r="E134" i="2"/>
  <c r="C183" i="2"/>
  <c r="K183" i="2"/>
  <c r="K134" i="2"/>
  <c r="D183" i="2"/>
  <c r="L183" i="2"/>
  <c r="D134" i="2"/>
  <c r="L134" i="2"/>
  <c r="C134" i="2"/>
  <c r="E103" i="2"/>
  <c r="K103" i="2"/>
  <c r="C103" i="2"/>
  <c r="L103" i="2"/>
  <c r="K68" i="2"/>
  <c r="C68" i="2"/>
  <c r="L68" i="2"/>
  <c r="E68" i="2"/>
  <c r="BH104" i="69"/>
  <c r="BB107" i="68"/>
  <c r="AZ107" i="68"/>
  <c r="BH105" i="68"/>
  <c r="BH130" i="67"/>
  <c r="BH112" i="66"/>
  <c r="BH130" i="1"/>
  <c r="L587" i="7"/>
  <c r="L586" i="7"/>
  <c r="L585" i="7"/>
  <c r="L584" i="7"/>
  <c r="L583" i="7"/>
  <c r="AY48" i="74"/>
  <c r="BH76" i="74"/>
  <c r="BI76" i="74"/>
  <c r="AI281" i="2"/>
  <c r="BH21" i="75"/>
  <c r="BH25" i="74"/>
  <c r="BH21" i="76"/>
  <c r="BH25" i="73"/>
  <c r="BH21" i="71"/>
  <c r="BH25" i="70"/>
  <c r="BH21" i="69"/>
  <c r="BH22" i="68"/>
  <c r="BH25" i="67"/>
  <c r="BH21" i="66"/>
  <c r="BH25" i="1"/>
  <c r="BH15" i="77"/>
  <c r="BH71" i="77"/>
  <c r="BK71" i="77"/>
  <c r="BF101" i="4"/>
  <c r="BD99" i="4"/>
  <c r="AY4" i="47"/>
  <c r="BD79" i="4"/>
  <c r="AY35" i="80"/>
  <c r="BH59" i="80"/>
  <c r="BH35" i="80"/>
  <c r="AW51" i="80"/>
  <c r="AV51" i="80"/>
  <c r="BH43" i="78"/>
  <c r="BH44" i="78"/>
  <c r="BH105" i="78"/>
  <c r="BI105" i="78"/>
  <c r="AO355" i="2"/>
  <c r="AW60" i="78"/>
  <c r="AV60" i="78"/>
  <c r="AY19" i="82"/>
  <c r="BH29" i="82"/>
  <c r="AY18" i="82"/>
  <c r="BH28" i="82"/>
  <c r="BI28" i="82"/>
  <c r="AU214" i="2"/>
  <c r="AY17" i="82"/>
  <c r="BH27" i="82"/>
  <c r="AY16" i="82"/>
  <c r="BH26" i="82"/>
  <c r="BI26" i="82"/>
  <c r="AU212" i="2"/>
  <c r="AY15" i="82"/>
  <c r="BH25" i="82"/>
  <c r="BI25" i="82"/>
  <c r="AU211" i="2"/>
  <c r="AY14" i="82"/>
  <c r="BH24" i="82"/>
  <c r="BI24" i="82"/>
  <c r="AU210" i="2"/>
  <c r="AY13" i="82"/>
  <c r="BH23" i="82"/>
  <c r="BB82" i="82"/>
  <c r="AZ82" i="82"/>
  <c r="BB81" i="82"/>
  <c r="AZ81" i="82"/>
  <c r="BB80" i="82"/>
  <c r="AZ80" i="82"/>
  <c r="BB79" i="82"/>
  <c r="AZ79" i="82"/>
  <c r="BK82" i="82"/>
  <c r="BI82" i="82"/>
  <c r="BK81" i="82"/>
  <c r="BI81" i="82"/>
  <c r="BK80" i="82"/>
  <c r="BI80" i="82"/>
  <c r="BK79" i="82"/>
  <c r="BI79" i="82"/>
  <c r="BK69" i="82"/>
  <c r="BI69" i="82"/>
  <c r="BK67" i="82"/>
  <c r="BI67" i="82"/>
  <c r="BB69" i="82"/>
  <c r="AZ69" i="82"/>
  <c r="BB68" i="82"/>
  <c r="AZ68" i="82"/>
  <c r="BB67" i="82"/>
  <c r="AZ67" i="82"/>
  <c r="BB66" i="82"/>
  <c r="AZ66" i="82"/>
  <c r="BB65" i="82"/>
  <c r="AZ65" i="82"/>
  <c r="BB64" i="82"/>
  <c r="AZ64" i="82"/>
  <c r="BB63" i="82"/>
  <c r="AZ63" i="82"/>
  <c r="BB62" i="82"/>
  <c r="AZ62" i="82"/>
  <c r="BB61" i="82"/>
  <c r="AZ61" i="82"/>
  <c r="BB60" i="82"/>
  <c r="AZ60" i="82"/>
  <c r="BB59" i="82"/>
  <c r="AZ59" i="82"/>
  <c r="BB58" i="82"/>
  <c r="AZ58" i="82"/>
  <c r="BB57" i="82"/>
  <c r="AZ57" i="82"/>
  <c r="BK54" i="82"/>
  <c r="BI54" i="82"/>
  <c r="BB56" i="82"/>
  <c r="AZ56" i="82"/>
  <c r="BB55" i="82"/>
  <c r="AZ55" i="82"/>
  <c r="BB54" i="82"/>
  <c r="AZ54" i="82"/>
  <c r="BB53" i="82"/>
  <c r="AZ53" i="82"/>
  <c r="BB52" i="82"/>
  <c r="AZ52" i="82"/>
  <c r="BB51" i="82"/>
  <c r="AZ51" i="82"/>
  <c r="BB50" i="82"/>
  <c r="AZ50" i="82"/>
  <c r="BB49" i="82"/>
  <c r="AZ49" i="82"/>
  <c r="BB48" i="82"/>
  <c r="AZ48" i="82"/>
  <c r="BB47" i="82"/>
  <c r="AZ47" i="82"/>
  <c r="BB46" i="82"/>
  <c r="AZ46" i="82"/>
  <c r="BK43" i="82"/>
  <c r="BI43" i="82"/>
  <c r="BB45" i="82"/>
  <c r="AZ45" i="82"/>
  <c r="BB44" i="82"/>
  <c r="AZ44" i="82"/>
  <c r="BB42" i="82"/>
  <c r="AZ42" i="82"/>
  <c r="AW41" i="82"/>
  <c r="AV41" i="82"/>
  <c r="BB40" i="82"/>
  <c r="AZ40" i="82"/>
  <c r="AY39" i="82"/>
  <c r="BH66" i="82"/>
  <c r="AY38" i="82"/>
  <c r="BH64" i="82"/>
  <c r="BI64" i="82"/>
  <c r="AU318" i="2"/>
  <c r="AY37" i="82"/>
  <c r="BH61" i="82"/>
  <c r="AY36" i="82"/>
  <c r="BH59" i="82"/>
  <c r="BI59" i="82"/>
  <c r="AU313" i="2"/>
  <c r="AY35" i="82"/>
  <c r="BH57" i="82"/>
  <c r="AY34" i="82"/>
  <c r="BH55" i="82"/>
  <c r="BI55" i="82"/>
  <c r="AU309" i="2"/>
  <c r="BB33" i="82"/>
  <c r="AZ33" i="82"/>
  <c r="AY32" i="82"/>
  <c r="BH52" i="82"/>
  <c r="AY31" i="82"/>
  <c r="BH51" i="82"/>
  <c r="BI51" i="82"/>
  <c r="AU273" i="2"/>
  <c r="BK30" i="82"/>
  <c r="BI30" i="82"/>
  <c r="AY30" i="82"/>
  <c r="BH48" i="82"/>
  <c r="AY29" i="82"/>
  <c r="BH46" i="82"/>
  <c r="AY28" i="82"/>
  <c r="BH44" i="82"/>
  <c r="BI44" i="82"/>
  <c r="AU266" i="2"/>
  <c r="BB27" i="82"/>
  <c r="AZ27" i="82"/>
  <c r="AY26" i="82"/>
  <c r="BH41" i="82"/>
  <c r="AY25" i="82"/>
  <c r="BH39" i="82"/>
  <c r="BI39" i="82"/>
  <c r="AU256" i="2"/>
  <c r="AY24" i="82"/>
  <c r="BH38" i="82"/>
  <c r="AY23" i="82"/>
  <c r="BH36" i="82"/>
  <c r="AY22" i="82"/>
  <c r="BH33" i="82"/>
  <c r="AY21" i="82"/>
  <c r="BH32" i="82"/>
  <c r="BK22" i="82"/>
  <c r="BI22" i="82"/>
  <c r="BH21" i="82"/>
  <c r="BH20" i="82"/>
  <c r="BB20" i="82"/>
  <c r="AZ20" i="82"/>
  <c r="BK19" i="82"/>
  <c r="BI19" i="82"/>
  <c r="O17" i="82"/>
  <c r="BB12" i="82"/>
  <c r="AZ12" i="82"/>
  <c r="AY11" i="82"/>
  <c r="BH17" i="82"/>
  <c r="BI17" i="82"/>
  <c r="AU181" i="2"/>
  <c r="J13" i="82"/>
  <c r="AY10" i="82"/>
  <c r="BH15" i="82"/>
  <c r="AY9" i="82"/>
  <c r="BH13" i="82"/>
  <c r="F11" i="82"/>
  <c r="AY8" i="82"/>
  <c r="BH11" i="82"/>
  <c r="BI11" i="82"/>
  <c r="AU175" i="2"/>
  <c r="F10" i="82"/>
  <c r="AY7" i="82"/>
  <c r="AY6" i="82"/>
  <c r="BH8" i="82"/>
  <c r="F8" i="82"/>
  <c r="AY5" i="82"/>
  <c r="F7" i="82"/>
  <c r="AP79" i="4"/>
  <c r="AB79" i="4"/>
  <c r="M79" i="4"/>
  <c r="AY13" i="81"/>
  <c r="BH22" i="81"/>
  <c r="AY12" i="81"/>
  <c r="BH20" i="81"/>
  <c r="BI20" i="81"/>
  <c r="AS131" i="2"/>
  <c r="AY11" i="81"/>
  <c r="AY10" i="81"/>
  <c r="BH16" i="81"/>
  <c r="BI16" i="81"/>
  <c r="AS127" i="2"/>
  <c r="AY9" i="81"/>
  <c r="BH13" i="81"/>
  <c r="AY8" i="81"/>
  <c r="BH12" i="81"/>
  <c r="BI12" i="81"/>
  <c r="AS123" i="2"/>
  <c r="AY7" i="81"/>
  <c r="BH10" i="81"/>
  <c r="AY6" i="81"/>
  <c r="BH8" i="81"/>
  <c r="BI8" i="81"/>
  <c r="AS119" i="2"/>
  <c r="AY5" i="81"/>
  <c r="BH5" i="81"/>
  <c r="BB91" i="81"/>
  <c r="AZ91" i="81"/>
  <c r="BB90" i="81"/>
  <c r="AZ90" i="81"/>
  <c r="BK91" i="81"/>
  <c r="BI91" i="81"/>
  <c r="BK90" i="81"/>
  <c r="BI90" i="81"/>
  <c r="BK83" i="81"/>
  <c r="BI83" i="81"/>
  <c r="BK81" i="81"/>
  <c r="BI81" i="81"/>
  <c r="BB83" i="81"/>
  <c r="AZ83" i="81"/>
  <c r="BB82" i="81"/>
  <c r="AZ82" i="81"/>
  <c r="BB81" i="81"/>
  <c r="AZ81" i="81"/>
  <c r="BB80" i="81"/>
  <c r="AZ80" i="81"/>
  <c r="BB79" i="81"/>
  <c r="AZ79" i="81"/>
  <c r="BB78" i="81"/>
  <c r="AZ78" i="81"/>
  <c r="BB77" i="81"/>
  <c r="AZ77" i="81"/>
  <c r="BB76" i="81"/>
  <c r="AZ76" i="81"/>
  <c r="BB75" i="81"/>
  <c r="AZ75" i="81"/>
  <c r="BB74" i="81"/>
  <c r="AZ74" i="81"/>
  <c r="BK64" i="81"/>
  <c r="BI64" i="81"/>
  <c r="BB73" i="81"/>
  <c r="AZ73" i="81"/>
  <c r="BB72" i="81"/>
  <c r="AZ72" i="81"/>
  <c r="BB71" i="81"/>
  <c r="AZ71" i="81"/>
  <c r="BB70" i="81"/>
  <c r="AZ70" i="81"/>
  <c r="BB69" i="81"/>
  <c r="AZ69" i="81"/>
  <c r="BB68" i="81"/>
  <c r="AZ68" i="81"/>
  <c r="BB67" i="81"/>
  <c r="AZ67" i="81"/>
  <c r="BB66" i="81"/>
  <c r="AZ66" i="81"/>
  <c r="BB65" i="81"/>
  <c r="AZ65" i="81"/>
  <c r="BB64" i="81"/>
  <c r="AZ64" i="81"/>
  <c r="BB63" i="81"/>
  <c r="AZ63" i="81"/>
  <c r="BK53" i="81"/>
  <c r="BI53" i="81"/>
  <c r="BB62" i="81"/>
  <c r="AZ62" i="81"/>
  <c r="BB61" i="81"/>
  <c r="AZ61" i="81"/>
  <c r="BB60" i="81"/>
  <c r="AZ60" i="81"/>
  <c r="BB59" i="81"/>
  <c r="AZ59" i="81"/>
  <c r="BB58" i="81"/>
  <c r="AZ58" i="81"/>
  <c r="BB57" i="81"/>
  <c r="AZ57" i="81"/>
  <c r="BB56" i="81"/>
  <c r="AZ56" i="81"/>
  <c r="BB55" i="81"/>
  <c r="AZ55" i="81"/>
  <c r="BB54" i="81"/>
  <c r="AZ54" i="81"/>
  <c r="BB53" i="81"/>
  <c r="AZ53" i="81"/>
  <c r="BB52" i="81"/>
  <c r="AZ52" i="81"/>
  <c r="BB50" i="81"/>
  <c r="AZ50" i="81"/>
  <c r="AW49" i="81"/>
  <c r="AV49" i="81"/>
  <c r="BB48" i="81"/>
  <c r="AZ48" i="81"/>
  <c r="AY47" i="81"/>
  <c r="AY46" i="81"/>
  <c r="BH78" i="81"/>
  <c r="BK36" i="81"/>
  <c r="BI36" i="81"/>
  <c r="AY45" i="81"/>
  <c r="BH76" i="81"/>
  <c r="BH35" i="81"/>
  <c r="AY44" i="81"/>
  <c r="BH34" i="81"/>
  <c r="AY43" i="81"/>
  <c r="BH72" i="81"/>
  <c r="BI72" i="81"/>
  <c r="AS312" i="2"/>
  <c r="BH33" i="81"/>
  <c r="AY42" i="81"/>
  <c r="BH69" i="81"/>
  <c r="BH32" i="81"/>
  <c r="AY41" i="81"/>
  <c r="BH67" i="81"/>
  <c r="BH31" i="81"/>
  <c r="AY40" i="81"/>
  <c r="BH66" i="81"/>
  <c r="BI66" i="81"/>
  <c r="AS306" i="2"/>
  <c r="BH30" i="81"/>
  <c r="BB39" i="81"/>
  <c r="AZ39" i="81"/>
  <c r="BH29" i="81"/>
  <c r="AY38" i="81"/>
  <c r="BH62" i="81"/>
  <c r="BI62" i="81"/>
  <c r="AS274" i="2"/>
  <c r="BH28" i="81"/>
  <c r="BI28" i="81"/>
  <c r="AS72" i="2"/>
  <c r="AY37" i="81"/>
  <c r="BH60" i="81"/>
  <c r="BH27" i="81"/>
  <c r="AY36" i="81"/>
  <c r="BH58" i="81"/>
  <c r="BI58" i="81"/>
  <c r="AS270" i="2"/>
  <c r="BH59" i="81"/>
  <c r="BK26" i="81"/>
  <c r="BI26" i="81"/>
  <c r="AY35" i="81"/>
  <c r="BH57" i="81"/>
  <c r="BH25" i="81"/>
  <c r="AY34" i="81"/>
  <c r="BH54" i="81"/>
  <c r="BH24" i="81"/>
  <c r="BB33" i="81"/>
  <c r="AZ33" i="81"/>
  <c r="BK23" i="81"/>
  <c r="BI23" i="81"/>
  <c r="AY32" i="81"/>
  <c r="BH52" i="81"/>
  <c r="BI52" i="81"/>
  <c r="AS259" i="2"/>
  <c r="AY31" i="81"/>
  <c r="BH49" i="81"/>
  <c r="AY30" i="81"/>
  <c r="BH47" i="81"/>
  <c r="BI47" i="81"/>
  <c r="AS254" i="2"/>
  <c r="AY29" i="81"/>
  <c r="BH45" i="81"/>
  <c r="AY28" i="81"/>
  <c r="BH44" i="81"/>
  <c r="AY27" i="81"/>
  <c r="BH42" i="81"/>
  <c r="AY26" i="81"/>
  <c r="AY25" i="81"/>
  <c r="BH38" i="81"/>
  <c r="BI38" i="81"/>
  <c r="AS245" i="2"/>
  <c r="BB24" i="81"/>
  <c r="AZ24" i="81"/>
  <c r="BB14" i="81"/>
  <c r="AZ14" i="81"/>
  <c r="O17" i="81"/>
  <c r="J13" i="81"/>
  <c r="F11" i="81"/>
  <c r="F10" i="81"/>
  <c r="F8" i="81"/>
  <c r="F7" i="81"/>
  <c r="BK96" i="80"/>
  <c r="BK95" i="80"/>
  <c r="BK94" i="80"/>
  <c r="BK93" i="80"/>
  <c r="BK87" i="80"/>
  <c r="BK85" i="80"/>
  <c r="BI96" i="80"/>
  <c r="BI95" i="80"/>
  <c r="BI94" i="80"/>
  <c r="BI93" i="80"/>
  <c r="BI87" i="80"/>
  <c r="BI85" i="80"/>
  <c r="BB96" i="80"/>
  <c r="AZ96" i="80"/>
  <c r="BB95" i="80"/>
  <c r="AZ95" i="80"/>
  <c r="BB94" i="80"/>
  <c r="AZ94" i="80"/>
  <c r="BB87" i="80"/>
  <c r="AZ87" i="80"/>
  <c r="BB86" i="80"/>
  <c r="AZ86" i="80"/>
  <c r="BB85" i="80"/>
  <c r="AZ85" i="80"/>
  <c r="BB84" i="80"/>
  <c r="AZ84" i="80"/>
  <c r="BB83" i="80"/>
  <c r="AZ83" i="80"/>
  <c r="BB82" i="80"/>
  <c r="AZ82" i="80"/>
  <c r="BB81" i="80"/>
  <c r="AZ81" i="80"/>
  <c r="BB80" i="80"/>
  <c r="AZ80" i="80"/>
  <c r="BB79" i="80"/>
  <c r="AZ79" i="80"/>
  <c r="BB78" i="80"/>
  <c r="AZ78" i="80"/>
  <c r="BB77" i="80"/>
  <c r="AZ77" i="80"/>
  <c r="BB76" i="80"/>
  <c r="AZ76" i="80"/>
  <c r="BK70" i="80"/>
  <c r="BI70" i="80"/>
  <c r="BB75" i="80"/>
  <c r="AZ75" i="80"/>
  <c r="BB74" i="80"/>
  <c r="AZ74" i="80"/>
  <c r="BB73" i="80"/>
  <c r="AZ73" i="80"/>
  <c r="BB72" i="80"/>
  <c r="AZ72" i="80"/>
  <c r="BB71" i="80"/>
  <c r="AZ71" i="80"/>
  <c r="BB70" i="80"/>
  <c r="AZ70" i="80"/>
  <c r="BB69" i="80"/>
  <c r="AZ69" i="80"/>
  <c r="BB68" i="80"/>
  <c r="AZ68" i="80"/>
  <c r="BB67" i="80"/>
  <c r="AZ67" i="80"/>
  <c r="BB66" i="80"/>
  <c r="AZ66" i="80"/>
  <c r="BB65" i="80"/>
  <c r="AZ65" i="80"/>
  <c r="BK61" i="80"/>
  <c r="BI61" i="80"/>
  <c r="BB64" i="80"/>
  <c r="AZ64" i="80"/>
  <c r="BB63" i="80"/>
  <c r="AZ63" i="80"/>
  <c r="BB62" i="80"/>
  <c r="AZ62" i="80"/>
  <c r="BB61" i="80"/>
  <c r="AZ61" i="80"/>
  <c r="BB60" i="80"/>
  <c r="AZ60" i="80"/>
  <c r="BB59" i="80"/>
  <c r="AZ59" i="80"/>
  <c r="BB58" i="80"/>
  <c r="AZ58" i="80"/>
  <c r="BB57" i="80"/>
  <c r="AZ57" i="80"/>
  <c r="BB56" i="80"/>
  <c r="AZ56" i="80"/>
  <c r="BB55" i="80"/>
  <c r="AZ55" i="80"/>
  <c r="BB54" i="80"/>
  <c r="AZ54" i="80"/>
  <c r="BB52" i="80"/>
  <c r="AZ52" i="80"/>
  <c r="AW50" i="80"/>
  <c r="AV50" i="80"/>
  <c r="BB49" i="80"/>
  <c r="AZ49" i="80"/>
  <c r="AY48" i="80"/>
  <c r="BH83" i="80"/>
  <c r="BI83" i="80"/>
  <c r="AQ319" i="2"/>
  <c r="AY47" i="80"/>
  <c r="BH82" i="80"/>
  <c r="BI82" i="80"/>
  <c r="AQ318" i="2"/>
  <c r="BK46" i="80"/>
  <c r="BI46" i="80"/>
  <c r="AY46" i="80"/>
  <c r="BH80" i="80"/>
  <c r="BI80" i="80"/>
  <c r="AQ316" i="2"/>
  <c r="AY45" i="80"/>
  <c r="BH78" i="80"/>
  <c r="BI78" i="80"/>
  <c r="AQ314" i="2"/>
  <c r="BH45" i="80"/>
  <c r="AY44" i="80"/>
  <c r="BH76" i="80"/>
  <c r="BH44" i="80"/>
  <c r="AY43" i="80"/>
  <c r="BH74" i="80"/>
  <c r="BI74" i="80"/>
  <c r="AQ310" i="2"/>
  <c r="BH43" i="80"/>
  <c r="BI43" i="80"/>
  <c r="AQ76" i="2"/>
  <c r="AY42" i="80"/>
  <c r="BH72" i="80"/>
  <c r="BI72" i="80"/>
  <c r="AQ308" i="2"/>
  <c r="BH42" i="80"/>
  <c r="BH41" i="80"/>
  <c r="BI41" i="80"/>
  <c r="AQ74" i="2"/>
  <c r="BB41" i="80"/>
  <c r="AZ41" i="80"/>
  <c r="BH40" i="80"/>
  <c r="BH39" i="80"/>
  <c r="BI39" i="80"/>
  <c r="AQ72" i="2"/>
  <c r="AY40" i="80"/>
  <c r="BH69" i="80"/>
  <c r="AY39" i="80"/>
  <c r="BH66" i="80"/>
  <c r="BK66" i="80"/>
  <c r="BK38" i="80"/>
  <c r="BI38" i="80"/>
  <c r="AY38" i="80"/>
  <c r="BH65" i="80"/>
  <c r="BH37" i="80"/>
  <c r="AY37" i="80"/>
  <c r="BH62" i="80"/>
  <c r="BB36" i="80"/>
  <c r="AZ36" i="80"/>
  <c r="BK34" i="80"/>
  <c r="BI34" i="80"/>
  <c r="AY34" i="80"/>
  <c r="BH58" i="80"/>
  <c r="BI58" i="80"/>
  <c r="AQ257" i="2"/>
  <c r="AY33" i="80"/>
  <c r="BH55" i="80"/>
  <c r="AY32" i="80"/>
  <c r="BH54" i="80"/>
  <c r="AY31" i="80"/>
  <c r="BH52" i="80"/>
  <c r="AY30" i="80"/>
  <c r="BH49" i="80"/>
  <c r="BI49" i="80"/>
  <c r="AQ248" i="2"/>
  <c r="AY29" i="80"/>
  <c r="BH48" i="80"/>
  <c r="BB28" i="80"/>
  <c r="AZ28" i="80"/>
  <c r="BB20" i="80"/>
  <c r="AZ20" i="80"/>
  <c r="BK19" i="80"/>
  <c r="BI19" i="80"/>
  <c r="O17" i="80"/>
  <c r="J13" i="80"/>
  <c r="AY11" i="80"/>
  <c r="BH18" i="80"/>
  <c r="AY10" i="80"/>
  <c r="BH16" i="80"/>
  <c r="F11" i="80"/>
  <c r="AY9" i="80"/>
  <c r="BH14" i="80"/>
  <c r="F10" i="80"/>
  <c r="AY8" i="80"/>
  <c r="AZ8" i="80"/>
  <c r="AP84" i="2"/>
  <c r="AY7" i="80"/>
  <c r="BH10" i="80"/>
  <c r="F8" i="80"/>
  <c r="AY6" i="80"/>
  <c r="BH8" i="80"/>
  <c r="F7" i="80"/>
  <c r="AY5" i="80"/>
  <c r="BH5" i="80"/>
  <c r="BH20" i="80"/>
  <c r="BI20" i="80"/>
  <c r="AQ118" i="2"/>
  <c r="B2" i="80"/>
  <c r="BH55" i="78"/>
  <c r="BH54" i="78"/>
  <c r="BH53" i="78"/>
  <c r="BH52" i="78"/>
  <c r="BH51" i="78"/>
  <c r="BH50" i="78"/>
  <c r="BH49" i="78"/>
  <c r="BH48" i="78"/>
  <c r="BH47" i="78"/>
  <c r="BH45" i="78"/>
  <c r="AY57" i="78"/>
  <c r="BH99" i="78"/>
  <c r="BI99" i="78"/>
  <c r="AO319" i="2"/>
  <c r="AY56" i="78"/>
  <c r="BH98" i="78"/>
  <c r="BI98" i="78"/>
  <c r="AO318" i="2"/>
  <c r="AY55" i="78"/>
  <c r="BH96" i="78"/>
  <c r="BI96" i="78"/>
  <c r="AO316" i="2"/>
  <c r="AY54" i="78"/>
  <c r="BH93" i="78"/>
  <c r="BI93" i="78"/>
  <c r="AO313" i="2"/>
  <c r="AY53" i="78"/>
  <c r="BH91" i="78"/>
  <c r="BI91" i="78"/>
  <c r="AO311" i="2"/>
  <c r="AY52" i="78"/>
  <c r="BH90" i="78"/>
  <c r="AY51" i="78"/>
  <c r="BH87" i="78"/>
  <c r="AY50" i="78"/>
  <c r="BH86" i="78"/>
  <c r="BI86" i="78"/>
  <c r="AO306" i="2"/>
  <c r="AY42" i="78"/>
  <c r="BH72" i="78"/>
  <c r="BI72" i="78"/>
  <c r="AO259" i="2"/>
  <c r="AY41" i="78"/>
  <c r="BH70" i="78"/>
  <c r="BI70" i="78"/>
  <c r="AO257" i="2"/>
  <c r="AY40" i="78"/>
  <c r="BH68" i="78"/>
  <c r="BI68" i="78"/>
  <c r="AO255" i="2"/>
  <c r="AY39" i="78"/>
  <c r="AY38" i="78"/>
  <c r="BH63" i="78"/>
  <c r="BI63" i="78"/>
  <c r="AO250" i="2"/>
  <c r="AY37" i="78"/>
  <c r="BH61" i="78"/>
  <c r="BI61" i="78"/>
  <c r="AO248" i="2"/>
  <c r="AY36" i="78"/>
  <c r="BH60" i="78"/>
  <c r="BI60" i="78"/>
  <c r="AO247" i="2"/>
  <c r="AY35" i="78"/>
  <c r="BH58" i="78"/>
  <c r="BI58" i="78"/>
  <c r="AO245" i="2"/>
  <c r="AY12" i="78"/>
  <c r="AY22" i="78"/>
  <c r="AZ22" i="78"/>
  <c r="AN113" i="2"/>
  <c r="AY11" i="78"/>
  <c r="AY21" i="78"/>
  <c r="AZ21" i="78"/>
  <c r="AN112" i="2"/>
  <c r="AY10" i="78"/>
  <c r="BH16" i="78"/>
  <c r="AY9" i="78"/>
  <c r="BH14" i="78"/>
  <c r="AY8" i="78"/>
  <c r="BH11" i="78"/>
  <c r="AY7" i="78"/>
  <c r="AY17" i="78"/>
  <c r="AZ17" i="78"/>
  <c r="AN108" i="2"/>
  <c r="AY6" i="78"/>
  <c r="BH8" i="78"/>
  <c r="AY5" i="78"/>
  <c r="AY15" i="78"/>
  <c r="AZ15" i="78"/>
  <c r="AN106" i="2"/>
  <c r="BK42" i="78"/>
  <c r="BI42" i="78"/>
  <c r="BK23" i="78"/>
  <c r="BI23" i="78"/>
  <c r="BB117" i="78"/>
  <c r="BB116" i="78"/>
  <c r="BB115" i="78"/>
  <c r="BB114" i="78"/>
  <c r="BB113" i="78"/>
  <c r="BB103" i="78"/>
  <c r="BB102" i="78"/>
  <c r="BB101" i="78"/>
  <c r="BB100" i="78"/>
  <c r="BB99" i="78"/>
  <c r="BB98" i="78"/>
  <c r="BB97" i="78"/>
  <c r="BB96" i="78"/>
  <c r="BB95" i="78"/>
  <c r="BB94" i="78"/>
  <c r="BB93" i="78"/>
  <c r="BB92" i="78"/>
  <c r="BB91" i="78"/>
  <c r="BB90" i="78"/>
  <c r="BB89" i="78"/>
  <c r="BB88" i="78"/>
  <c r="BB87" i="78"/>
  <c r="BB86" i="78"/>
  <c r="BB85" i="78"/>
  <c r="BB84" i="78"/>
  <c r="BB83" i="78"/>
  <c r="BB82" i="78"/>
  <c r="BB81" i="78"/>
  <c r="BB80" i="78"/>
  <c r="BB79" i="78"/>
  <c r="BB78" i="78"/>
  <c r="BB77" i="78"/>
  <c r="BB76" i="78"/>
  <c r="BB75" i="78"/>
  <c r="BB74" i="78"/>
  <c r="BB73" i="78"/>
  <c r="BB72" i="78"/>
  <c r="BB71" i="78"/>
  <c r="BB70" i="78"/>
  <c r="BB69" i="78"/>
  <c r="BB68" i="78"/>
  <c r="BB67" i="78"/>
  <c r="BB66" i="78"/>
  <c r="BB65" i="78"/>
  <c r="BB64" i="78"/>
  <c r="BB63" i="78"/>
  <c r="BB61" i="78"/>
  <c r="BB58" i="78"/>
  <c r="BB49" i="78"/>
  <c r="BB43" i="78"/>
  <c r="BB34" i="78"/>
  <c r="BB24" i="78"/>
  <c r="BB14" i="78"/>
  <c r="AZ117" i="78"/>
  <c r="AZ116" i="78"/>
  <c r="AZ115" i="78"/>
  <c r="AZ114" i="78"/>
  <c r="AZ113" i="78"/>
  <c r="AZ103" i="78"/>
  <c r="AZ102" i="78"/>
  <c r="AZ101" i="78"/>
  <c r="AZ100" i="78"/>
  <c r="AZ99" i="78"/>
  <c r="AZ98" i="78"/>
  <c r="AZ97" i="78"/>
  <c r="AZ96" i="78"/>
  <c r="AZ95" i="78"/>
  <c r="AZ94" i="78"/>
  <c r="AZ93" i="78"/>
  <c r="AZ92" i="78"/>
  <c r="AZ91" i="78"/>
  <c r="AZ90" i="78"/>
  <c r="AZ89" i="78"/>
  <c r="AZ88" i="78"/>
  <c r="AZ87" i="78"/>
  <c r="AZ86" i="78"/>
  <c r="AZ85" i="78"/>
  <c r="AZ84" i="78"/>
  <c r="AZ83" i="78"/>
  <c r="AZ82" i="78"/>
  <c r="AZ81" i="78"/>
  <c r="AZ80" i="78"/>
  <c r="AZ79" i="78"/>
  <c r="AZ78" i="78"/>
  <c r="AZ77" i="78"/>
  <c r="AZ76" i="78"/>
  <c r="AZ75" i="78"/>
  <c r="AZ74" i="78"/>
  <c r="AZ73" i="78"/>
  <c r="AZ72" i="78"/>
  <c r="AZ71" i="78"/>
  <c r="AZ70" i="78"/>
  <c r="AZ69" i="78"/>
  <c r="AZ68" i="78"/>
  <c r="AZ67" i="78"/>
  <c r="AZ66" i="78"/>
  <c r="AZ65" i="78"/>
  <c r="AZ64" i="78"/>
  <c r="AZ63" i="78"/>
  <c r="AZ61" i="78"/>
  <c r="AZ58" i="78"/>
  <c r="AZ49" i="78"/>
  <c r="AZ43" i="78"/>
  <c r="AZ34" i="78"/>
  <c r="AZ24" i="78"/>
  <c r="AZ14" i="78"/>
  <c r="BK117" i="78"/>
  <c r="BI117" i="78"/>
  <c r="BK116" i="78"/>
  <c r="BI116" i="78"/>
  <c r="BK115" i="78"/>
  <c r="BI115" i="78"/>
  <c r="BK114" i="78"/>
  <c r="BI114" i="78"/>
  <c r="BK113" i="78"/>
  <c r="BI113" i="78"/>
  <c r="BK103" i="78"/>
  <c r="BI103" i="78"/>
  <c r="BK101" i="78"/>
  <c r="BI101" i="78"/>
  <c r="AW59" i="78"/>
  <c r="AV59" i="78"/>
  <c r="BK84" i="78"/>
  <c r="BI84" i="78"/>
  <c r="BK73" i="78"/>
  <c r="BI73" i="78"/>
  <c r="AY48" i="78"/>
  <c r="BH82" i="78"/>
  <c r="AY47" i="78"/>
  <c r="BH81" i="78"/>
  <c r="BI81" i="78"/>
  <c r="AO273" i="2"/>
  <c r="AY46" i="78"/>
  <c r="BH78" i="78"/>
  <c r="AY45" i="78"/>
  <c r="BH77" i="78"/>
  <c r="AY44" i="78"/>
  <c r="BH75" i="78"/>
  <c r="BK56" i="78"/>
  <c r="BI56" i="78"/>
  <c r="BK46" i="78"/>
  <c r="BI46" i="78"/>
  <c r="O17" i="78"/>
  <c r="AY13" i="78"/>
  <c r="BH22" i="78"/>
  <c r="J13" i="78"/>
  <c r="F11" i="78"/>
  <c r="F10" i="78"/>
  <c r="F8" i="78"/>
  <c r="F7" i="78"/>
  <c r="B7" i="78"/>
  <c r="AI2" i="78"/>
  <c r="E138" i="3"/>
  <c r="BH20" i="76"/>
  <c r="BH110" i="76"/>
  <c r="BI110" i="76"/>
  <c r="AG357" i="2"/>
  <c r="BH71" i="81"/>
  <c r="BH41" i="81"/>
  <c r="BH73" i="81"/>
  <c r="AZ12" i="80"/>
  <c r="BB12" i="80"/>
  <c r="BI78" i="77"/>
  <c r="BI77" i="77"/>
  <c r="BI76" i="77"/>
  <c r="BI69" i="77"/>
  <c r="BI67" i="77"/>
  <c r="BI65" i="77"/>
  <c r="BI56" i="77"/>
  <c r="BI52" i="77"/>
  <c r="BI43" i="77"/>
  <c r="BI37" i="77"/>
  <c r="BI30" i="77"/>
  <c r="BI21" i="77"/>
  <c r="BI16" i="77"/>
  <c r="BI13" i="77"/>
  <c r="AZ78" i="77"/>
  <c r="AZ77" i="77"/>
  <c r="AZ76" i="77"/>
  <c r="AZ69" i="77"/>
  <c r="AZ68" i="77"/>
  <c r="AZ67" i="77"/>
  <c r="AZ66" i="77"/>
  <c r="AZ65" i="77"/>
  <c r="AZ64" i="77"/>
  <c r="AZ63" i="77"/>
  <c r="AZ62" i="77"/>
  <c r="AZ61" i="77"/>
  <c r="AZ60" i="77"/>
  <c r="AZ59" i="77"/>
  <c r="AZ58" i="77"/>
  <c r="AZ57" i="77"/>
  <c r="AZ56" i="77"/>
  <c r="AZ55" i="77"/>
  <c r="AZ54" i="77"/>
  <c r="AZ53" i="77"/>
  <c r="AZ52" i="77"/>
  <c r="AZ51" i="77"/>
  <c r="AZ50" i="77"/>
  <c r="AZ49" i="77"/>
  <c r="AZ47" i="77"/>
  <c r="AZ45" i="77"/>
  <c r="AZ43" i="77"/>
  <c r="AZ38" i="77"/>
  <c r="AZ34" i="77"/>
  <c r="AZ29" i="77"/>
  <c r="AZ23" i="77"/>
  <c r="AZ19" i="77"/>
  <c r="AZ14" i="77"/>
  <c r="AZ9" i="77"/>
  <c r="BH20" i="77"/>
  <c r="BH19" i="77"/>
  <c r="BH18" i="77"/>
  <c r="BH17" i="77"/>
  <c r="AY8" i="77"/>
  <c r="BH11" i="77"/>
  <c r="AY7" i="77"/>
  <c r="BH10" i="77"/>
  <c r="AY6" i="77"/>
  <c r="BH7" i="77"/>
  <c r="BI7" i="77"/>
  <c r="AM31" i="2"/>
  <c r="N31" i="2"/>
  <c r="F31" i="2"/>
  <c r="I31" i="2"/>
  <c r="AY5" i="77"/>
  <c r="BH5" i="77"/>
  <c r="M68" i="4"/>
  <c r="BK78" i="77"/>
  <c r="BK77" i="77"/>
  <c r="BK76" i="77"/>
  <c r="BB78" i="77"/>
  <c r="BB77" i="77"/>
  <c r="BB76" i="77"/>
  <c r="BK69" i="77"/>
  <c r="BK67" i="77"/>
  <c r="BK65" i="77"/>
  <c r="BK52" i="77"/>
  <c r="BB69" i="77"/>
  <c r="BB68" i="77"/>
  <c r="BB67" i="77"/>
  <c r="BB66" i="77"/>
  <c r="BB65" i="77"/>
  <c r="BB64" i="77"/>
  <c r="BB63" i="77"/>
  <c r="BB62" i="77"/>
  <c r="BB61" i="77"/>
  <c r="BB60" i="77"/>
  <c r="BB59" i="77"/>
  <c r="BK43" i="77"/>
  <c r="BB58" i="77"/>
  <c r="BB57" i="77"/>
  <c r="BB56" i="77"/>
  <c r="BB55" i="77"/>
  <c r="BB54" i="77"/>
  <c r="BB53" i="77"/>
  <c r="BB52" i="77"/>
  <c r="BB51" i="77"/>
  <c r="BB50" i="77"/>
  <c r="BB49" i="77"/>
  <c r="BB47" i="77"/>
  <c r="AW46" i="77"/>
  <c r="AV46" i="77"/>
  <c r="BB45" i="77"/>
  <c r="AY44" i="77"/>
  <c r="BH66" i="77"/>
  <c r="BB43" i="77"/>
  <c r="AY42" i="77"/>
  <c r="BH63" i="77"/>
  <c r="BI63" i="77"/>
  <c r="AM346" i="2"/>
  <c r="AY41" i="77"/>
  <c r="BH62" i="77"/>
  <c r="BK37" i="77"/>
  <c r="AY40" i="77"/>
  <c r="BH60" i="77"/>
  <c r="AY39" i="77"/>
  <c r="BH58" i="77"/>
  <c r="BI58" i="77"/>
  <c r="AM341" i="2"/>
  <c r="BB38" i="77"/>
  <c r="AY37" i="77"/>
  <c r="BH55" i="77"/>
  <c r="BI55" i="77"/>
  <c r="AM324" i="2"/>
  <c r="AY36" i="77"/>
  <c r="BH54" i="77"/>
  <c r="AY35" i="77"/>
  <c r="BH53" i="77"/>
  <c r="BI53" i="77"/>
  <c r="AM322" i="2"/>
  <c r="BB34" i="77"/>
  <c r="BK30" i="77"/>
  <c r="AY33" i="77"/>
  <c r="BH50" i="77"/>
  <c r="BI50" i="77"/>
  <c r="AM317" i="2"/>
  <c r="AY32" i="77"/>
  <c r="BH48" i="77"/>
  <c r="BI48" i="77"/>
  <c r="AM315" i="2"/>
  <c r="AY31" i="77"/>
  <c r="BH47" i="77"/>
  <c r="AY30" i="77"/>
  <c r="BH45" i="77"/>
  <c r="AY28" i="77"/>
  <c r="BH42" i="77"/>
  <c r="BI42" i="77"/>
  <c r="AM281" i="2"/>
  <c r="AY27" i="77"/>
  <c r="AY26" i="77"/>
  <c r="BH40" i="77"/>
  <c r="AY25" i="77"/>
  <c r="BH39" i="77"/>
  <c r="AY24" i="77"/>
  <c r="BH38" i="77"/>
  <c r="BB23" i="77"/>
  <c r="AY22" i="77"/>
  <c r="BH36" i="77"/>
  <c r="AY21" i="77"/>
  <c r="BH34" i="77"/>
  <c r="BI34" i="77"/>
  <c r="AM269" i="2"/>
  <c r="AY20" i="77"/>
  <c r="BH32" i="77"/>
  <c r="AY18" i="77"/>
  <c r="BH29" i="77"/>
  <c r="BI29" i="77"/>
  <c r="AM257" i="2"/>
  <c r="AY17" i="77"/>
  <c r="BH26" i="77"/>
  <c r="BI26" i="77"/>
  <c r="AM254" i="2"/>
  <c r="AY16" i="77"/>
  <c r="BH25" i="77"/>
  <c r="AY15" i="77"/>
  <c r="BH23" i="77"/>
  <c r="BK16" i="77"/>
  <c r="BH14" i="77"/>
  <c r="BK13" i="77"/>
  <c r="O17" i="77"/>
  <c r="J13" i="77"/>
  <c r="F11" i="77"/>
  <c r="F10" i="77"/>
  <c r="F8" i="77"/>
  <c r="F7" i="77"/>
  <c r="AI2" i="77"/>
  <c r="AP39" i="4"/>
  <c r="AR41" i="4"/>
  <c r="BI103" i="76"/>
  <c r="BB86" i="76"/>
  <c r="BB85" i="76"/>
  <c r="AZ95" i="76"/>
  <c r="AZ94" i="76"/>
  <c r="AZ93" i="76"/>
  <c r="AZ92" i="76"/>
  <c r="AZ91" i="76"/>
  <c r="AZ90" i="76"/>
  <c r="AZ89" i="76"/>
  <c r="AU89" i="76"/>
  <c r="AZ88" i="76"/>
  <c r="AZ87" i="76"/>
  <c r="AU87" i="76"/>
  <c r="AZ86" i="76"/>
  <c r="AZ85" i="76"/>
  <c r="AY84" i="76"/>
  <c r="BH104" i="76"/>
  <c r="AI85" i="76"/>
  <c r="AI81" i="76"/>
  <c r="AG85" i="76"/>
  <c r="AG81" i="76"/>
  <c r="AE85" i="76"/>
  <c r="AE80" i="76"/>
  <c r="AC85" i="76"/>
  <c r="AC79" i="76"/>
  <c r="AA85" i="76"/>
  <c r="AA80" i="76"/>
  <c r="Y85" i="76"/>
  <c r="Y80" i="76"/>
  <c r="W85" i="76"/>
  <c r="W81" i="76"/>
  <c r="U85" i="76"/>
  <c r="U79" i="76"/>
  <c r="S85" i="76"/>
  <c r="S81" i="76"/>
  <c r="Q85" i="76"/>
  <c r="Q81" i="76"/>
  <c r="O85" i="76"/>
  <c r="O81" i="76"/>
  <c r="BK115" i="76"/>
  <c r="BI115" i="76"/>
  <c r="BB115" i="76"/>
  <c r="AZ115" i="76"/>
  <c r="BK114" i="76"/>
  <c r="BI114" i="76"/>
  <c r="BB114" i="76"/>
  <c r="AZ114" i="76"/>
  <c r="BK113" i="76"/>
  <c r="BI113" i="76"/>
  <c r="BB113" i="76"/>
  <c r="AZ113" i="76"/>
  <c r="BK112" i="76"/>
  <c r="BI112" i="76"/>
  <c r="BB112" i="76"/>
  <c r="AZ112" i="76"/>
  <c r="BB106" i="76"/>
  <c r="AZ106" i="76"/>
  <c r="BB105" i="76"/>
  <c r="AZ105" i="76"/>
  <c r="BB104" i="76"/>
  <c r="AZ104" i="76"/>
  <c r="BB103" i="76"/>
  <c r="AZ103" i="76"/>
  <c r="BB102" i="76"/>
  <c r="AZ102" i="76"/>
  <c r="BK101" i="76"/>
  <c r="BI101" i="76"/>
  <c r="BB101" i="76"/>
  <c r="AZ101" i="76"/>
  <c r="BK100" i="76"/>
  <c r="BI100" i="76"/>
  <c r="BB100" i="76"/>
  <c r="AZ100" i="76"/>
  <c r="BB99" i="76"/>
  <c r="AZ99" i="76"/>
  <c r="BK98" i="76"/>
  <c r="BI98" i="76"/>
  <c r="BB98" i="76"/>
  <c r="AZ98" i="76"/>
  <c r="BB97" i="76"/>
  <c r="AZ97" i="76"/>
  <c r="AU97" i="76"/>
  <c r="AU98" i="76"/>
  <c r="AU99" i="76"/>
  <c r="BK96" i="76"/>
  <c r="BI96" i="76"/>
  <c r="BB96" i="76"/>
  <c r="AZ96" i="76"/>
  <c r="BB95" i="76"/>
  <c r="BB94" i="76"/>
  <c r="BK83" i="76"/>
  <c r="BI83" i="76"/>
  <c r="BB82" i="76"/>
  <c r="AZ82" i="76"/>
  <c r="BB81" i="76"/>
  <c r="AZ81" i="76"/>
  <c r="BB80" i="76"/>
  <c r="AZ80" i="76"/>
  <c r="BK79" i="76"/>
  <c r="BI79" i="76"/>
  <c r="BB79" i="76"/>
  <c r="AZ79" i="76"/>
  <c r="BB78" i="76"/>
  <c r="AZ78" i="76"/>
  <c r="BB77" i="76"/>
  <c r="AZ77" i="76"/>
  <c r="BB76" i="76"/>
  <c r="AZ76" i="76"/>
  <c r="BB75" i="76"/>
  <c r="AZ75" i="76"/>
  <c r="BB74" i="76"/>
  <c r="AZ74" i="76"/>
  <c r="BB73" i="76"/>
  <c r="AZ73" i="76"/>
  <c r="BB72" i="76"/>
  <c r="AZ72" i="76"/>
  <c r="BB71" i="76"/>
  <c r="AZ71" i="76"/>
  <c r="BB70" i="76"/>
  <c r="AZ70" i="76"/>
  <c r="BB69" i="76"/>
  <c r="AZ69" i="76"/>
  <c r="B69" i="76"/>
  <c r="BB68" i="76"/>
  <c r="AZ68" i="76"/>
  <c r="BB67" i="76"/>
  <c r="AZ67" i="76"/>
  <c r="AI67" i="76"/>
  <c r="BK66" i="76"/>
  <c r="BI66" i="76"/>
  <c r="BB65" i="76"/>
  <c r="AZ65" i="76"/>
  <c r="AW64" i="76"/>
  <c r="AV64" i="76"/>
  <c r="BK63" i="76"/>
  <c r="BI63" i="76"/>
  <c r="BB63" i="76"/>
  <c r="AZ63" i="76"/>
  <c r="AY62" i="76"/>
  <c r="BH97" i="76"/>
  <c r="BI97" i="76"/>
  <c r="AG351" i="2"/>
  <c r="BB61" i="76"/>
  <c r="AZ61" i="76"/>
  <c r="AY60" i="76"/>
  <c r="BH95" i="76"/>
  <c r="BI95" i="76"/>
  <c r="AG349" i="2"/>
  <c r="AY59" i="76"/>
  <c r="BH93" i="76"/>
  <c r="AY58" i="76"/>
  <c r="BH90" i="76"/>
  <c r="BI90" i="76"/>
  <c r="AG344" i="2"/>
  <c r="BK57" i="76"/>
  <c r="BI57" i="76"/>
  <c r="AY57" i="76"/>
  <c r="BH89" i="76"/>
  <c r="BK89" i="76"/>
  <c r="AY56" i="76"/>
  <c r="BH86" i="76"/>
  <c r="BI86" i="76"/>
  <c r="AG340" i="2"/>
  <c r="AY55" i="76"/>
  <c r="BB54" i="76"/>
  <c r="AZ54" i="76"/>
  <c r="AY53" i="76"/>
  <c r="BH82" i="76"/>
  <c r="AY52" i="76"/>
  <c r="BH81" i="76"/>
  <c r="BI81" i="76"/>
  <c r="AG323" i="2"/>
  <c r="AY51" i="76"/>
  <c r="BH80" i="76"/>
  <c r="BB50" i="76"/>
  <c r="AZ50" i="76"/>
  <c r="AY49" i="76"/>
  <c r="BH77" i="76"/>
  <c r="BI77" i="76"/>
  <c r="AG319" i="2"/>
  <c r="AY48" i="76"/>
  <c r="BH75" i="76"/>
  <c r="AY47" i="76"/>
  <c r="BK46" i="76"/>
  <c r="BI46" i="76"/>
  <c r="AY46" i="76"/>
  <c r="BH72" i="76"/>
  <c r="BI72" i="76"/>
  <c r="AG314" i="2"/>
  <c r="AY45" i="76"/>
  <c r="BH70" i="76"/>
  <c r="AY44" i="76"/>
  <c r="BH68" i="76"/>
  <c r="BB43" i="76"/>
  <c r="AZ43" i="76"/>
  <c r="AY42" i="76"/>
  <c r="BH64" i="76"/>
  <c r="BB41" i="76"/>
  <c r="AZ41" i="76"/>
  <c r="AY39" i="76"/>
  <c r="BH61" i="76"/>
  <c r="BI61" i="76"/>
  <c r="AG280" i="2"/>
  <c r="AY38" i="76"/>
  <c r="BH60" i="76"/>
  <c r="AY37" i="76"/>
  <c r="BH59" i="76"/>
  <c r="BI59" i="76"/>
  <c r="AG278" i="2"/>
  <c r="AY36" i="76"/>
  <c r="BH58" i="76"/>
  <c r="BB35" i="76"/>
  <c r="AZ35" i="76"/>
  <c r="AY34" i="76"/>
  <c r="BH55" i="76"/>
  <c r="BK33" i="76"/>
  <c r="BI33" i="76"/>
  <c r="AY33" i="76"/>
  <c r="BH54" i="76"/>
  <c r="AY32" i="76"/>
  <c r="BH52" i="76"/>
  <c r="BI52" i="76"/>
  <c r="AG271" i="2"/>
  <c r="AY31" i="76"/>
  <c r="BK30" i="76"/>
  <c r="BI30" i="76"/>
  <c r="AY30" i="76"/>
  <c r="BH48" i="76"/>
  <c r="BH29" i="76"/>
  <c r="BB29" i="76"/>
  <c r="AZ29" i="76"/>
  <c r="BH28" i="76"/>
  <c r="AY28" i="76"/>
  <c r="BH44" i="76"/>
  <c r="BI44" i="76"/>
  <c r="AG258" i="2"/>
  <c r="BH27" i="76"/>
  <c r="AY27" i="76"/>
  <c r="BH42" i="76"/>
  <c r="BI42" i="76"/>
  <c r="AG256" i="2"/>
  <c r="BH26" i="76"/>
  <c r="AY26" i="76"/>
  <c r="BH40" i="76"/>
  <c r="N26" i="76"/>
  <c r="BH25" i="76"/>
  <c r="AY25" i="76"/>
  <c r="BH38" i="76"/>
  <c r="BH24" i="76"/>
  <c r="BK24" i="76"/>
  <c r="AY24" i="76"/>
  <c r="BH36" i="76"/>
  <c r="BI36" i="76"/>
  <c r="AG250" i="2"/>
  <c r="BH23" i="76"/>
  <c r="AY23" i="76"/>
  <c r="BH35" i="76"/>
  <c r="BK22" i="76"/>
  <c r="BI22" i="76"/>
  <c r="BB22" i="76"/>
  <c r="AZ22" i="76"/>
  <c r="AY21" i="76"/>
  <c r="BH32" i="76"/>
  <c r="BB20" i="76"/>
  <c r="AZ20" i="76"/>
  <c r="BK19" i="76"/>
  <c r="BI19" i="76"/>
  <c r="AY19" i="76"/>
  <c r="AY18" i="76"/>
  <c r="AZ18" i="76"/>
  <c r="AF214" i="2"/>
  <c r="N18" i="76"/>
  <c r="AY17" i="76"/>
  <c r="O17" i="76"/>
  <c r="AY16" i="76"/>
  <c r="AZ16" i="76"/>
  <c r="AF212" i="2"/>
  <c r="AY15" i="76"/>
  <c r="AY14" i="76"/>
  <c r="AY13" i="76"/>
  <c r="J13" i="76"/>
  <c r="BB12" i="76"/>
  <c r="AZ12" i="76"/>
  <c r="AY11" i="76"/>
  <c r="BH17" i="76"/>
  <c r="F11" i="76"/>
  <c r="AY10" i="76"/>
  <c r="BH15" i="76"/>
  <c r="F10" i="76"/>
  <c r="AY9" i="76"/>
  <c r="BH14" i="76"/>
  <c r="BI14" i="76"/>
  <c r="AG178" i="2"/>
  <c r="AY8" i="76"/>
  <c r="BH12" i="76"/>
  <c r="BI12" i="76"/>
  <c r="AG176" i="2"/>
  <c r="F8" i="76"/>
  <c r="AY7" i="76"/>
  <c r="BH9" i="76"/>
  <c r="F7" i="76"/>
  <c r="AY6" i="76"/>
  <c r="BH8" i="76"/>
  <c r="BI8" i="76"/>
  <c r="AG172" i="2"/>
  <c r="AY5" i="76"/>
  <c r="AT13" i="4"/>
  <c r="AF39" i="4"/>
  <c r="C31" i="4"/>
  <c r="E148" i="3"/>
  <c r="AF21" i="4"/>
  <c r="AP57" i="4"/>
  <c r="AR59" i="4"/>
  <c r="AP49" i="4"/>
  <c r="AR51" i="4"/>
  <c r="BK122" i="75"/>
  <c r="BK121" i="75"/>
  <c r="BK120" i="75"/>
  <c r="BK119" i="75"/>
  <c r="BK118" i="75"/>
  <c r="BK101" i="75"/>
  <c r="BK100" i="75"/>
  <c r="BK98" i="75"/>
  <c r="BK96" i="75"/>
  <c r="BK83" i="75"/>
  <c r="BK79" i="75"/>
  <c r="BK66" i="75"/>
  <c r="BK63" i="75"/>
  <c r="BK57" i="75"/>
  <c r="BK46" i="75"/>
  <c r="BK33" i="75"/>
  <c r="BK30" i="75"/>
  <c r="BK22" i="75"/>
  <c r="BK19" i="75"/>
  <c r="BI122" i="75"/>
  <c r="BI121" i="75"/>
  <c r="BI120" i="75"/>
  <c r="BI119" i="75"/>
  <c r="BI118" i="75"/>
  <c r="BI101" i="75"/>
  <c r="BI100" i="75"/>
  <c r="BI98" i="75"/>
  <c r="BI96" i="75"/>
  <c r="BB104" i="75"/>
  <c r="AZ104" i="75"/>
  <c r="BB103" i="75"/>
  <c r="AZ103" i="75"/>
  <c r="BB102" i="75"/>
  <c r="AZ102" i="75"/>
  <c r="BB101" i="75"/>
  <c r="AZ101" i="75"/>
  <c r="BB100" i="75"/>
  <c r="AZ100" i="75"/>
  <c r="BB99" i="75"/>
  <c r="AZ99" i="75"/>
  <c r="BB98" i="75"/>
  <c r="AZ98" i="75"/>
  <c r="BB97" i="75"/>
  <c r="AZ97" i="75"/>
  <c r="AU97" i="75"/>
  <c r="AU98" i="75"/>
  <c r="AU99" i="75"/>
  <c r="BB96" i="75"/>
  <c r="AZ96" i="75"/>
  <c r="BB95" i="75"/>
  <c r="AZ95" i="75"/>
  <c r="AU95" i="75"/>
  <c r="AY83" i="75"/>
  <c r="AY40" i="75"/>
  <c r="BB94" i="75"/>
  <c r="AZ94" i="75"/>
  <c r="AZ93" i="75"/>
  <c r="AY92" i="75"/>
  <c r="BH111" i="75"/>
  <c r="BI111" i="75"/>
  <c r="AK224" i="2"/>
  <c r="AY91" i="75"/>
  <c r="BH110" i="75"/>
  <c r="BI110" i="75"/>
  <c r="AK223" i="2"/>
  <c r="AY90" i="75"/>
  <c r="AY89" i="75"/>
  <c r="BH108" i="75"/>
  <c r="BK108" i="75"/>
  <c r="AY88" i="75"/>
  <c r="BH107" i="75"/>
  <c r="AY87" i="75"/>
  <c r="BH106" i="75"/>
  <c r="AY86" i="75"/>
  <c r="BH105" i="75"/>
  <c r="AY85" i="75"/>
  <c r="BH104" i="75"/>
  <c r="AY84" i="75"/>
  <c r="BH103" i="75"/>
  <c r="AI85" i="75"/>
  <c r="AI80" i="75"/>
  <c r="AG85" i="75"/>
  <c r="AG79" i="75"/>
  <c r="AE85" i="75"/>
  <c r="AE79" i="75"/>
  <c r="AC85" i="75"/>
  <c r="AC80" i="75"/>
  <c r="U85" i="75"/>
  <c r="U80" i="75"/>
  <c r="S85" i="75"/>
  <c r="S80" i="75"/>
  <c r="Q85" i="75"/>
  <c r="Q80" i="75"/>
  <c r="O85" i="75"/>
  <c r="O80" i="75"/>
  <c r="AC82" i="75"/>
  <c r="B69" i="75"/>
  <c r="BK127" i="74"/>
  <c r="BK126" i="74"/>
  <c r="BK124" i="74"/>
  <c r="BK122" i="74"/>
  <c r="BK105" i="74"/>
  <c r="BK101" i="74"/>
  <c r="BK84" i="74"/>
  <c r="BK77" i="74"/>
  <c r="BK71" i="74"/>
  <c r="BK60" i="74"/>
  <c r="BK43" i="74"/>
  <c r="BK36" i="74"/>
  <c r="BK26" i="74"/>
  <c r="BK23" i="74"/>
  <c r="AZ146" i="74"/>
  <c r="AZ137" i="74"/>
  <c r="AZ136" i="74"/>
  <c r="AZ135" i="74"/>
  <c r="AZ134" i="74"/>
  <c r="AZ133" i="74"/>
  <c r="AZ132" i="74"/>
  <c r="AZ131" i="74"/>
  <c r="AZ130" i="74"/>
  <c r="AZ129" i="74"/>
  <c r="AZ128" i="74"/>
  <c r="AZ127" i="74"/>
  <c r="AZ126" i="74"/>
  <c r="AZ125" i="74"/>
  <c r="AZ124" i="74"/>
  <c r="AZ123" i="74"/>
  <c r="AZ122" i="74"/>
  <c r="AZ121" i="74"/>
  <c r="AZ120" i="74"/>
  <c r="AZ119" i="74"/>
  <c r="AZ118" i="74"/>
  <c r="AZ117" i="74"/>
  <c r="AZ116" i="74"/>
  <c r="AZ115" i="74"/>
  <c r="AZ114" i="74"/>
  <c r="AZ113" i="74"/>
  <c r="AZ112" i="74"/>
  <c r="AZ111" i="74"/>
  <c r="AZ110" i="74"/>
  <c r="AZ109" i="74"/>
  <c r="AZ108" i="74"/>
  <c r="AZ107" i="74"/>
  <c r="AZ106" i="74"/>
  <c r="AZ105" i="74"/>
  <c r="AZ104" i="74"/>
  <c r="AZ103" i="74"/>
  <c r="AZ102" i="74"/>
  <c r="AZ101" i="74"/>
  <c r="AZ100" i="74"/>
  <c r="AZ99" i="74"/>
  <c r="AZ98" i="74"/>
  <c r="AZ97" i="74"/>
  <c r="AZ96" i="74"/>
  <c r="AZ95" i="74"/>
  <c r="AZ94" i="74"/>
  <c r="AZ93" i="74"/>
  <c r="AZ82" i="74"/>
  <c r="AZ81" i="74"/>
  <c r="AZ79" i="74"/>
  <c r="AZ77" i="74"/>
  <c r="AZ75" i="74"/>
  <c r="AZ66" i="74"/>
  <c r="AZ62" i="74"/>
  <c r="AZ53" i="74"/>
  <c r="AZ49" i="74"/>
  <c r="AZ43" i="74"/>
  <c r="AZ37" i="74"/>
  <c r="AZ28" i="74"/>
  <c r="AZ24" i="74"/>
  <c r="AZ14" i="74"/>
  <c r="AI85" i="74"/>
  <c r="AI79" i="74"/>
  <c r="AG85" i="74"/>
  <c r="AG79" i="74"/>
  <c r="AE85" i="74"/>
  <c r="AE80" i="74"/>
  <c r="AC85" i="74"/>
  <c r="AC79" i="74"/>
  <c r="U85" i="74"/>
  <c r="U79" i="74"/>
  <c r="S85" i="74"/>
  <c r="S80" i="74"/>
  <c r="Q85" i="74"/>
  <c r="Q79" i="74"/>
  <c r="O85" i="74"/>
  <c r="O79" i="74"/>
  <c r="AY92" i="74"/>
  <c r="BH137" i="74"/>
  <c r="AY91" i="74"/>
  <c r="BH136" i="74"/>
  <c r="AY90" i="74"/>
  <c r="BH135" i="74"/>
  <c r="AY88" i="74"/>
  <c r="BH133" i="74"/>
  <c r="BI133" i="74"/>
  <c r="AI220" i="2"/>
  <c r="AY87" i="74"/>
  <c r="BH132" i="74"/>
  <c r="AY86" i="74"/>
  <c r="BH131" i="74"/>
  <c r="BI131" i="74"/>
  <c r="AI218" i="2"/>
  <c r="AY89" i="74"/>
  <c r="BH134" i="74"/>
  <c r="AY85" i="74"/>
  <c r="BH130" i="74"/>
  <c r="BB128" i="74"/>
  <c r="E165" i="3"/>
  <c r="AC82" i="74"/>
  <c r="E164" i="3"/>
  <c r="O82" i="74"/>
  <c r="AG80" i="74"/>
  <c r="AC80" i="74"/>
  <c r="AK9" i="75"/>
  <c r="BB122" i="75"/>
  <c r="AZ122" i="75"/>
  <c r="BB121" i="75"/>
  <c r="AZ121" i="75"/>
  <c r="BB120" i="75"/>
  <c r="AZ120" i="75"/>
  <c r="BB119" i="75"/>
  <c r="AZ119" i="75"/>
  <c r="BB118" i="75"/>
  <c r="AZ118" i="75"/>
  <c r="BB111" i="75"/>
  <c r="AZ111" i="75"/>
  <c r="BB110" i="75"/>
  <c r="AZ110" i="75"/>
  <c r="BB109" i="75"/>
  <c r="AZ109" i="75"/>
  <c r="BB108" i="75"/>
  <c r="AZ108" i="75"/>
  <c r="BB107" i="75"/>
  <c r="AZ107" i="75"/>
  <c r="BB106" i="75"/>
  <c r="AZ106" i="75"/>
  <c r="BB105" i="75"/>
  <c r="AZ105" i="75"/>
  <c r="BI83" i="75"/>
  <c r="BB82" i="75"/>
  <c r="AZ82" i="75"/>
  <c r="BB81" i="75"/>
  <c r="AZ81" i="75"/>
  <c r="BB80" i="75"/>
  <c r="AZ80" i="75"/>
  <c r="BI79" i="75"/>
  <c r="BB79" i="75"/>
  <c r="AZ79" i="75"/>
  <c r="BB78" i="75"/>
  <c r="AZ78" i="75"/>
  <c r="BB77" i="75"/>
  <c r="AZ77" i="75"/>
  <c r="BB76" i="75"/>
  <c r="AZ76" i="75"/>
  <c r="BB75" i="75"/>
  <c r="AZ75" i="75"/>
  <c r="BB74" i="75"/>
  <c r="AZ74" i="75"/>
  <c r="BB73" i="75"/>
  <c r="AZ73" i="75"/>
  <c r="BB72" i="75"/>
  <c r="AZ72" i="75"/>
  <c r="BB71" i="75"/>
  <c r="AZ71" i="75"/>
  <c r="BB70" i="75"/>
  <c r="AZ70" i="75"/>
  <c r="BB69" i="75"/>
  <c r="AZ69" i="75"/>
  <c r="BB68" i="75"/>
  <c r="AZ68" i="75"/>
  <c r="BB67" i="75"/>
  <c r="AZ67" i="75"/>
  <c r="BI66" i="75"/>
  <c r="BB65" i="75"/>
  <c r="AZ65" i="75"/>
  <c r="AW64" i="75"/>
  <c r="AV64" i="75"/>
  <c r="BI63" i="75"/>
  <c r="BB63" i="75"/>
  <c r="AZ63" i="75"/>
  <c r="AY62" i="75"/>
  <c r="BH97" i="75"/>
  <c r="BB61" i="75"/>
  <c r="AZ61" i="75"/>
  <c r="AY60" i="75"/>
  <c r="BH95" i="75"/>
  <c r="AY59" i="75"/>
  <c r="BH93" i="75"/>
  <c r="AY58" i="75"/>
  <c r="BH91" i="75"/>
  <c r="BI57" i="75"/>
  <c r="AY57" i="75"/>
  <c r="BH88" i="75"/>
  <c r="BI88" i="75"/>
  <c r="AK342" i="2"/>
  <c r="AY56" i="75"/>
  <c r="BH87" i="75"/>
  <c r="BI87" i="75"/>
  <c r="AK341" i="2"/>
  <c r="AY55" i="75"/>
  <c r="BB54" i="75"/>
  <c r="AZ54" i="75"/>
  <c r="AY53" i="75"/>
  <c r="BH82" i="75"/>
  <c r="AY52" i="75"/>
  <c r="BH81" i="75"/>
  <c r="AY51" i="75"/>
  <c r="BH80" i="75"/>
  <c r="BB50" i="75"/>
  <c r="AZ50" i="75"/>
  <c r="AY49" i="75"/>
  <c r="AY48" i="75"/>
  <c r="BH76" i="75"/>
  <c r="AY47" i="75"/>
  <c r="BI46" i="75"/>
  <c r="AY46" i="75"/>
  <c r="BH72" i="75"/>
  <c r="BI72" i="75"/>
  <c r="AK314" i="2"/>
  <c r="AY45" i="75"/>
  <c r="BH70" i="75"/>
  <c r="AY44" i="75"/>
  <c r="BH68" i="75"/>
  <c r="BI68" i="75"/>
  <c r="AK310" i="2"/>
  <c r="BB43" i="75"/>
  <c r="AZ43" i="75"/>
  <c r="AY42" i="75"/>
  <c r="BH65" i="75"/>
  <c r="BI65" i="75"/>
  <c r="AK295" i="2"/>
  <c r="BB41" i="75"/>
  <c r="AZ41" i="75"/>
  <c r="AY39" i="75"/>
  <c r="BH61" i="75"/>
  <c r="BI61" i="75"/>
  <c r="AK280" i="2"/>
  <c r="AY38" i="75"/>
  <c r="BH60" i="75"/>
  <c r="AY37" i="75"/>
  <c r="BH59" i="75"/>
  <c r="BI59" i="75"/>
  <c r="AK278" i="2"/>
  <c r="AY36" i="75"/>
  <c r="BH58" i="75"/>
  <c r="BB35" i="75"/>
  <c r="AZ35" i="75"/>
  <c r="AY34" i="75"/>
  <c r="BI33" i="75"/>
  <c r="AY33" i="75"/>
  <c r="BH54" i="75"/>
  <c r="AY32" i="75"/>
  <c r="BH51" i="75"/>
  <c r="AY31" i="75"/>
  <c r="BH49" i="75"/>
  <c r="BI30" i="75"/>
  <c r="AY30" i="75"/>
  <c r="BH47" i="75"/>
  <c r="BH29" i="75"/>
  <c r="BB29" i="75"/>
  <c r="AZ29" i="75"/>
  <c r="BH28" i="75"/>
  <c r="AY28" i="75"/>
  <c r="BH45" i="75"/>
  <c r="BI45" i="75"/>
  <c r="AK259" i="2"/>
  <c r="BH27" i="75"/>
  <c r="AY27" i="75"/>
  <c r="BH43" i="75"/>
  <c r="BH26" i="75"/>
  <c r="AY26" i="75"/>
  <c r="BH41" i="75"/>
  <c r="BH25" i="75"/>
  <c r="AY25" i="75"/>
  <c r="BH39" i="75"/>
  <c r="BH24" i="75"/>
  <c r="AY24" i="75"/>
  <c r="BH37" i="75"/>
  <c r="BH23" i="75"/>
  <c r="AY23" i="75"/>
  <c r="BH34" i="75"/>
  <c r="BI34" i="75"/>
  <c r="AK248" i="2"/>
  <c r="BI22" i="75"/>
  <c r="BB22" i="75"/>
  <c r="AZ22" i="75"/>
  <c r="AY21" i="75"/>
  <c r="BH32" i="75"/>
  <c r="BI32" i="75"/>
  <c r="AK234" i="2"/>
  <c r="BB20" i="75"/>
  <c r="AZ20" i="75"/>
  <c r="BI19" i="75"/>
  <c r="AY19" i="75"/>
  <c r="AY18" i="75"/>
  <c r="AY17" i="75"/>
  <c r="O17" i="75"/>
  <c r="AY16" i="75"/>
  <c r="AY15" i="75"/>
  <c r="AY14" i="75"/>
  <c r="AY13" i="75"/>
  <c r="J13" i="75"/>
  <c r="BB12" i="75"/>
  <c r="AZ12" i="75"/>
  <c r="AY11" i="75"/>
  <c r="BH17" i="75"/>
  <c r="F11" i="75"/>
  <c r="AY10" i="75"/>
  <c r="BH15" i="75"/>
  <c r="BI15" i="75"/>
  <c r="AK179" i="2"/>
  <c r="F10" i="75"/>
  <c r="AY9" i="75"/>
  <c r="AY8" i="75"/>
  <c r="BH12" i="75"/>
  <c r="BI12" i="75"/>
  <c r="AK176" i="2"/>
  <c r="F8" i="75"/>
  <c r="B8" i="75"/>
  <c r="AY7" i="75"/>
  <c r="F7" i="75"/>
  <c r="B7" i="75"/>
  <c r="AY6" i="75"/>
  <c r="BH8" i="75"/>
  <c r="AY5" i="75"/>
  <c r="BH5" i="75"/>
  <c r="B2" i="75"/>
  <c r="BK146" i="74"/>
  <c r="BI146" i="74"/>
  <c r="BB146" i="74"/>
  <c r="BB137" i="74"/>
  <c r="BB133" i="74"/>
  <c r="BB132" i="74"/>
  <c r="BB131" i="74"/>
  <c r="BB130" i="74"/>
  <c r="BI127" i="74"/>
  <c r="BB129" i="74"/>
  <c r="BI126" i="74"/>
  <c r="BI124" i="74"/>
  <c r="BI122" i="74"/>
  <c r="BB127" i="74"/>
  <c r="BB126" i="74"/>
  <c r="BB125" i="74"/>
  <c r="BB124" i="74"/>
  <c r="BB123" i="74"/>
  <c r="BB122" i="74"/>
  <c r="BB121" i="74"/>
  <c r="BB120" i="74"/>
  <c r="BB119" i="74"/>
  <c r="BB118" i="74"/>
  <c r="BB117" i="74"/>
  <c r="BB116" i="74"/>
  <c r="BB115" i="74"/>
  <c r="BB114" i="74"/>
  <c r="BI105" i="74"/>
  <c r="BB113" i="74"/>
  <c r="BB112" i="74"/>
  <c r="BB111" i="74"/>
  <c r="BB110" i="74"/>
  <c r="BI101" i="74"/>
  <c r="BB109" i="74"/>
  <c r="BB108" i="74"/>
  <c r="BB107" i="74"/>
  <c r="BB106" i="74"/>
  <c r="BB105" i="74"/>
  <c r="BB104" i="74"/>
  <c r="BB103" i="74"/>
  <c r="BB102" i="74"/>
  <c r="BB101" i="74"/>
  <c r="BB100" i="74"/>
  <c r="BB99" i="74"/>
  <c r="BB98" i="74"/>
  <c r="BB97" i="74"/>
  <c r="AU97" i="74"/>
  <c r="BB96" i="74"/>
  <c r="BB95" i="74"/>
  <c r="AU95" i="74"/>
  <c r="AY83" i="74"/>
  <c r="BB94" i="74"/>
  <c r="BI84" i="74"/>
  <c r="AY84" i="74"/>
  <c r="BB82" i="74"/>
  <c r="BB81" i="74"/>
  <c r="BB79" i="74"/>
  <c r="AW78" i="74"/>
  <c r="AV78" i="74"/>
  <c r="BI77" i="74"/>
  <c r="BB77" i="74"/>
  <c r="AY76" i="74"/>
  <c r="BH123" i="74"/>
  <c r="BB75" i="74"/>
  <c r="AY74" i="74"/>
  <c r="BH121" i="74"/>
  <c r="AY73" i="74"/>
  <c r="BH119" i="74"/>
  <c r="BI119" i="74"/>
  <c r="AI347" i="2"/>
  <c r="AY72" i="74"/>
  <c r="BH116" i="74"/>
  <c r="BI71" i="74"/>
  <c r="AY71" i="74"/>
  <c r="BH115" i="74"/>
  <c r="AY70" i="74"/>
  <c r="AY69" i="74"/>
  <c r="BH111" i="74"/>
  <c r="B69" i="74"/>
  <c r="AY68" i="74"/>
  <c r="BH108" i="74"/>
  <c r="AY67" i="74"/>
  <c r="BH107" i="74"/>
  <c r="BB66" i="74"/>
  <c r="AY65" i="74"/>
  <c r="BH104" i="74"/>
  <c r="AY64" i="74"/>
  <c r="BH103" i="74"/>
  <c r="BI103" i="74"/>
  <c r="AI323" i="2"/>
  <c r="AY63" i="74"/>
  <c r="BH102" i="74"/>
  <c r="BB62" i="74"/>
  <c r="AY61" i="74"/>
  <c r="BH100" i="74"/>
  <c r="BI100" i="74"/>
  <c r="AI320" i="2"/>
  <c r="BI60" i="74"/>
  <c r="AY60" i="74"/>
  <c r="AY59" i="74"/>
  <c r="BH96" i="74"/>
  <c r="BI96" i="74"/>
  <c r="AI316" i="2"/>
  <c r="AY58" i="74"/>
  <c r="BH93" i="74"/>
  <c r="BI93" i="74"/>
  <c r="AI313" i="2"/>
  <c r="AY57" i="74"/>
  <c r="BH91" i="74"/>
  <c r="AY56" i="74"/>
  <c r="BH89" i="74"/>
  <c r="BI89" i="74"/>
  <c r="AI309" i="2"/>
  <c r="AY55" i="74"/>
  <c r="BH87" i="74"/>
  <c r="AY54" i="74"/>
  <c r="BH86" i="74"/>
  <c r="BI86" i="74"/>
  <c r="AI306" i="2"/>
  <c r="BB53" i="74"/>
  <c r="AY52" i="74"/>
  <c r="AY51" i="74"/>
  <c r="BH80" i="74"/>
  <c r="BI80" i="74"/>
  <c r="AI292" i="2"/>
  <c r="AY50" i="74"/>
  <c r="BH78" i="74"/>
  <c r="BB49" i="74"/>
  <c r="AY47" i="74"/>
  <c r="BH75" i="74"/>
  <c r="AY46" i="74"/>
  <c r="BH74" i="74"/>
  <c r="AY45" i="74"/>
  <c r="BH73" i="74"/>
  <c r="BI73" i="74"/>
  <c r="AI278" i="2"/>
  <c r="AY44" i="74"/>
  <c r="BH72" i="74"/>
  <c r="BI43" i="74"/>
  <c r="BB43" i="74"/>
  <c r="AY42" i="74"/>
  <c r="BH69" i="74"/>
  <c r="AY41" i="74"/>
  <c r="BH67" i="74"/>
  <c r="BI67" i="74"/>
  <c r="AI272" i="2"/>
  <c r="AY40" i="74"/>
  <c r="BH65" i="74"/>
  <c r="AY39" i="74"/>
  <c r="BH64" i="74"/>
  <c r="AY38" i="74"/>
  <c r="BH62" i="74"/>
  <c r="BB37" i="74"/>
  <c r="BI36" i="74"/>
  <c r="AY36" i="74"/>
  <c r="BH59" i="74"/>
  <c r="BI59" i="74"/>
  <c r="AI259" i="2"/>
  <c r="BH35" i="74"/>
  <c r="AY35" i="74"/>
  <c r="BH34" i="74"/>
  <c r="AY34" i="74"/>
  <c r="BH55" i="74"/>
  <c r="BI55" i="74"/>
  <c r="AI255" i="2"/>
  <c r="BH33" i="74"/>
  <c r="AY33" i="74"/>
  <c r="BH32" i="74"/>
  <c r="AY32" i="74"/>
  <c r="BH51" i="74"/>
  <c r="BH31" i="74"/>
  <c r="AY31" i="74"/>
  <c r="BH49" i="74"/>
  <c r="BH30" i="74"/>
  <c r="AY30" i="74"/>
  <c r="BH47" i="74"/>
  <c r="BH29" i="74"/>
  <c r="AY29" i="74"/>
  <c r="BH28" i="74"/>
  <c r="BB28" i="74"/>
  <c r="BH27" i="74"/>
  <c r="AY27" i="74"/>
  <c r="BH42" i="74"/>
  <c r="BI26" i="74"/>
  <c r="AY26" i="74"/>
  <c r="BH40" i="74"/>
  <c r="BI40" i="74"/>
  <c r="AI232" i="2"/>
  <c r="AY25" i="74"/>
  <c r="BH38" i="74"/>
  <c r="BI38" i="74"/>
  <c r="AI230" i="2"/>
  <c r="BB24" i="74"/>
  <c r="BI23" i="74"/>
  <c r="O17" i="74"/>
  <c r="BB14" i="74"/>
  <c r="AY13" i="74"/>
  <c r="BH21" i="74"/>
  <c r="J13" i="74"/>
  <c r="AY12" i="74"/>
  <c r="BH19" i="74"/>
  <c r="AY11" i="74"/>
  <c r="BH17" i="74"/>
  <c r="F11" i="74"/>
  <c r="AY10" i="74"/>
  <c r="BH15" i="74"/>
  <c r="BI15" i="74"/>
  <c r="AI126" i="2"/>
  <c r="F10" i="74"/>
  <c r="AY9" i="74"/>
  <c r="BH13" i="74"/>
  <c r="BI13" i="74"/>
  <c r="AI124" i="2"/>
  <c r="AK9" i="74"/>
  <c r="AY8" i="74"/>
  <c r="BH11" i="74"/>
  <c r="BI11" i="74"/>
  <c r="AI122" i="2"/>
  <c r="F8" i="74"/>
  <c r="B8" i="74"/>
  <c r="AY7" i="74"/>
  <c r="BH9" i="74"/>
  <c r="F7" i="74"/>
  <c r="B7" i="74"/>
  <c r="AY6" i="74"/>
  <c r="BH8" i="74"/>
  <c r="BI8" i="74"/>
  <c r="AI119" i="2"/>
  <c r="AY5" i="74"/>
  <c r="BH6" i="74"/>
  <c r="Y34" i="71"/>
  <c r="O85" i="71"/>
  <c r="O80" i="71"/>
  <c r="AC85" i="71"/>
  <c r="AC80" i="71"/>
  <c r="AA85" i="71"/>
  <c r="AA81" i="71"/>
  <c r="Y85" i="71"/>
  <c r="Y81" i="71"/>
  <c r="W85" i="71"/>
  <c r="W80" i="71"/>
  <c r="U85" i="71"/>
  <c r="U80" i="71"/>
  <c r="S85" i="71"/>
  <c r="S80" i="71"/>
  <c r="Q85" i="71"/>
  <c r="Q81" i="71"/>
  <c r="AE85" i="71"/>
  <c r="AE80" i="71"/>
  <c r="AP31" i="4"/>
  <c r="AR33" i="4"/>
  <c r="BI129" i="70"/>
  <c r="BI129" i="73"/>
  <c r="AZ94" i="73"/>
  <c r="AZ93" i="73"/>
  <c r="AZ92" i="73"/>
  <c r="AZ91" i="73"/>
  <c r="AZ90" i="73"/>
  <c r="AZ89" i="73"/>
  <c r="AU89" i="73"/>
  <c r="AR87" i="73"/>
  <c r="AZ88" i="73"/>
  <c r="AZ87" i="73"/>
  <c r="AU87" i="73"/>
  <c r="AY83" i="73"/>
  <c r="AY48" i="73"/>
  <c r="BH76" i="73"/>
  <c r="BI76" i="73"/>
  <c r="AE281" i="2"/>
  <c r="AZ86" i="73"/>
  <c r="AZ85" i="73"/>
  <c r="AY84" i="73"/>
  <c r="BH131" i="73"/>
  <c r="AI85" i="73"/>
  <c r="AI80" i="73"/>
  <c r="AG85" i="73"/>
  <c r="AG80" i="73"/>
  <c r="AE85" i="73"/>
  <c r="AE80" i="73"/>
  <c r="AC85" i="73"/>
  <c r="AC81" i="73"/>
  <c r="AA85" i="73"/>
  <c r="AA81" i="73"/>
  <c r="Y85" i="73"/>
  <c r="Y80" i="73"/>
  <c r="W85" i="73"/>
  <c r="W80" i="73"/>
  <c r="U85" i="73"/>
  <c r="U81" i="73"/>
  <c r="S85" i="73"/>
  <c r="S81" i="73"/>
  <c r="Q85" i="73"/>
  <c r="Q80" i="73"/>
  <c r="O85" i="73"/>
  <c r="O80" i="73"/>
  <c r="AE81" i="73"/>
  <c r="B69" i="73"/>
  <c r="BK140" i="73"/>
  <c r="BI140" i="73"/>
  <c r="BK139" i="73"/>
  <c r="BI139" i="73"/>
  <c r="BB140" i="73"/>
  <c r="AZ140" i="73"/>
  <c r="BK132" i="73"/>
  <c r="BI132" i="73"/>
  <c r="BB132" i="73"/>
  <c r="AZ132" i="73"/>
  <c r="BB131" i="73"/>
  <c r="AZ131" i="73"/>
  <c r="BB130" i="73"/>
  <c r="AZ130" i="73"/>
  <c r="BK129" i="73"/>
  <c r="BB129" i="73"/>
  <c r="AZ129" i="73"/>
  <c r="BB128" i="73"/>
  <c r="AZ128" i="73"/>
  <c r="BK127" i="73"/>
  <c r="BI127" i="73"/>
  <c r="BB127" i="73"/>
  <c r="AZ127" i="73"/>
  <c r="BK126" i="73"/>
  <c r="BI126" i="73"/>
  <c r="BB126" i="73"/>
  <c r="AZ126" i="73"/>
  <c r="BB125" i="73"/>
  <c r="AZ125" i="73"/>
  <c r="BK124" i="73"/>
  <c r="BI124" i="73"/>
  <c r="BB124" i="73"/>
  <c r="AZ124" i="73"/>
  <c r="BB123" i="73"/>
  <c r="AZ123" i="73"/>
  <c r="BK122" i="73"/>
  <c r="BI122" i="73"/>
  <c r="BB122" i="73"/>
  <c r="AZ122" i="73"/>
  <c r="BB121" i="73"/>
  <c r="AZ121" i="73"/>
  <c r="BB120" i="73"/>
  <c r="AZ120" i="73"/>
  <c r="BB119" i="73"/>
  <c r="AZ119" i="73"/>
  <c r="BB118" i="73"/>
  <c r="AZ118" i="73"/>
  <c r="BB117" i="73"/>
  <c r="AZ117" i="73"/>
  <c r="BB116" i="73"/>
  <c r="AZ116" i="73"/>
  <c r="BB115" i="73"/>
  <c r="AZ115" i="73"/>
  <c r="BB114" i="73"/>
  <c r="AZ114" i="73"/>
  <c r="BB113" i="73"/>
  <c r="AZ113" i="73"/>
  <c r="BB112" i="73"/>
  <c r="AZ112" i="73"/>
  <c r="BB111" i="73"/>
  <c r="AZ111" i="73"/>
  <c r="BB110" i="73"/>
  <c r="AZ110" i="73"/>
  <c r="BB109" i="73"/>
  <c r="AZ109" i="73"/>
  <c r="BB108" i="73"/>
  <c r="AZ108" i="73"/>
  <c r="BB107" i="73"/>
  <c r="AZ107" i="73"/>
  <c r="BB106" i="73"/>
  <c r="AZ106" i="73"/>
  <c r="BK105" i="73"/>
  <c r="BI105" i="73"/>
  <c r="BB105" i="73"/>
  <c r="AZ105" i="73"/>
  <c r="BB104" i="73"/>
  <c r="AZ104" i="73"/>
  <c r="BB103" i="73"/>
  <c r="AZ103" i="73"/>
  <c r="BB102" i="73"/>
  <c r="AZ102" i="73"/>
  <c r="BK101" i="73"/>
  <c r="BI101" i="73"/>
  <c r="BB101" i="73"/>
  <c r="AZ101" i="73"/>
  <c r="BB100" i="73"/>
  <c r="AZ100" i="73"/>
  <c r="BB99" i="73"/>
  <c r="AZ99" i="73"/>
  <c r="BB98" i="73"/>
  <c r="AZ98" i="73"/>
  <c r="BB97" i="73"/>
  <c r="AZ97" i="73"/>
  <c r="BB96" i="73"/>
  <c r="AZ96" i="73"/>
  <c r="BB95" i="73"/>
  <c r="AZ95" i="73"/>
  <c r="BB94" i="73"/>
  <c r="BB93" i="73"/>
  <c r="BB92" i="73"/>
  <c r="BB91" i="73"/>
  <c r="BB90" i="73"/>
  <c r="BB89" i="73"/>
  <c r="BB88" i="73"/>
  <c r="BB87" i="73"/>
  <c r="BB86" i="73"/>
  <c r="BB85" i="73"/>
  <c r="BK84" i="73"/>
  <c r="BI84" i="73"/>
  <c r="BB82" i="73"/>
  <c r="AZ82" i="73"/>
  <c r="BB81" i="73"/>
  <c r="AZ81" i="73"/>
  <c r="BB79" i="73"/>
  <c r="AZ79" i="73"/>
  <c r="AW78" i="73"/>
  <c r="AV78" i="73"/>
  <c r="BK77" i="73"/>
  <c r="BI77" i="73"/>
  <c r="BB77" i="73"/>
  <c r="AZ77" i="73"/>
  <c r="AY76" i="73"/>
  <c r="BH123" i="73"/>
  <c r="BI123" i="73"/>
  <c r="AE351" i="2"/>
  <c r="BB75" i="73"/>
  <c r="AZ75" i="73"/>
  <c r="AY74" i="73"/>
  <c r="BH120" i="73"/>
  <c r="AY73" i="73"/>
  <c r="BH119" i="73"/>
  <c r="BI119" i="73"/>
  <c r="AE347" i="2"/>
  <c r="AY72" i="73"/>
  <c r="BH117" i="73"/>
  <c r="BK71" i="73"/>
  <c r="BI71" i="73"/>
  <c r="AY71" i="73"/>
  <c r="BH114" i="73"/>
  <c r="AY70" i="73"/>
  <c r="BH113" i="73"/>
  <c r="AY69" i="73"/>
  <c r="BH110" i="73"/>
  <c r="AY68" i="73"/>
  <c r="BH108" i="73"/>
  <c r="BI108" i="73"/>
  <c r="AE336" i="2"/>
  <c r="AY67" i="73"/>
  <c r="BH107" i="73"/>
  <c r="BB66" i="73"/>
  <c r="AZ66" i="73"/>
  <c r="AY65" i="73"/>
  <c r="BH104" i="73"/>
  <c r="AY64" i="73"/>
  <c r="AY63" i="73"/>
  <c r="BB62" i="73"/>
  <c r="AZ62" i="73"/>
  <c r="AY61" i="73"/>
  <c r="BH100" i="73"/>
  <c r="BI100" i="73"/>
  <c r="AE320" i="2"/>
  <c r="BK60" i="73"/>
  <c r="BI60" i="73"/>
  <c r="AY60" i="73"/>
  <c r="BH98" i="73"/>
  <c r="BI98" i="73"/>
  <c r="AE318" i="2"/>
  <c r="AY59" i="73"/>
  <c r="BH95" i="73"/>
  <c r="BI95" i="73"/>
  <c r="AE315" i="2"/>
  <c r="AY58" i="73"/>
  <c r="AY57" i="73"/>
  <c r="BH92" i="73"/>
  <c r="AY56" i="73"/>
  <c r="BH90" i="73"/>
  <c r="AY55" i="73"/>
  <c r="BH87" i="73"/>
  <c r="AY54" i="73"/>
  <c r="BH86" i="73"/>
  <c r="BB53" i="73"/>
  <c r="AZ53" i="73"/>
  <c r="AY52" i="73"/>
  <c r="BH83" i="73"/>
  <c r="AY51" i="73"/>
  <c r="BH81" i="73"/>
  <c r="BI81" i="73"/>
  <c r="AE293" i="2"/>
  <c r="AY50" i="73"/>
  <c r="BH78" i="73"/>
  <c r="BB49" i="73"/>
  <c r="AZ49" i="73"/>
  <c r="AY47" i="73"/>
  <c r="BH75" i="73"/>
  <c r="AY46" i="73"/>
  <c r="BH74" i="73"/>
  <c r="AY45" i="73"/>
  <c r="BH73" i="73"/>
  <c r="AY44" i="73"/>
  <c r="BH72" i="73"/>
  <c r="BK43" i="73"/>
  <c r="BI43" i="73"/>
  <c r="BB43" i="73"/>
  <c r="AZ43" i="73"/>
  <c r="AY42" i="73"/>
  <c r="BH69" i="73"/>
  <c r="AY41" i="73"/>
  <c r="BH68" i="73"/>
  <c r="AY40" i="73"/>
  <c r="BH65" i="73"/>
  <c r="AY39" i="73"/>
  <c r="BH64" i="73"/>
  <c r="AY38" i="73"/>
  <c r="BH61" i="73"/>
  <c r="BB37" i="73"/>
  <c r="AZ37" i="73"/>
  <c r="BK36" i="73"/>
  <c r="BI36" i="73"/>
  <c r="AY36" i="73"/>
  <c r="BH59" i="73"/>
  <c r="BH35" i="73"/>
  <c r="AY35" i="73"/>
  <c r="BH57" i="73"/>
  <c r="BI57" i="73"/>
  <c r="AE257" i="2"/>
  <c r="BH34" i="73"/>
  <c r="AY34" i="73"/>
  <c r="BH54" i="73"/>
  <c r="BH33" i="73"/>
  <c r="AY33" i="73"/>
  <c r="BH32" i="73"/>
  <c r="AY32" i="73"/>
  <c r="BH51" i="73"/>
  <c r="BI51" i="73"/>
  <c r="AE251" i="2"/>
  <c r="BH31" i="73"/>
  <c r="AY31" i="73"/>
  <c r="BH49" i="73"/>
  <c r="BH30" i="73"/>
  <c r="AY30" i="73"/>
  <c r="BH47" i="73"/>
  <c r="BI47" i="73"/>
  <c r="AE247" i="2"/>
  <c r="BH29" i="73"/>
  <c r="AY29" i="73"/>
  <c r="BH45" i="73"/>
  <c r="BI45" i="73"/>
  <c r="AE245" i="2"/>
  <c r="BH28" i="73"/>
  <c r="BB28" i="73"/>
  <c r="AZ28" i="73"/>
  <c r="BH27" i="73"/>
  <c r="BI27" i="73"/>
  <c r="AE71" i="2"/>
  <c r="AY27" i="73"/>
  <c r="BH41" i="73"/>
  <c r="BI41" i="73"/>
  <c r="AE233" i="2"/>
  <c r="BK26" i="73"/>
  <c r="BI26" i="73"/>
  <c r="AY26" i="73"/>
  <c r="BH40" i="73"/>
  <c r="BI40" i="73"/>
  <c r="AE232" i="2"/>
  <c r="AY25" i="73"/>
  <c r="BH38" i="73"/>
  <c r="BI38" i="73"/>
  <c r="AE230" i="2"/>
  <c r="BH24" i="73"/>
  <c r="BB24" i="73"/>
  <c r="AZ24" i="73"/>
  <c r="BK23" i="73"/>
  <c r="BI23" i="73"/>
  <c r="O17" i="73"/>
  <c r="BB14" i="73"/>
  <c r="AZ14" i="73"/>
  <c r="AY13" i="73"/>
  <c r="BH21" i="73"/>
  <c r="BI21" i="73"/>
  <c r="AE132" i="2"/>
  <c r="J13" i="73"/>
  <c r="AY12" i="73"/>
  <c r="BH19" i="73"/>
  <c r="BI19" i="73"/>
  <c r="AE130" i="2"/>
  <c r="AY11" i="73"/>
  <c r="BH17" i="73"/>
  <c r="BI17" i="73"/>
  <c r="AE128" i="2"/>
  <c r="F11" i="73"/>
  <c r="AY10" i="73"/>
  <c r="BH16" i="73"/>
  <c r="BI16" i="73"/>
  <c r="AE127" i="2"/>
  <c r="F10" i="73"/>
  <c r="AY9" i="73"/>
  <c r="BH14" i="73"/>
  <c r="AY8" i="73"/>
  <c r="BH12" i="73"/>
  <c r="BI12" i="73"/>
  <c r="AE123" i="2"/>
  <c r="F8" i="73"/>
  <c r="AY7" i="73"/>
  <c r="BH10" i="73"/>
  <c r="F7" i="73"/>
  <c r="AY6" i="73"/>
  <c r="BH8" i="73"/>
  <c r="BI8" i="73"/>
  <c r="AE119" i="2"/>
  <c r="AY5" i="73"/>
  <c r="BH5" i="73"/>
  <c r="AY84" i="71"/>
  <c r="BH113" i="71"/>
  <c r="BI113" i="71"/>
  <c r="AC198" i="2"/>
  <c r="N198" i="2"/>
  <c r="F198" i="2"/>
  <c r="I198" i="2"/>
  <c r="AZ93" i="71"/>
  <c r="AZ92" i="71"/>
  <c r="AZ91" i="71"/>
  <c r="AZ90" i="71"/>
  <c r="AZ89" i="71"/>
  <c r="AU89" i="71"/>
  <c r="AZ88" i="71"/>
  <c r="AZ87" i="71"/>
  <c r="AU87" i="71"/>
  <c r="AY83" i="71"/>
  <c r="AZ86" i="71"/>
  <c r="AZ85" i="71"/>
  <c r="AI85" i="71"/>
  <c r="AI80" i="71"/>
  <c r="AG85" i="71"/>
  <c r="AG80" i="71"/>
  <c r="B69" i="71"/>
  <c r="AI85" i="70"/>
  <c r="AI80" i="70"/>
  <c r="AG85" i="70"/>
  <c r="AG80" i="70"/>
  <c r="AE85" i="70"/>
  <c r="AE80" i="70"/>
  <c r="AC85" i="70"/>
  <c r="AC80" i="70"/>
  <c r="AA85" i="70"/>
  <c r="AA80" i="70"/>
  <c r="Y85" i="70"/>
  <c r="Y80" i="70"/>
  <c r="W85" i="70"/>
  <c r="W80" i="70"/>
  <c r="U85" i="70"/>
  <c r="U80" i="70"/>
  <c r="S85" i="70"/>
  <c r="S80" i="70"/>
  <c r="Q85" i="70"/>
  <c r="Q80" i="70"/>
  <c r="O85" i="70"/>
  <c r="O80" i="70"/>
  <c r="AU89" i="70"/>
  <c r="AU87" i="70"/>
  <c r="AU90" i="70"/>
  <c r="AU91" i="70"/>
  <c r="AY84" i="70"/>
  <c r="BH130" i="70"/>
  <c r="BI130" i="70"/>
  <c r="AA196" i="2"/>
  <c r="AI81" i="70"/>
  <c r="AE81" i="70"/>
  <c r="W81" i="70"/>
  <c r="S81" i="70"/>
  <c r="B69" i="70"/>
  <c r="AB31" i="4"/>
  <c r="AD33" i="4"/>
  <c r="M31" i="4"/>
  <c r="O33" i="4"/>
  <c r="BK122" i="71"/>
  <c r="BI122" i="71"/>
  <c r="BK121" i="71"/>
  <c r="BI121" i="71"/>
  <c r="BB122" i="71"/>
  <c r="AZ122" i="71"/>
  <c r="BK114" i="71"/>
  <c r="BI114" i="71"/>
  <c r="BB114" i="71"/>
  <c r="AZ114" i="71"/>
  <c r="BB113" i="71"/>
  <c r="AZ113" i="71"/>
  <c r="BB112" i="71"/>
  <c r="AZ112" i="71"/>
  <c r="BK111" i="71"/>
  <c r="BB111" i="71"/>
  <c r="AZ111" i="71"/>
  <c r="BB110" i="71"/>
  <c r="AZ110" i="71"/>
  <c r="BK109" i="71"/>
  <c r="BI109" i="71"/>
  <c r="BB109" i="71"/>
  <c r="AZ109" i="71"/>
  <c r="BK108" i="71"/>
  <c r="BI108" i="71"/>
  <c r="BB108" i="71"/>
  <c r="AZ108" i="71"/>
  <c r="BB107" i="71"/>
  <c r="AZ107" i="71"/>
  <c r="BK106" i="71"/>
  <c r="BI106" i="71"/>
  <c r="BB106" i="71"/>
  <c r="AZ106" i="71"/>
  <c r="BB105" i="71"/>
  <c r="AZ105" i="71"/>
  <c r="BK104" i="71"/>
  <c r="BI104" i="71"/>
  <c r="BB104" i="71"/>
  <c r="AZ104" i="71"/>
  <c r="BB103" i="71"/>
  <c r="AZ103" i="71"/>
  <c r="BB102" i="71"/>
  <c r="AZ102" i="71"/>
  <c r="BB101" i="71"/>
  <c r="AZ101" i="71"/>
  <c r="BB100" i="71"/>
  <c r="AZ100" i="71"/>
  <c r="BB99" i="71"/>
  <c r="AZ99" i="71"/>
  <c r="BB98" i="71"/>
  <c r="AZ98" i="71"/>
  <c r="BB97" i="71"/>
  <c r="AZ97" i="71"/>
  <c r="BB96" i="71"/>
  <c r="AZ96" i="71"/>
  <c r="BB95" i="71"/>
  <c r="AZ95" i="71"/>
  <c r="BB94" i="71"/>
  <c r="AZ94" i="71"/>
  <c r="BB93" i="71"/>
  <c r="BB92" i="71"/>
  <c r="BB91" i="71"/>
  <c r="BB90" i="71"/>
  <c r="BK89" i="71"/>
  <c r="BI89" i="71"/>
  <c r="BB89" i="71"/>
  <c r="BB88" i="71"/>
  <c r="BB87" i="71"/>
  <c r="BB86" i="71"/>
  <c r="BK85" i="71"/>
  <c r="BI85" i="71"/>
  <c r="BB85" i="71"/>
  <c r="BB82" i="71"/>
  <c r="AZ82" i="71"/>
  <c r="BB81" i="71"/>
  <c r="AZ81" i="71"/>
  <c r="BB80" i="71"/>
  <c r="AZ80" i="71"/>
  <c r="BB79" i="71"/>
  <c r="AZ79" i="71"/>
  <c r="BB78" i="71"/>
  <c r="AZ78" i="71"/>
  <c r="BB77" i="71"/>
  <c r="AZ77" i="71"/>
  <c r="BB76" i="71"/>
  <c r="AZ76" i="71"/>
  <c r="BB75" i="71"/>
  <c r="AZ75" i="71"/>
  <c r="BB74" i="71"/>
  <c r="AZ74" i="71"/>
  <c r="BB73" i="71"/>
  <c r="AZ73" i="71"/>
  <c r="BB72" i="71"/>
  <c r="AZ72" i="71"/>
  <c r="BB71" i="71"/>
  <c r="AZ71" i="71"/>
  <c r="BK70" i="71"/>
  <c r="BI70" i="71"/>
  <c r="BB69" i="71"/>
  <c r="AZ69" i="71"/>
  <c r="AW68" i="71"/>
  <c r="AV68" i="71"/>
  <c r="BB67" i="71"/>
  <c r="AZ67" i="71"/>
  <c r="AY66" i="71"/>
  <c r="BH105" i="71"/>
  <c r="BI105" i="71"/>
  <c r="AC351" i="2"/>
  <c r="BK65" i="71"/>
  <c r="BI65" i="71"/>
  <c r="BB65" i="71"/>
  <c r="AZ65" i="71"/>
  <c r="AY64" i="71"/>
  <c r="BH102" i="71"/>
  <c r="AY63" i="71"/>
  <c r="BH100" i="71"/>
  <c r="BI100" i="71"/>
  <c r="AC346" i="2"/>
  <c r="AY62" i="71"/>
  <c r="BH98" i="71"/>
  <c r="AY61" i="71"/>
  <c r="BH97" i="71"/>
  <c r="AY60" i="71"/>
  <c r="BH94" i="71"/>
  <c r="BK59" i="71"/>
  <c r="BI59" i="71"/>
  <c r="AY59" i="71"/>
  <c r="BH93" i="71"/>
  <c r="AY58" i="71"/>
  <c r="BH90" i="71"/>
  <c r="BI90" i="71"/>
  <c r="AC336" i="2"/>
  <c r="BB57" i="71"/>
  <c r="AZ57" i="71"/>
  <c r="AY56" i="71"/>
  <c r="BH88" i="71"/>
  <c r="AY55" i="71"/>
  <c r="BH87" i="71"/>
  <c r="AY54" i="71"/>
  <c r="BH86" i="71"/>
  <c r="BI86" i="71"/>
  <c r="AC322" i="2"/>
  <c r="BB53" i="71"/>
  <c r="AZ53" i="71"/>
  <c r="AY52" i="71"/>
  <c r="BH83" i="71"/>
  <c r="BI83" i="71"/>
  <c r="AC319" i="2"/>
  <c r="AY51" i="71"/>
  <c r="BH82" i="71"/>
  <c r="BK50" i="71"/>
  <c r="BI50" i="71"/>
  <c r="AY50" i="71"/>
  <c r="BH80" i="71"/>
  <c r="AY49" i="71"/>
  <c r="BH78" i="71"/>
  <c r="BI78" i="71"/>
  <c r="AC314" i="2"/>
  <c r="AY48" i="71"/>
  <c r="BH76" i="71"/>
  <c r="AY47" i="71"/>
  <c r="BH73" i="71"/>
  <c r="BI73" i="71"/>
  <c r="AC309" i="2"/>
  <c r="AY46" i="71"/>
  <c r="BH71" i="71"/>
  <c r="BI71" i="71"/>
  <c r="AC307" i="2"/>
  <c r="BB45" i="71"/>
  <c r="AZ45" i="71"/>
  <c r="AY44" i="71"/>
  <c r="BH69" i="71"/>
  <c r="BI69" i="71"/>
  <c r="AC295" i="2"/>
  <c r="AY43" i="71"/>
  <c r="BH66" i="71"/>
  <c r="BB42" i="71"/>
  <c r="AZ42" i="71"/>
  <c r="AY40" i="71"/>
  <c r="BH63" i="71"/>
  <c r="BI63" i="71"/>
  <c r="AC280" i="2"/>
  <c r="AY39" i="71"/>
  <c r="BH62" i="71"/>
  <c r="AY38" i="71"/>
  <c r="AY37" i="71"/>
  <c r="BH60" i="71"/>
  <c r="BI60" i="71"/>
  <c r="AC277" i="2"/>
  <c r="BB36" i="71"/>
  <c r="AZ36" i="71"/>
  <c r="BK35" i="71"/>
  <c r="BI35" i="71"/>
  <c r="AY35" i="71"/>
  <c r="BH57" i="71"/>
  <c r="BI57" i="71"/>
  <c r="AC272" i="2"/>
  <c r="AY34" i="71"/>
  <c r="BH56" i="71"/>
  <c r="AY33" i="71"/>
  <c r="BH54" i="71"/>
  <c r="AY32" i="71"/>
  <c r="BH51" i="71"/>
  <c r="BB31" i="71"/>
  <c r="AZ31" i="71"/>
  <c r="BK30" i="71"/>
  <c r="BI30" i="71"/>
  <c r="AY30" i="71"/>
  <c r="BH49" i="71"/>
  <c r="BH29" i="71"/>
  <c r="AY29" i="71"/>
  <c r="BH46" i="71"/>
  <c r="BI46" i="71"/>
  <c r="AC256" i="2"/>
  <c r="BH28" i="71"/>
  <c r="AY28" i="71"/>
  <c r="BH45" i="71"/>
  <c r="BH27" i="71"/>
  <c r="AY27" i="71"/>
  <c r="BH42" i="71"/>
  <c r="BH26" i="71"/>
  <c r="AY26" i="71"/>
  <c r="BH40" i="71"/>
  <c r="BH25" i="71"/>
  <c r="AY25" i="71"/>
  <c r="BH39" i="71"/>
  <c r="BH24" i="71"/>
  <c r="AY24" i="71"/>
  <c r="BH36" i="71"/>
  <c r="BI36" i="71"/>
  <c r="AC246" i="2"/>
  <c r="BH23" i="71"/>
  <c r="BB23" i="71"/>
  <c r="AZ23" i="71"/>
  <c r="BK22" i="71"/>
  <c r="BI22" i="71"/>
  <c r="AY22" i="71"/>
  <c r="BH33" i="71"/>
  <c r="AY21" i="71"/>
  <c r="BH31" i="71"/>
  <c r="BH20" i="71"/>
  <c r="BH118" i="71"/>
  <c r="BI118" i="71"/>
  <c r="AC357" i="2"/>
  <c r="BB20" i="71"/>
  <c r="AZ20" i="71"/>
  <c r="BK19" i="71"/>
  <c r="BI19" i="71"/>
  <c r="O17" i="71"/>
  <c r="J13" i="71"/>
  <c r="BB12" i="71"/>
  <c r="AZ12" i="71"/>
  <c r="AY11" i="71"/>
  <c r="BH17" i="71"/>
  <c r="BI17" i="71"/>
  <c r="AC101" i="2"/>
  <c r="F11" i="71"/>
  <c r="AY10" i="71"/>
  <c r="BH15" i="71"/>
  <c r="F10" i="71"/>
  <c r="AY9" i="71"/>
  <c r="BH14" i="71"/>
  <c r="AY8" i="71"/>
  <c r="BH12" i="71"/>
  <c r="BI12" i="71"/>
  <c r="AC96" i="2"/>
  <c r="F8" i="71"/>
  <c r="AY7" i="71"/>
  <c r="BH9" i="71"/>
  <c r="F7" i="71"/>
  <c r="AY6" i="71"/>
  <c r="BH8" i="71"/>
  <c r="BI8" i="71"/>
  <c r="AC92" i="2"/>
  <c r="AY5" i="71"/>
  <c r="BH6" i="71"/>
  <c r="BI6" i="71"/>
  <c r="AC90" i="2"/>
  <c r="BK143" i="70"/>
  <c r="BI143" i="70"/>
  <c r="BK142" i="70"/>
  <c r="BI142" i="70"/>
  <c r="BK141" i="70"/>
  <c r="BI141" i="70"/>
  <c r="BB141" i="70"/>
  <c r="AZ141" i="70"/>
  <c r="BK132" i="70"/>
  <c r="BI132" i="70"/>
  <c r="BB132" i="70"/>
  <c r="AZ132" i="70"/>
  <c r="BB131" i="70"/>
  <c r="AZ131" i="70"/>
  <c r="BB130" i="70"/>
  <c r="AZ130" i="70"/>
  <c r="BB129" i="70"/>
  <c r="AZ129" i="70"/>
  <c r="BB128" i="70"/>
  <c r="AZ128" i="70"/>
  <c r="BK127" i="70"/>
  <c r="BI127" i="70"/>
  <c r="BB127" i="70"/>
  <c r="AZ127" i="70"/>
  <c r="BK126" i="70"/>
  <c r="BI126" i="70"/>
  <c r="BB126" i="70"/>
  <c r="AZ126" i="70"/>
  <c r="BB125" i="70"/>
  <c r="AZ125" i="70"/>
  <c r="BK124" i="70"/>
  <c r="BI124" i="70"/>
  <c r="BB124" i="70"/>
  <c r="AZ124" i="70"/>
  <c r="BB123" i="70"/>
  <c r="AZ123" i="70"/>
  <c r="BK122" i="70"/>
  <c r="BI122" i="70"/>
  <c r="BB122" i="70"/>
  <c r="AZ122" i="70"/>
  <c r="BB121" i="70"/>
  <c r="AZ121" i="70"/>
  <c r="BB120" i="70"/>
  <c r="AZ120" i="70"/>
  <c r="BB119" i="70"/>
  <c r="AZ119" i="70"/>
  <c r="BB118" i="70"/>
  <c r="AZ118" i="70"/>
  <c r="BB117" i="70"/>
  <c r="AZ117" i="70"/>
  <c r="BB116" i="70"/>
  <c r="AZ116" i="70"/>
  <c r="BB115" i="70"/>
  <c r="AZ115" i="70"/>
  <c r="BB114" i="70"/>
  <c r="AZ114" i="70"/>
  <c r="BB113" i="70"/>
  <c r="AZ113" i="70"/>
  <c r="BB112" i="70"/>
  <c r="AZ112" i="70"/>
  <c r="BB111" i="70"/>
  <c r="AZ111" i="70"/>
  <c r="BB110" i="70"/>
  <c r="AZ110" i="70"/>
  <c r="BB109" i="70"/>
  <c r="AZ109" i="70"/>
  <c r="BB108" i="70"/>
  <c r="AZ108" i="70"/>
  <c r="BB107" i="70"/>
  <c r="AZ107" i="70"/>
  <c r="BB106" i="70"/>
  <c r="AZ106" i="70"/>
  <c r="BK105" i="70"/>
  <c r="BI105" i="70"/>
  <c r="BB105" i="70"/>
  <c r="AZ105" i="70"/>
  <c r="BB104" i="70"/>
  <c r="AZ104" i="70"/>
  <c r="BB103" i="70"/>
  <c r="AZ103" i="70"/>
  <c r="BB102" i="70"/>
  <c r="AZ102" i="70"/>
  <c r="BK101" i="70"/>
  <c r="BI101" i="70"/>
  <c r="BB101" i="70"/>
  <c r="AZ101" i="70"/>
  <c r="BB100" i="70"/>
  <c r="AZ100" i="70"/>
  <c r="BB99" i="70"/>
  <c r="AZ99" i="70"/>
  <c r="BB98" i="70"/>
  <c r="AZ98" i="70"/>
  <c r="BB97" i="70"/>
  <c r="AZ97" i="70"/>
  <c r="BB96" i="70"/>
  <c r="AZ96" i="70"/>
  <c r="BB95" i="70"/>
  <c r="AZ95" i="70"/>
  <c r="BB94" i="70"/>
  <c r="AZ94" i="70"/>
  <c r="BB93" i="70"/>
  <c r="AZ93" i="70"/>
  <c r="BB92" i="70"/>
  <c r="AZ92" i="70"/>
  <c r="BB91" i="70"/>
  <c r="AZ91" i="70"/>
  <c r="BB90" i="70"/>
  <c r="AZ90" i="70"/>
  <c r="BB89" i="70"/>
  <c r="AZ89" i="70"/>
  <c r="BB88" i="70"/>
  <c r="AZ88" i="70"/>
  <c r="BB87" i="70"/>
  <c r="AZ87" i="70"/>
  <c r="BB86" i="70"/>
  <c r="AZ86" i="70"/>
  <c r="BB85" i="70"/>
  <c r="AZ85" i="70"/>
  <c r="BK84" i="70"/>
  <c r="BI84" i="70"/>
  <c r="BB82" i="70"/>
  <c r="AZ82" i="70"/>
  <c r="BB81" i="70"/>
  <c r="AZ81" i="70"/>
  <c r="BB79" i="70"/>
  <c r="AZ79" i="70"/>
  <c r="AW78" i="70"/>
  <c r="AV78" i="70"/>
  <c r="BK77" i="70"/>
  <c r="BI77" i="70"/>
  <c r="BB77" i="70"/>
  <c r="AZ77" i="70"/>
  <c r="AY76" i="70"/>
  <c r="BB75" i="70"/>
  <c r="AZ75" i="70"/>
  <c r="AY74" i="70"/>
  <c r="BH120" i="70"/>
  <c r="AY73" i="70"/>
  <c r="BH118" i="70"/>
  <c r="AY72" i="70"/>
  <c r="BH116" i="70"/>
  <c r="BI116" i="70"/>
  <c r="AA344" i="2"/>
  <c r="BK71" i="70"/>
  <c r="BI71" i="70"/>
  <c r="AY71" i="70"/>
  <c r="AY70" i="70"/>
  <c r="BH113" i="70"/>
  <c r="BI113" i="70"/>
  <c r="AA341" i="2"/>
  <c r="AY69" i="70"/>
  <c r="BH111" i="70"/>
  <c r="AY68" i="70"/>
  <c r="BH109" i="70"/>
  <c r="BI109" i="70"/>
  <c r="AA337" i="2"/>
  <c r="AY67" i="70"/>
  <c r="BH106" i="70"/>
  <c r="BI106" i="70"/>
  <c r="AA334" i="2"/>
  <c r="BB66" i="70"/>
  <c r="AZ66" i="70"/>
  <c r="AY65" i="70"/>
  <c r="BH104" i="70"/>
  <c r="BI104" i="70"/>
  <c r="AA324" i="2"/>
  <c r="AY64" i="70"/>
  <c r="AY63" i="70"/>
  <c r="BH102" i="70"/>
  <c r="BB62" i="70"/>
  <c r="AZ62" i="70"/>
  <c r="AY61" i="70"/>
  <c r="BH100" i="70"/>
  <c r="BK60" i="70"/>
  <c r="BI60" i="70"/>
  <c r="AY60" i="70"/>
  <c r="BH98" i="70"/>
  <c r="AY59" i="70"/>
  <c r="BH95" i="70"/>
  <c r="AY58" i="70"/>
  <c r="BH94" i="70"/>
  <c r="AY57" i="70"/>
  <c r="BH92" i="70"/>
  <c r="AY56" i="70"/>
  <c r="AY55" i="70"/>
  <c r="BH87" i="70"/>
  <c r="BI87" i="70"/>
  <c r="AA307" i="2"/>
  <c r="AY54" i="70"/>
  <c r="BB53" i="70"/>
  <c r="AZ53" i="70"/>
  <c r="AY52" i="70"/>
  <c r="BH82" i="70"/>
  <c r="AY51" i="70"/>
  <c r="BH80" i="70"/>
  <c r="AY50" i="70"/>
  <c r="BB49" i="70"/>
  <c r="AZ49" i="70"/>
  <c r="AY47" i="70"/>
  <c r="BH75" i="70"/>
  <c r="BI75" i="70"/>
  <c r="AA280" i="2"/>
  <c r="AY46" i="70"/>
  <c r="BH74" i="70"/>
  <c r="BI74" i="70"/>
  <c r="AA279" i="2"/>
  <c r="AY45" i="70"/>
  <c r="BH73" i="70"/>
  <c r="AY44" i="70"/>
  <c r="BH72" i="70"/>
  <c r="BI72" i="70"/>
  <c r="AA277" i="2"/>
  <c r="BK43" i="70"/>
  <c r="BI43" i="70"/>
  <c r="BB43" i="70"/>
  <c r="AZ43" i="70"/>
  <c r="AY42" i="70"/>
  <c r="BH70" i="70"/>
  <c r="AY41" i="70"/>
  <c r="AY40" i="70"/>
  <c r="BH65" i="70"/>
  <c r="BI65" i="70"/>
  <c r="AA270" i="2"/>
  <c r="AY39" i="70"/>
  <c r="BH64" i="70"/>
  <c r="BI64" i="70"/>
  <c r="AA269" i="2"/>
  <c r="AY38" i="70"/>
  <c r="BH61" i="70"/>
  <c r="BI61" i="70"/>
  <c r="AA266" i="2"/>
  <c r="BB37" i="70"/>
  <c r="AZ37" i="70"/>
  <c r="BK36" i="70"/>
  <c r="BI36" i="70"/>
  <c r="AY36" i="70"/>
  <c r="BH59" i="70"/>
  <c r="BH35" i="70"/>
  <c r="BI35" i="70"/>
  <c r="AA79" i="2"/>
  <c r="AY35" i="70"/>
  <c r="BH56" i="70"/>
  <c r="BH34" i="70"/>
  <c r="AY34" i="70"/>
  <c r="BH54" i="70"/>
  <c r="BI54" i="70"/>
  <c r="AA254" i="2"/>
  <c r="BH33" i="70"/>
  <c r="AY33" i="70"/>
  <c r="BH53" i="70"/>
  <c r="BH32" i="70"/>
  <c r="BI32" i="70"/>
  <c r="AA76" i="2"/>
  <c r="AY32" i="70"/>
  <c r="BH31" i="70"/>
  <c r="AY31" i="70"/>
  <c r="BH49" i="70"/>
  <c r="BI49" i="70"/>
  <c r="AA249" i="2"/>
  <c r="BH30" i="70"/>
  <c r="AY30" i="70"/>
  <c r="BH47" i="70"/>
  <c r="BH29" i="70"/>
  <c r="AY29" i="70"/>
  <c r="BH45" i="70"/>
  <c r="BH28" i="70"/>
  <c r="BB28" i="70"/>
  <c r="AZ28" i="70"/>
  <c r="BH27" i="70"/>
  <c r="AY27" i="70"/>
  <c r="BH42" i="70"/>
  <c r="BI42" i="70"/>
  <c r="AA234" i="2"/>
  <c r="BK26" i="70"/>
  <c r="BI26" i="70"/>
  <c r="AY26" i="70"/>
  <c r="BH40" i="70"/>
  <c r="BI40" i="70"/>
  <c r="AA232" i="2"/>
  <c r="AY25" i="70"/>
  <c r="BH24" i="70"/>
  <c r="BH136" i="70"/>
  <c r="BI136" i="70"/>
  <c r="AA357" i="2"/>
  <c r="BB24" i="70"/>
  <c r="AZ24" i="70"/>
  <c r="BK23" i="70"/>
  <c r="BI23" i="70"/>
  <c r="O17" i="70"/>
  <c r="BB14" i="70"/>
  <c r="AZ14" i="70"/>
  <c r="AY13" i="70"/>
  <c r="BH22" i="70"/>
  <c r="J13" i="70"/>
  <c r="AY12" i="70"/>
  <c r="BH19" i="70"/>
  <c r="AY11" i="70"/>
  <c r="BH17" i="70"/>
  <c r="BI17" i="70"/>
  <c r="AA62" i="2"/>
  <c r="F11" i="70"/>
  <c r="AY10" i="70"/>
  <c r="BH16" i="70"/>
  <c r="BI16" i="70"/>
  <c r="AA61" i="2"/>
  <c r="F10" i="70"/>
  <c r="AY9" i="70"/>
  <c r="BH13" i="70"/>
  <c r="AY8" i="70"/>
  <c r="BH12" i="70"/>
  <c r="BI12" i="70"/>
  <c r="AA57" i="2"/>
  <c r="F8" i="70"/>
  <c r="AY7" i="70"/>
  <c r="BH9" i="70"/>
  <c r="BI9" i="70"/>
  <c r="AA54" i="2"/>
  <c r="F7" i="70"/>
  <c r="AY6" i="70"/>
  <c r="BH8" i="70"/>
  <c r="AY5" i="70"/>
  <c r="BH5" i="70"/>
  <c r="AP21" i="4"/>
  <c r="AY19" i="69"/>
  <c r="AY18" i="69"/>
  <c r="AY17" i="69"/>
  <c r="AY16" i="69"/>
  <c r="AY15" i="69"/>
  <c r="AY14" i="69"/>
  <c r="AY13" i="69"/>
  <c r="BH29" i="69"/>
  <c r="BH28" i="69"/>
  <c r="BH27" i="69"/>
  <c r="BH26" i="69"/>
  <c r="BH25" i="69"/>
  <c r="BH24" i="69"/>
  <c r="BH23" i="69"/>
  <c r="BK108" i="69"/>
  <c r="BI108" i="69"/>
  <c r="BK107" i="69"/>
  <c r="BI107" i="69"/>
  <c r="BK106" i="69"/>
  <c r="BI106" i="69"/>
  <c r="BB106" i="69"/>
  <c r="AZ106" i="69"/>
  <c r="BK100" i="69"/>
  <c r="BI100" i="69"/>
  <c r="BB100" i="69"/>
  <c r="AZ100" i="69"/>
  <c r="BB99" i="69"/>
  <c r="AZ99" i="69"/>
  <c r="BK98" i="69"/>
  <c r="BI98" i="69"/>
  <c r="BB98" i="69"/>
  <c r="AZ98" i="69"/>
  <c r="BB97" i="69"/>
  <c r="AZ97" i="69"/>
  <c r="BK96" i="69"/>
  <c r="BI96" i="69"/>
  <c r="BB96" i="69"/>
  <c r="AZ96" i="69"/>
  <c r="BB95" i="69"/>
  <c r="AZ95" i="69"/>
  <c r="BB94" i="69"/>
  <c r="AZ94" i="69"/>
  <c r="BB93" i="69"/>
  <c r="AZ93" i="69"/>
  <c r="BB92" i="69"/>
  <c r="AZ92" i="69"/>
  <c r="BB91" i="69"/>
  <c r="AZ91" i="69"/>
  <c r="BB90" i="69"/>
  <c r="AZ90" i="69"/>
  <c r="BB89" i="69"/>
  <c r="AZ89" i="69"/>
  <c r="BB88" i="69"/>
  <c r="AZ88" i="69"/>
  <c r="BB87" i="69"/>
  <c r="AZ87" i="69"/>
  <c r="BB86" i="69"/>
  <c r="AZ86" i="69"/>
  <c r="BB85" i="69"/>
  <c r="AZ85" i="69"/>
  <c r="BB84" i="69"/>
  <c r="AZ84" i="69"/>
  <c r="BK83" i="69"/>
  <c r="BI83" i="69"/>
  <c r="BB83" i="69"/>
  <c r="AZ83" i="69"/>
  <c r="BB82" i="69"/>
  <c r="AZ82" i="69"/>
  <c r="BB81" i="69"/>
  <c r="AZ81" i="69"/>
  <c r="BB80" i="69"/>
  <c r="AZ80" i="69"/>
  <c r="BK79" i="69"/>
  <c r="BI79" i="69"/>
  <c r="BB79" i="69"/>
  <c r="AZ79" i="69"/>
  <c r="BB78" i="69"/>
  <c r="AZ78" i="69"/>
  <c r="BB77" i="69"/>
  <c r="AZ77" i="69"/>
  <c r="BB76" i="69"/>
  <c r="AZ76" i="69"/>
  <c r="BB75" i="69"/>
  <c r="AZ75" i="69"/>
  <c r="BB74" i="69"/>
  <c r="AZ74" i="69"/>
  <c r="BB73" i="69"/>
  <c r="AZ73" i="69"/>
  <c r="BB72" i="69"/>
  <c r="AZ72" i="69"/>
  <c r="BB71" i="69"/>
  <c r="AZ71" i="69"/>
  <c r="BB70" i="69"/>
  <c r="AZ70" i="69"/>
  <c r="BB69" i="69"/>
  <c r="AZ69" i="69"/>
  <c r="BB68" i="69"/>
  <c r="AZ68" i="69"/>
  <c r="BB67" i="69"/>
  <c r="AZ67" i="69"/>
  <c r="BK66" i="69"/>
  <c r="BI66" i="69"/>
  <c r="BB65" i="69"/>
  <c r="AZ65" i="69"/>
  <c r="BK63" i="69"/>
  <c r="BI63" i="69"/>
  <c r="AW64" i="69"/>
  <c r="AV64" i="69"/>
  <c r="BB63" i="69"/>
  <c r="AZ63" i="69"/>
  <c r="AY62" i="69"/>
  <c r="BH97" i="69"/>
  <c r="BB61" i="69"/>
  <c r="AZ61" i="69"/>
  <c r="AY60" i="69"/>
  <c r="AY59" i="69"/>
  <c r="BH93" i="69"/>
  <c r="BK57" i="69"/>
  <c r="BI57" i="69"/>
  <c r="AY58" i="69"/>
  <c r="BH91" i="69"/>
  <c r="AY57" i="69"/>
  <c r="BH89" i="69"/>
  <c r="AY56" i="69"/>
  <c r="BH87" i="69"/>
  <c r="AY55" i="69"/>
  <c r="BH84" i="69"/>
  <c r="BB54" i="69"/>
  <c r="AZ54" i="69"/>
  <c r="AY53" i="69"/>
  <c r="AY52" i="69"/>
  <c r="BH81" i="69"/>
  <c r="AY51" i="69"/>
  <c r="BB50" i="69"/>
  <c r="AZ50" i="69"/>
  <c r="AY49" i="69"/>
  <c r="BH77" i="69"/>
  <c r="AY48" i="69"/>
  <c r="BK46" i="69"/>
  <c r="BI46" i="69"/>
  <c r="AY47" i="69"/>
  <c r="AY46" i="69"/>
  <c r="BH72" i="69"/>
  <c r="BI72" i="69"/>
  <c r="Y314" i="2"/>
  <c r="AY45" i="69"/>
  <c r="BH69" i="69"/>
  <c r="AY44" i="69"/>
  <c r="BH68" i="69"/>
  <c r="BB43" i="69"/>
  <c r="AZ43" i="69"/>
  <c r="AY42" i="69"/>
  <c r="BB41" i="69"/>
  <c r="AZ41" i="69"/>
  <c r="AY40" i="69"/>
  <c r="BH62" i="69"/>
  <c r="AY39" i="69"/>
  <c r="BH61" i="69"/>
  <c r="BI61" i="69"/>
  <c r="Y280" i="2"/>
  <c r="AY38" i="69"/>
  <c r="BH60" i="69"/>
  <c r="AY37" i="69"/>
  <c r="BH59" i="69"/>
  <c r="AY36" i="69"/>
  <c r="BH58" i="69"/>
  <c r="BB35" i="69"/>
  <c r="AZ35" i="69"/>
  <c r="BK33" i="69"/>
  <c r="BI33" i="69"/>
  <c r="AY34" i="69"/>
  <c r="BH56" i="69"/>
  <c r="AY33" i="69"/>
  <c r="BH54" i="69"/>
  <c r="AY32" i="69"/>
  <c r="BH51" i="69"/>
  <c r="BK30" i="69"/>
  <c r="BI30" i="69"/>
  <c r="AY31" i="69"/>
  <c r="BH50" i="69"/>
  <c r="AY30" i="69"/>
  <c r="BH47" i="69"/>
  <c r="BB29" i="69"/>
  <c r="AZ29" i="69"/>
  <c r="AY28" i="69"/>
  <c r="BH44" i="69"/>
  <c r="BI44" i="69"/>
  <c r="Y258" i="2"/>
  <c r="AY27" i="69"/>
  <c r="BH43" i="69"/>
  <c r="AY26" i="69"/>
  <c r="BH41" i="69"/>
  <c r="AY25" i="69"/>
  <c r="BH38" i="69"/>
  <c r="BI38" i="69"/>
  <c r="Y252" i="2"/>
  <c r="AY24" i="69"/>
  <c r="BK22" i="69"/>
  <c r="BI22" i="69"/>
  <c r="AY23" i="69"/>
  <c r="BH35" i="69"/>
  <c r="BB22" i="69"/>
  <c r="AZ22" i="69"/>
  <c r="AY21" i="69"/>
  <c r="BH31" i="69"/>
  <c r="BH20" i="69"/>
  <c r="BB20" i="69"/>
  <c r="AZ20" i="69"/>
  <c r="BK19" i="69"/>
  <c r="BI19" i="69"/>
  <c r="O17" i="69"/>
  <c r="J13" i="69"/>
  <c r="BB12" i="69"/>
  <c r="AZ12" i="69"/>
  <c r="AY11" i="69"/>
  <c r="BH17" i="69"/>
  <c r="F11" i="69"/>
  <c r="AY10" i="69"/>
  <c r="BH16" i="69"/>
  <c r="BI16" i="69"/>
  <c r="Y180" i="2"/>
  <c r="F10" i="69"/>
  <c r="AY9" i="69"/>
  <c r="BH13" i="69"/>
  <c r="AY8" i="69"/>
  <c r="BH12" i="69"/>
  <c r="BI12" i="69"/>
  <c r="Y176" i="2"/>
  <c r="F8" i="69"/>
  <c r="AY7" i="69"/>
  <c r="BH10" i="69"/>
  <c r="F7" i="69"/>
  <c r="AY6" i="69"/>
  <c r="BH8" i="69"/>
  <c r="AY5" i="69"/>
  <c r="BH5" i="69"/>
  <c r="BD13" i="4"/>
  <c r="AP13" i="4"/>
  <c r="AB13" i="4"/>
  <c r="M13" i="4"/>
  <c r="BK107" i="68"/>
  <c r="BI107" i="68"/>
  <c r="BI101" i="68"/>
  <c r="BI99" i="68"/>
  <c r="BI97" i="68"/>
  <c r="BI84" i="68"/>
  <c r="BI80" i="68"/>
  <c r="BI67" i="68"/>
  <c r="BI64" i="68"/>
  <c r="BI58" i="68"/>
  <c r="BI47" i="68"/>
  <c r="BI34" i="68"/>
  <c r="BI31" i="68"/>
  <c r="BI23" i="68"/>
  <c r="BI19" i="68"/>
  <c r="AZ101" i="68"/>
  <c r="AZ100" i="68"/>
  <c r="AZ99" i="68"/>
  <c r="AZ98" i="68"/>
  <c r="AZ97" i="68"/>
  <c r="AZ96" i="68"/>
  <c r="AZ95" i="68"/>
  <c r="AZ94" i="68"/>
  <c r="AZ93" i="68"/>
  <c r="AZ92" i="68"/>
  <c r="AZ91" i="68"/>
  <c r="AZ90" i="68"/>
  <c r="AZ89" i="68"/>
  <c r="AZ88" i="68"/>
  <c r="AZ87" i="68"/>
  <c r="AZ86" i="68"/>
  <c r="AZ85" i="68"/>
  <c r="AZ84" i="68"/>
  <c r="AZ83" i="68"/>
  <c r="AZ82" i="68"/>
  <c r="AZ81" i="68"/>
  <c r="AZ80" i="68"/>
  <c r="AZ79" i="68"/>
  <c r="AZ78" i="68"/>
  <c r="AZ77" i="68"/>
  <c r="AZ76" i="68"/>
  <c r="AZ75" i="68"/>
  <c r="AZ74" i="68"/>
  <c r="AZ73" i="68"/>
  <c r="AZ72" i="68"/>
  <c r="AZ71" i="68"/>
  <c r="AZ70" i="68"/>
  <c r="AZ69" i="68"/>
  <c r="AZ68" i="68"/>
  <c r="AZ66" i="68"/>
  <c r="AZ63" i="68"/>
  <c r="AZ61" i="68"/>
  <c r="AZ54" i="68"/>
  <c r="AZ50" i="68"/>
  <c r="AZ43" i="68"/>
  <c r="AZ41" i="68"/>
  <c r="AZ35" i="68"/>
  <c r="AZ29" i="68"/>
  <c r="AZ22" i="68"/>
  <c r="AZ20" i="68"/>
  <c r="AZ12" i="68"/>
  <c r="BI135" i="67"/>
  <c r="BI134" i="67"/>
  <c r="BI133" i="67"/>
  <c r="BI132" i="67"/>
  <c r="BI126" i="67"/>
  <c r="BI124" i="67"/>
  <c r="BI122" i="67"/>
  <c r="BI105" i="67"/>
  <c r="BI101" i="67"/>
  <c r="BI84" i="67"/>
  <c r="BI77" i="67"/>
  <c r="BI71" i="67"/>
  <c r="BI60" i="67"/>
  <c r="BI43" i="67"/>
  <c r="BI36" i="67"/>
  <c r="BI26" i="67"/>
  <c r="BI23" i="67"/>
  <c r="AZ133" i="67"/>
  <c r="AZ132" i="67"/>
  <c r="AZ126" i="67"/>
  <c r="AZ125" i="67"/>
  <c r="AZ124" i="67"/>
  <c r="AZ123" i="67"/>
  <c r="AZ122" i="67"/>
  <c r="AZ121" i="67"/>
  <c r="AZ120" i="67"/>
  <c r="AZ119" i="67"/>
  <c r="AZ118" i="67"/>
  <c r="AZ117" i="67"/>
  <c r="AZ116" i="67"/>
  <c r="AZ115" i="67"/>
  <c r="AZ114" i="67"/>
  <c r="AZ113" i="67"/>
  <c r="AZ112" i="67"/>
  <c r="AZ111" i="67"/>
  <c r="AZ110" i="67"/>
  <c r="AZ109" i="67"/>
  <c r="AZ108" i="67"/>
  <c r="AZ107" i="67"/>
  <c r="AZ106" i="67"/>
  <c r="AZ105" i="67"/>
  <c r="AZ104" i="67"/>
  <c r="AZ103" i="67"/>
  <c r="AZ102" i="67"/>
  <c r="AZ101" i="67"/>
  <c r="AZ100" i="67"/>
  <c r="AZ99" i="67"/>
  <c r="AZ98" i="67"/>
  <c r="AZ97" i="67"/>
  <c r="AZ96" i="67"/>
  <c r="AZ95" i="67"/>
  <c r="AZ94" i="67"/>
  <c r="AZ93" i="67"/>
  <c r="AZ92" i="67"/>
  <c r="AZ91" i="67"/>
  <c r="AZ90" i="67"/>
  <c r="AZ89" i="67"/>
  <c r="AZ88" i="67"/>
  <c r="AZ87" i="67"/>
  <c r="AZ86" i="67"/>
  <c r="AZ85" i="67"/>
  <c r="AZ84" i="67"/>
  <c r="AZ83" i="67"/>
  <c r="AZ82" i="67"/>
  <c r="AZ81" i="67"/>
  <c r="AZ79" i="67"/>
  <c r="AZ77" i="67"/>
  <c r="AZ75" i="67"/>
  <c r="AZ66" i="67"/>
  <c r="AZ62" i="67"/>
  <c r="AZ53" i="67"/>
  <c r="AZ49" i="67"/>
  <c r="AZ43" i="67"/>
  <c r="AZ37" i="67"/>
  <c r="AZ28" i="67"/>
  <c r="AZ24" i="67"/>
  <c r="AZ14" i="67"/>
  <c r="BI117" i="66"/>
  <c r="BI116" i="66"/>
  <c r="BI115" i="66"/>
  <c r="BI114" i="66"/>
  <c r="BI108" i="66"/>
  <c r="BI106" i="66"/>
  <c r="BI104" i="66"/>
  <c r="BI89" i="66"/>
  <c r="BI85" i="66"/>
  <c r="BI70" i="66"/>
  <c r="BI65" i="66"/>
  <c r="BI59" i="66"/>
  <c r="BI50" i="66"/>
  <c r="BI35" i="66"/>
  <c r="BI30" i="66"/>
  <c r="BI22" i="66"/>
  <c r="BI19" i="66"/>
  <c r="AZ115" i="66"/>
  <c r="AZ114" i="66"/>
  <c r="AZ108" i="66"/>
  <c r="AZ107" i="66"/>
  <c r="AZ106" i="66"/>
  <c r="AZ105" i="66"/>
  <c r="AZ104" i="66"/>
  <c r="AZ103" i="66"/>
  <c r="AZ102" i="66"/>
  <c r="AZ101" i="66"/>
  <c r="AZ100" i="66"/>
  <c r="AZ99" i="66"/>
  <c r="AZ98" i="66"/>
  <c r="AZ97" i="66"/>
  <c r="AZ96" i="66"/>
  <c r="AZ95" i="66"/>
  <c r="AZ94" i="66"/>
  <c r="AZ93" i="66"/>
  <c r="AZ92" i="66"/>
  <c r="AZ91" i="66"/>
  <c r="AZ90" i="66"/>
  <c r="AZ89" i="66"/>
  <c r="AZ88" i="66"/>
  <c r="AZ87" i="66"/>
  <c r="AZ86" i="66"/>
  <c r="AZ85" i="66"/>
  <c r="AZ84" i="66"/>
  <c r="AZ83" i="66"/>
  <c r="AZ82" i="66"/>
  <c r="AZ81" i="66"/>
  <c r="AZ80" i="66"/>
  <c r="AZ79" i="66"/>
  <c r="AZ78" i="66"/>
  <c r="AZ77" i="66"/>
  <c r="AZ76" i="66"/>
  <c r="AZ75" i="66"/>
  <c r="AZ74" i="66"/>
  <c r="AZ73" i="66"/>
  <c r="AZ72" i="66"/>
  <c r="AZ71" i="66"/>
  <c r="AZ69" i="66"/>
  <c r="AZ67" i="66"/>
  <c r="AZ65" i="66"/>
  <c r="AZ57" i="66"/>
  <c r="AZ53" i="66"/>
  <c r="AZ45" i="66"/>
  <c r="AZ42" i="66"/>
  <c r="AZ36" i="66"/>
  <c r="AZ31" i="66"/>
  <c r="AZ23" i="66"/>
  <c r="AZ20" i="66"/>
  <c r="AZ12" i="66"/>
  <c r="BI135" i="1"/>
  <c r="BI134" i="1"/>
  <c r="BI133" i="1"/>
  <c r="BI132" i="1"/>
  <c r="BI126" i="1"/>
  <c r="BI124" i="1"/>
  <c r="BI122" i="1"/>
  <c r="BI105" i="1"/>
  <c r="BI101" i="1"/>
  <c r="BI84" i="1"/>
  <c r="BI77" i="1"/>
  <c r="BI71" i="1"/>
  <c r="BI60" i="1"/>
  <c r="BI43" i="1"/>
  <c r="BI36" i="1"/>
  <c r="BI26" i="1"/>
  <c r="BI23" i="1"/>
  <c r="AZ133" i="1"/>
  <c r="AZ132" i="1"/>
  <c r="AZ126" i="1"/>
  <c r="AZ125" i="1"/>
  <c r="AZ124" i="1"/>
  <c r="AZ123" i="1"/>
  <c r="AZ122" i="1"/>
  <c r="AZ121" i="1"/>
  <c r="AZ120" i="1"/>
  <c r="AZ119" i="1"/>
  <c r="AZ118" i="1"/>
  <c r="AZ117" i="1"/>
  <c r="AZ116" i="1"/>
  <c r="AZ115" i="1"/>
  <c r="AZ114" i="1"/>
  <c r="AZ113" i="1"/>
  <c r="AZ112" i="1"/>
  <c r="AZ111" i="1"/>
  <c r="AZ110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1" i="1"/>
  <c r="AZ90" i="1"/>
  <c r="AZ89" i="1"/>
  <c r="AZ88" i="1"/>
  <c r="AZ87" i="1"/>
  <c r="AZ86" i="1"/>
  <c r="AZ85" i="1"/>
  <c r="AZ84" i="1"/>
  <c r="AZ83" i="1"/>
  <c r="AZ82" i="1"/>
  <c r="AZ81" i="1"/>
  <c r="AZ79" i="1"/>
  <c r="AZ77" i="1"/>
  <c r="AZ75" i="1"/>
  <c r="AZ66" i="1"/>
  <c r="AZ62" i="1"/>
  <c r="AZ53" i="1"/>
  <c r="AZ49" i="1"/>
  <c r="AZ43" i="1"/>
  <c r="AZ37" i="1"/>
  <c r="AZ28" i="1"/>
  <c r="AZ24" i="1"/>
  <c r="AZ14" i="1"/>
  <c r="AY44" i="68"/>
  <c r="BH68" i="68"/>
  <c r="BH30" i="68"/>
  <c r="BH29" i="68"/>
  <c r="BH28" i="68"/>
  <c r="BH27" i="68"/>
  <c r="BH26" i="68"/>
  <c r="BH25" i="68"/>
  <c r="BH24" i="68"/>
  <c r="BH20" i="68"/>
  <c r="BH21" i="68"/>
  <c r="AY40" i="68"/>
  <c r="BH63" i="68"/>
  <c r="BI63" i="68"/>
  <c r="W281" i="2"/>
  <c r="AY34" i="68"/>
  <c r="BH56" i="68"/>
  <c r="AY33" i="68"/>
  <c r="BH55" i="68"/>
  <c r="AY32" i="68"/>
  <c r="BH52" i="68"/>
  <c r="AY31" i="68"/>
  <c r="AY30" i="68"/>
  <c r="BH48" i="68"/>
  <c r="AY28" i="68"/>
  <c r="AY27" i="68"/>
  <c r="AY26" i="68"/>
  <c r="BH41" i="68"/>
  <c r="BI41" i="68"/>
  <c r="W254" i="2"/>
  <c r="AY25" i="68"/>
  <c r="BH39" i="68"/>
  <c r="BI39" i="68"/>
  <c r="W252" i="2"/>
  <c r="AY24" i="68"/>
  <c r="BH37" i="68"/>
  <c r="AY23" i="68"/>
  <c r="BH35" i="68"/>
  <c r="BI35" i="68"/>
  <c r="W248" i="2"/>
  <c r="AY21" i="68"/>
  <c r="BH32" i="68"/>
  <c r="AY11" i="68"/>
  <c r="BH18" i="68"/>
  <c r="BI18" i="68"/>
  <c r="W158" i="2"/>
  <c r="N158" i="2"/>
  <c r="F158" i="2"/>
  <c r="I158" i="2"/>
  <c r="AY10" i="68"/>
  <c r="BH15" i="68"/>
  <c r="BI15" i="68"/>
  <c r="W155" i="2"/>
  <c r="N155" i="2"/>
  <c r="F155" i="2"/>
  <c r="I155" i="2"/>
  <c r="AY9" i="68"/>
  <c r="BH14" i="68"/>
  <c r="BI14" i="68"/>
  <c r="W154" i="2"/>
  <c r="N154" i="2"/>
  <c r="F154" i="2"/>
  <c r="I154" i="2"/>
  <c r="AY8" i="68"/>
  <c r="BH11" i="68"/>
  <c r="AY7" i="68"/>
  <c r="BH9" i="68"/>
  <c r="BI9" i="68"/>
  <c r="W149" i="2"/>
  <c r="N149" i="2"/>
  <c r="F149" i="2"/>
  <c r="I149" i="2"/>
  <c r="AY6" i="68"/>
  <c r="BH8" i="68"/>
  <c r="BI8" i="68"/>
  <c r="W148" i="2"/>
  <c r="N148" i="2"/>
  <c r="F148" i="2"/>
  <c r="I148" i="2"/>
  <c r="AY5" i="68"/>
  <c r="BH5" i="68"/>
  <c r="AW65" i="68"/>
  <c r="AV65" i="68"/>
  <c r="BK101" i="68"/>
  <c r="BK99" i="68"/>
  <c r="BB101" i="68"/>
  <c r="BB100" i="68"/>
  <c r="BK97" i="68"/>
  <c r="BB99" i="68"/>
  <c r="BB98" i="68"/>
  <c r="BB97" i="68"/>
  <c r="BB96" i="68"/>
  <c r="BB95" i="68"/>
  <c r="BB94" i="68"/>
  <c r="BB93" i="68"/>
  <c r="BB92" i="68"/>
  <c r="BB91" i="68"/>
  <c r="BB90" i="68"/>
  <c r="BB89" i="68"/>
  <c r="BB88" i="68"/>
  <c r="BB87" i="68"/>
  <c r="BB86" i="68"/>
  <c r="BB85" i="68"/>
  <c r="BB84" i="68"/>
  <c r="BB83" i="68"/>
  <c r="BB82" i="68"/>
  <c r="BB81" i="68"/>
  <c r="BK80" i="68"/>
  <c r="BB80" i="68"/>
  <c r="BB79" i="68"/>
  <c r="BB78" i="68"/>
  <c r="BB77" i="68"/>
  <c r="BB76" i="68"/>
  <c r="BB75" i="68"/>
  <c r="BB74" i="68"/>
  <c r="BB73" i="68"/>
  <c r="BB72" i="68"/>
  <c r="BB71" i="68"/>
  <c r="BB70" i="68"/>
  <c r="BB69" i="68"/>
  <c r="BB68" i="68"/>
  <c r="BB66" i="68"/>
  <c r="AW64" i="68"/>
  <c r="AV64" i="68"/>
  <c r="BB63" i="68"/>
  <c r="AY62" i="68"/>
  <c r="BH98" i="68"/>
  <c r="BI98" i="68"/>
  <c r="W351" i="2"/>
  <c r="BB61" i="68"/>
  <c r="AY60" i="68"/>
  <c r="BH96" i="68"/>
  <c r="AY59" i="68"/>
  <c r="BH93" i="68"/>
  <c r="AY58" i="68"/>
  <c r="BH91" i="68"/>
  <c r="AY57" i="68"/>
  <c r="BH90" i="68"/>
  <c r="AY56" i="68"/>
  <c r="AY55" i="68"/>
  <c r="BH86" i="68"/>
  <c r="BK58" i="68"/>
  <c r="AY53" i="68"/>
  <c r="BH83" i="68"/>
  <c r="BI83" i="68"/>
  <c r="W324" i="2"/>
  <c r="AY52" i="68"/>
  <c r="BH82" i="68"/>
  <c r="BI82" i="68"/>
  <c r="W323" i="2"/>
  <c r="AY51" i="68"/>
  <c r="BH81" i="68"/>
  <c r="BI81" i="68"/>
  <c r="W322" i="2"/>
  <c r="BB50" i="68"/>
  <c r="AY49" i="68"/>
  <c r="BH78" i="68"/>
  <c r="BI78" i="68"/>
  <c r="W319" i="2"/>
  <c r="AY48" i="68"/>
  <c r="AY47" i="68"/>
  <c r="BH75" i="68"/>
  <c r="AY46" i="68"/>
  <c r="BH72" i="68"/>
  <c r="BI72" i="68"/>
  <c r="W313" i="2"/>
  <c r="AY45" i="68"/>
  <c r="BH70" i="68"/>
  <c r="BI70" i="68"/>
  <c r="W311" i="2"/>
  <c r="BB43" i="68"/>
  <c r="AY42" i="68"/>
  <c r="AY39" i="68"/>
  <c r="BH62" i="68"/>
  <c r="AY38" i="68"/>
  <c r="BH61" i="68"/>
  <c r="AY37" i="68"/>
  <c r="BH60" i="68"/>
  <c r="AY36" i="68"/>
  <c r="BH59" i="68"/>
  <c r="BI59" i="68"/>
  <c r="W277" i="2"/>
  <c r="BB35" i="68"/>
  <c r="BK34" i="68"/>
  <c r="BB22" i="68"/>
  <c r="BK23" i="68"/>
  <c r="BB20" i="68"/>
  <c r="BK19" i="68"/>
  <c r="O17" i="68"/>
  <c r="J13" i="68"/>
  <c r="BB12" i="68"/>
  <c r="F11" i="68"/>
  <c r="F10" i="68"/>
  <c r="F8" i="68"/>
  <c r="F7" i="68"/>
  <c r="BH29" i="66"/>
  <c r="BH28" i="66"/>
  <c r="BH27" i="66"/>
  <c r="BH26" i="66"/>
  <c r="BI26" i="66"/>
  <c r="S75" i="2"/>
  <c r="BH25" i="66"/>
  <c r="BH24" i="66"/>
  <c r="BH23" i="66"/>
  <c r="BH20" i="66"/>
  <c r="BI20" i="66"/>
  <c r="S104" i="2"/>
  <c r="BK135" i="67"/>
  <c r="BB133" i="67"/>
  <c r="BK134" i="67"/>
  <c r="BB132" i="67"/>
  <c r="BK133" i="67"/>
  <c r="BK132" i="67"/>
  <c r="BB126" i="67"/>
  <c r="BB125" i="67"/>
  <c r="BK126" i="67"/>
  <c r="BB124" i="67"/>
  <c r="BB123" i="67"/>
  <c r="BK124" i="67"/>
  <c r="BB122" i="67"/>
  <c r="BB121" i="67"/>
  <c r="BK122" i="67"/>
  <c r="BB120" i="67"/>
  <c r="BB119" i="67"/>
  <c r="BB118" i="67"/>
  <c r="BB117" i="67"/>
  <c r="BB116" i="67"/>
  <c r="BB115" i="67"/>
  <c r="BB114" i="67"/>
  <c r="BB113" i="67"/>
  <c r="BB112" i="67"/>
  <c r="BB111" i="67"/>
  <c r="BB110" i="67"/>
  <c r="BB109" i="67"/>
  <c r="BB108" i="67"/>
  <c r="BB107" i="67"/>
  <c r="BB106" i="67"/>
  <c r="BB105" i="67"/>
  <c r="BB104" i="67"/>
  <c r="BK105" i="67"/>
  <c r="BB103" i="67"/>
  <c r="BB102" i="67"/>
  <c r="BB101" i="67"/>
  <c r="BB100" i="67"/>
  <c r="BK101" i="67"/>
  <c r="BB99" i="67"/>
  <c r="BB98" i="67"/>
  <c r="BB97" i="67"/>
  <c r="BB96" i="67"/>
  <c r="BB95" i="67"/>
  <c r="BB94" i="67"/>
  <c r="BB93" i="67"/>
  <c r="BB92" i="67"/>
  <c r="BB91" i="67"/>
  <c r="BB90" i="67"/>
  <c r="BB89" i="67"/>
  <c r="BB88" i="67"/>
  <c r="BB87" i="67"/>
  <c r="BB86" i="67"/>
  <c r="BB85" i="67"/>
  <c r="BB84" i="67"/>
  <c r="BB83" i="67"/>
  <c r="BK84" i="67"/>
  <c r="BB82" i="67"/>
  <c r="BB81" i="67"/>
  <c r="BB79" i="67"/>
  <c r="AW78" i="67"/>
  <c r="AV78" i="67"/>
  <c r="BB77" i="67"/>
  <c r="AY76" i="67"/>
  <c r="BH123" i="67"/>
  <c r="BK77" i="67"/>
  <c r="BB75" i="67"/>
  <c r="AY74" i="67"/>
  <c r="BH121" i="67"/>
  <c r="AY73" i="67"/>
  <c r="BH118" i="67"/>
  <c r="AY72" i="67"/>
  <c r="BH117" i="67"/>
  <c r="AY71" i="67"/>
  <c r="BH114" i="67"/>
  <c r="BI114" i="67"/>
  <c r="U342" i="2"/>
  <c r="AY70" i="67"/>
  <c r="BH112" i="67"/>
  <c r="BK71" i="67"/>
  <c r="AY69" i="67"/>
  <c r="BH110" i="67"/>
  <c r="AY68" i="67"/>
  <c r="BH108" i="67"/>
  <c r="BI108" i="67"/>
  <c r="U336" i="2"/>
  <c r="AY67" i="67"/>
  <c r="BH106" i="67"/>
  <c r="BH107" i="67"/>
  <c r="BB66" i="67"/>
  <c r="AY65" i="67"/>
  <c r="BH104" i="67"/>
  <c r="AY64" i="67"/>
  <c r="AY63" i="67"/>
  <c r="BB62" i="67"/>
  <c r="AY61" i="67"/>
  <c r="BH99" i="67"/>
  <c r="AY60" i="67"/>
  <c r="BH97" i="67"/>
  <c r="BI97" i="67"/>
  <c r="U317" i="2"/>
  <c r="AY59" i="67"/>
  <c r="BH95" i="67"/>
  <c r="BK60" i="67"/>
  <c r="AY58" i="67"/>
  <c r="BH93" i="67"/>
  <c r="AY57" i="67"/>
  <c r="BH92" i="67"/>
  <c r="BI92" i="67"/>
  <c r="U312" i="2"/>
  <c r="AY56" i="67"/>
  <c r="BH90" i="67"/>
  <c r="AY55" i="67"/>
  <c r="BH88" i="67"/>
  <c r="AY54" i="67"/>
  <c r="BH85" i="67"/>
  <c r="BI85" i="67"/>
  <c r="U305" i="2"/>
  <c r="BB53" i="67"/>
  <c r="AY52" i="67"/>
  <c r="BH82" i="67"/>
  <c r="AY51" i="67"/>
  <c r="BH81" i="67"/>
  <c r="BI81" i="67"/>
  <c r="U293" i="2"/>
  <c r="AY50" i="67"/>
  <c r="BH79" i="67"/>
  <c r="BB49" i="67"/>
  <c r="AY48" i="67"/>
  <c r="BH76" i="67"/>
  <c r="BI76" i="67"/>
  <c r="U281" i="2"/>
  <c r="AY47" i="67"/>
  <c r="BH75" i="67"/>
  <c r="AY46" i="67"/>
  <c r="BH74" i="67"/>
  <c r="BI74" i="67"/>
  <c r="U279" i="2"/>
  <c r="AY45" i="67"/>
  <c r="BH73" i="67"/>
  <c r="BI73" i="67"/>
  <c r="U278" i="2"/>
  <c r="AY44" i="67"/>
  <c r="BH72" i="67"/>
  <c r="BI72" i="67"/>
  <c r="U277" i="2"/>
  <c r="BB43" i="67"/>
  <c r="AY42" i="67"/>
  <c r="BH70" i="67"/>
  <c r="BK43" i="67"/>
  <c r="AY41" i="67"/>
  <c r="BH68" i="67"/>
  <c r="BI68" i="67"/>
  <c r="U273" i="2"/>
  <c r="AY40" i="67"/>
  <c r="BH66" i="67"/>
  <c r="BI66" i="67"/>
  <c r="U271" i="2"/>
  <c r="AY39" i="67"/>
  <c r="BH64" i="67"/>
  <c r="BI64" i="67"/>
  <c r="U269" i="2"/>
  <c r="AY38" i="67"/>
  <c r="BH61" i="67"/>
  <c r="BI61" i="67"/>
  <c r="U266" i="2"/>
  <c r="BB37" i="67"/>
  <c r="AY36" i="67"/>
  <c r="BH59" i="67"/>
  <c r="AY35" i="67"/>
  <c r="BH57" i="67"/>
  <c r="BI57" i="67"/>
  <c r="U257" i="2"/>
  <c r="BK36" i="67"/>
  <c r="AY34" i="67"/>
  <c r="BH54" i="67"/>
  <c r="BI54" i="67"/>
  <c r="U254" i="2"/>
  <c r="BH35" i="67"/>
  <c r="AY33" i="67"/>
  <c r="BH53" i="67"/>
  <c r="BH34" i="67"/>
  <c r="AY32" i="67"/>
  <c r="BH50" i="67"/>
  <c r="BH33" i="67"/>
  <c r="AY31" i="67"/>
  <c r="BH48" i="67"/>
  <c r="BH32" i="67"/>
  <c r="AY30" i="67"/>
  <c r="BH47" i="67"/>
  <c r="BI47" i="67"/>
  <c r="U247" i="2"/>
  <c r="BH31" i="67"/>
  <c r="AY29" i="67"/>
  <c r="BH44" i="67"/>
  <c r="BH30" i="67"/>
  <c r="BB28" i="67"/>
  <c r="BH29" i="67"/>
  <c r="AY27" i="67"/>
  <c r="BH41" i="67"/>
  <c r="BH28" i="67"/>
  <c r="AY26" i="67"/>
  <c r="BH40" i="67"/>
  <c r="BH27" i="67"/>
  <c r="AY25" i="67"/>
  <c r="BH38" i="67"/>
  <c r="BI38" i="67"/>
  <c r="U230" i="2"/>
  <c r="BK26" i="67"/>
  <c r="BB24" i="67"/>
  <c r="BH24" i="67"/>
  <c r="BH128" i="67"/>
  <c r="BI128" i="67"/>
  <c r="U355" i="2"/>
  <c r="BK23" i="67"/>
  <c r="O17" i="67"/>
  <c r="BB14" i="67"/>
  <c r="AY13" i="67"/>
  <c r="BH21" i="67"/>
  <c r="J13" i="67"/>
  <c r="AY12" i="67"/>
  <c r="BH20" i="67"/>
  <c r="BI20" i="67"/>
  <c r="U131" i="2"/>
  <c r="AY11" i="67"/>
  <c r="BH18" i="67"/>
  <c r="BI18" i="67"/>
  <c r="U129" i="2"/>
  <c r="F11" i="67"/>
  <c r="AY10" i="67"/>
  <c r="BH15" i="67"/>
  <c r="BI15" i="67"/>
  <c r="U126" i="2"/>
  <c r="F10" i="67"/>
  <c r="AY9" i="67"/>
  <c r="AY8" i="67"/>
  <c r="BH11" i="67"/>
  <c r="F8" i="67"/>
  <c r="AY7" i="67"/>
  <c r="BH10" i="67"/>
  <c r="BI10" i="67"/>
  <c r="U121" i="2"/>
  <c r="F7" i="67"/>
  <c r="AY6" i="67"/>
  <c r="BH8" i="67"/>
  <c r="AY5" i="67"/>
  <c r="BH6" i="67"/>
  <c r="BI6" i="67"/>
  <c r="U117" i="2"/>
  <c r="F7" i="66"/>
  <c r="F11" i="66"/>
  <c r="F8" i="66"/>
  <c r="J13" i="66"/>
  <c r="F11" i="1"/>
  <c r="F8" i="1"/>
  <c r="J13" i="1"/>
  <c r="F7" i="1"/>
  <c r="AW68" i="66"/>
  <c r="AV68" i="66"/>
  <c r="AY66" i="66"/>
  <c r="BH105" i="66"/>
  <c r="BI105" i="66"/>
  <c r="S351" i="2"/>
  <c r="AY64" i="66"/>
  <c r="BH102" i="66"/>
  <c r="AY63" i="66"/>
  <c r="BH100" i="66"/>
  <c r="BI100" i="66"/>
  <c r="S346" i="2"/>
  <c r="BH101" i="66"/>
  <c r="AY62" i="66"/>
  <c r="BH99" i="66"/>
  <c r="AY61" i="66"/>
  <c r="BH97" i="66"/>
  <c r="AY60" i="66"/>
  <c r="BH95" i="66"/>
  <c r="AY59" i="66"/>
  <c r="BH93" i="66"/>
  <c r="BI93" i="66"/>
  <c r="S339" i="2"/>
  <c r="AY58" i="66"/>
  <c r="BH91" i="66"/>
  <c r="AY56" i="66"/>
  <c r="BH88" i="66"/>
  <c r="AY55" i="66"/>
  <c r="BH87" i="66"/>
  <c r="AY54" i="66"/>
  <c r="BH86" i="66"/>
  <c r="AY52" i="66"/>
  <c r="BH84" i="66"/>
  <c r="AY51" i="66"/>
  <c r="BH81" i="66"/>
  <c r="AY50" i="66"/>
  <c r="BH80" i="66"/>
  <c r="AY49" i="66"/>
  <c r="AY48" i="66"/>
  <c r="BH75" i="66"/>
  <c r="AY47" i="66"/>
  <c r="BH74" i="66"/>
  <c r="AY46" i="66"/>
  <c r="BH71" i="66"/>
  <c r="AY44" i="66"/>
  <c r="BH69" i="66"/>
  <c r="AY43" i="66"/>
  <c r="BH67" i="66"/>
  <c r="BI67" i="66"/>
  <c r="S293" i="2"/>
  <c r="AY41" i="66"/>
  <c r="BH64" i="66"/>
  <c r="BI64" i="66"/>
  <c r="S281" i="2"/>
  <c r="AY40" i="66"/>
  <c r="BH63" i="66"/>
  <c r="BI63" i="66"/>
  <c r="S280" i="2"/>
  <c r="AY39" i="66"/>
  <c r="BH62" i="66"/>
  <c r="BI62" i="66"/>
  <c r="S279" i="2"/>
  <c r="AY38" i="66"/>
  <c r="AY37" i="66"/>
  <c r="AY35" i="66"/>
  <c r="BH58" i="66"/>
  <c r="AY34" i="66"/>
  <c r="BH55" i="66"/>
  <c r="AY33" i="66"/>
  <c r="AY32" i="66"/>
  <c r="BH51" i="66"/>
  <c r="AY30" i="66"/>
  <c r="AY29" i="66"/>
  <c r="BH46" i="66"/>
  <c r="BI46" i="66"/>
  <c r="S256" i="2"/>
  <c r="AY28" i="66"/>
  <c r="BH45" i="66"/>
  <c r="BI45" i="66"/>
  <c r="S255" i="2"/>
  <c r="AY27" i="66"/>
  <c r="BH43" i="66"/>
  <c r="BI43" i="66"/>
  <c r="S253" i="2"/>
  <c r="AY26" i="66"/>
  <c r="BH41" i="66"/>
  <c r="BI41" i="66"/>
  <c r="S251" i="2"/>
  <c r="AY25" i="66"/>
  <c r="BH38" i="66"/>
  <c r="BI38" i="66"/>
  <c r="S248" i="2"/>
  <c r="AY24" i="66"/>
  <c r="BH37" i="66"/>
  <c r="AY22" i="66"/>
  <c r="BH34" i="66"/>
  <c r="AY21" i="66"/>
  <c r="BH31" i="66"/>
  <c r="AY11" i="66"/>
  <c r="BH18" i="66"/>
  <c r="BI18" i="66"/>
  <c r="S102" i="2"/>
  <c r="AY10" i="66"/>
  <c r="BH16" i="66"/>
  <c r="AY9" i="66"/>
  <c r="AY8" i="66"/>
  <c r="BH12" i="66"/>
  <c r="BI12" i="66"/>
  <c r="S96" i="2"/>
  <c r="AY7" i="66"/>
  <c r="BH9" i="66"/>
  <c r="BI9" i="66"/>
  <c r="S93" i="2"/>
  <c r="AY6" i="66"/>
  <c r="BH8" i="66"/>
  <c r="AY5" i="66"/>
  <c r="BH5" i="66"/>
  <c r="BK117" i="66"/>
  <c r="BB115" i="66"/>
  <c r="BK116" i="66"/>
  <c r="BB114" i="66"/>
  <c r="BK115" i="66"/>
  <c r="BK114" i="66"/>
  <c r="BB108" i="66"/>
  <c r="BK108" i="66"/>
  <c r="BB107" i="66"/>
  <c r="BB106" i="66"/>
  <c r="BB105" i="66"/>
  <c r="BB104" i="66"/>
  <c r="BB103" i="66"/>
  <c r="BB102" i="66"/>
  <c r="BB101" i="66"/>
  <c r="BB100" i="66"/>
  <c r="BB99" i="66"/>
  <c r="BB98" i="66"/>
  <c r="BB97" i="66"/>
  <c r="BB96" i="66"/>
  <c r="BB95" i="66"/>
  <c r="BB94" i="66"/>
  <c r="BB93" i="66"/>
  <c r="BB92" i="66"/>
  <c r="BB91" i="66"/>
  <c r="BB90" i="66"/>
  <c r="BB89" i="66"/>
  <c r="BB88" i="66"/>
  <c r="BB87" i="66"/>
  <c r="BB86" i="66"/>
  <c r="BB85" i="66"/>
  <c r="BB84" i="66"/>
  <c r="BB83" i="66"/>
  <c r="BB82" i="66"/>
  <c r="BB81" i="66"/>
  <c r="BB79" i="66"/>
  <c r="BB78" i="66"/>
  <c r="BB77" i="66"/>
  <c r="BB75" i="66"/>
  <c r="BB74" i="66"/>
  <c r="BB73" i="66"/>
  <c r="BB72" i="66"/>
  <c r="BB67" i="66"/>
  <c r="BB65" i="66"/>
  <c r="BB57" i="66"/>
  <c r="BB53" i="66"/>
  <c r="BB45" i="66"/>
  <c r="BB31" i="66"/>
  <c r="BK30" i="66"/>
  <c r="O17" i="66"/>
  <c r="BB12" i="66"/>
  <c r="F10" i="66"/>
  <c r="BH35" i="1"/>
  <c r="BH34" i="1"/>
  <c r="BH33" i="1"/>
  <c r="BH32" i="1"/>
  <c r="BH31" i="1"/>
  <c r="BH30" i="1"/>
  <c r="BH29" i="1"/>
  <c r="BH28" i="1"/>
  <c r="BH27" i="1"/>
  <c r="BI27" i="1"/>
  <c r="Q71" i="2"/>
  <c r="E84" i="3"/>
  <c r="AM23" i="10"/>
  <c r="E83" i="3"/>
  <c r="AW22" i="10"/>
  <c r="E82" i="3"/>
  <c r="AW21" i="10"/>
  <c r="E81" i="3"/>
  <c r="AW20" i="10"/>
  <c r="E80" i="3"/>
  <c r="AW19" i="10"/>
  <c r="E79" i="3"/>
  <c r="AW18" i="10"/>
  <c r="E78" i="3"/>
  <c r="AW17" i="10"/>
  <c r="E77" i="3"/>
  <c r="AW16" i="10"/>
  <c r="AY66" i="75" s="1"/>
  <c r="E76" i="3"/>
  <c r="B11" i="77"/>
  <c r="E85" i="3"/>
  <c r="E75" i="3"/>
  <c r="AU21" i="10"/>
  <c r="AA15" i="2"/>
  <c r="E74" i="3"/>
  <c r="AU20" i="10"/>
  <c r="AA14" i="2"/>
  <c r="E73" i="3"/>
  <c r="AU18" i="10"/>
  <c r="AA12" i="2"/>
  <c r="E72" i="3"/>
  <c r="AU17" i="10"/>
  <c r="AA11" i="2"/>
  <c r="E71" i="3"/>
  <c r="AU16" i="10"/>
  <c r="E70" i="3"/>
  <c r="B8" i="70"/>
  <c r="B8" i="67"/>
  <c r="AM17" i="10"/>
  <c r="E69" i="3"/>
  <c r="E68" i="3"/>
  <c r="AU11" i="10"/>
  <c r="E67" i="3"/>
  <c r="AU10" i="10"/>
  <c r="E66" i="3"/>
  <c r="E65" i="3"/>
  <c r="AU19" i="10" s="1"/>
  <c r="AA13" i="2" s="1"/>
  <c r="E64" i="3"/>
  <c r="E63" i="3"/>
  <c r="AU8" i="10"/>
  <c r="E62" i="3"/>
  <c r="AU7" i="10"/>
  <c r="E61" i="3"/>
  <c r="E25" i="3"/>
  <c r="U17" i="10" s="1"/>
  <c r="B214" i="2"/>
  <c r="AU18" i="75"/>
  <c r="B213" i="2"/>
  <c r="B212" i="2"/>
  <c r="B211" i="2"/>
  <c r="B210" i="2"/>
  <c r="C210" i="2"/>
  <c r="B209" i="2"/>
  <c r="B215" i="2"/>
  <c r="BK84" i="1"/>
  <c r="BK60" i="1"/>
  <c r="BK36" i="1"/>
  <c r="BK135" i="1"/>
  <c r="BK134" i="1"/>
  <c r="BK133" i="1"/>
  <c r="BK132" i="1"/>
  <c r="BK126" i="1"/>
  <c r="BK124" i="1"/>
  <c r="BK122" i="1"/>
  <c r="BK105" i="1"/>
  <c r="BK101" i="1"/>
  <c r="BK77" i="1"/>
  <c r="BK71" i="1"/>
  <c r="BK43" i="1"/>
  <c r="BK26" i="1"/>
  <c r="BK23" i="1"/>
  <c r="BB88" i="1"/>
  <c r="BB87" i="1"/>
  <c r="BB86" i="1"/>
  <c r="BB85" i="1"/>
  <c r="BB84" i="1"/>
  <c r="BB83" i="1"/>
  <c r="BB82" i="1"/>
  <c r="BB81" i="1"/>
  <c r="BB79" i="1"/>
  <c r="BB77" i="1"/>
  <c r="BB75" i="1"/>
  <c r="BB66" i="1"/>
  <c r="BB62" i="1"/>
  <c r="BB53" i="1"/>
  <c r="BB49" i="1"/>
  <c r="BB43" i="1"/>
  <c r="BB37" i="1"/>
  <c r="BB28" i="1"/>
  <c r="BB24" i="1"/>
  <c r="BB14" i="1"/>
  <c r="BH44" i="68"/>
  <c r="BB29" i="68"/>
  <c r="BK31" i="68"/>
  <c r="BK47" i="68"/>
  <c r="BK84" i="68"/>
  <c r="BK64" i="68"/>
  <c r="BB41" i="68"/>
  <c r="BB54" i="68"/>
  <c r="BK50" i="66"/>
  <c r="BH39" i="67"/>
  <c r="BH115" i="67"/>
  <c r="BH80" i="67"/>
  <c r="BH86" i="67"/>
  <c r="BH87" i="67"/>
  <c r="BK104" i="66"/>
  <c r="BK89" i="66"/>
  <c r="BK65" i="66"/>
  <c r="BK22" i="66"/>
  <c r="BB23" i="66"/>
  <c r="BK35" i="66"/>
  <c r="BK106" i="66"/>
  <c r="BB20" i="66"/>
  <c r="BB36" i="66"/>
  <c r="BB42" i="66"/>
  <c r="BK59" i="66"/>
  <c r="BB69" i="66"/>
  <c r="BB71" i="66"/>
  <c r="BK85" i="66"/>
  <c r="BK19" i="66"/>
  <c r="BK70" i="66"/>
  <c r="BB80" i="66"/>
  <c r="BB76" i="66"/>
  <c r="BK67" i="68"/>
  <c r="AY48" i="1"/>
  <c r="AY27" i="1"/>
  <c r="BH42" i="1"/>
  <c r="BH24" i="1"/>
  <c r="BH128" i="1"/>
  <c r="AY76" i="1"/>
  <c r="BH123" i="1"/>
  <c r="AY74" i="1"/>
  <c r="BH121" i="1"/>
  <c r="AY73" i="1"/>
  <c r="AY72" i="1"/>
  <c r="BH117" i="1"/>
  <c r="BI117" i="1"/>
  <c r="Q345" i="2"/>
  <c r="AY71" i="1"/>
  <c r="BH114" i="1"/>
  <c r="AY70" i="1"/>
  <c r="BH112" i="1"/>
  <c r="BI112" i="1"/>
  <c r="Q340" i="2"/>
  <c r="AY69" i="1"/>
  <c r="BH111" i="1"/>
  <c r="AY68" i="1"/>
  <c r="BH109" i="1"/>
  <c r="AY67" i="1"/>
  <c r="BH107" i="1"/>
  <c r="AY65" i="1"/>
  <c r="BH104" i="1"/>
  <c r="BI104" i="1"/>
  <c r="Q324" i="2"/>
  <c r="AY64" i="1"/>
  <c r="BH103" i="1"/>
  <c r="AY63" i="1"/>
  <c r="AY61" i="1"/>
  <c r="BH100" i="1"/>
  <c r="AY60" i="1"/>
  <c r="BH98" i="1"/>
  <c r="AY59" i="1"/>
  <c r="BH96" i="1"/>
  <c r="AY58" i="1"/>
  <c r="BH93" i="1"/>
  <c r="AY57" i="1"/>
  <c r="BH92" i="1"/>
  <c r="AY56" i="1"/>
  <c r="BH90" i="1"/>
  <c r="AY55" i="1"/>
  <c r="BH87" i="1"/>
  <c r="AY54" i="1"/>
  <c r="BH85" i="1"/>
  <c r="AY52" i="1"/>
  <c r="BH83" i="1"/>
  <c r="AY51" i="1"/>
  <c r="BH80" i="1"/>
  <c r="AY50" i="1"/>
  <c r="BH78" i="1"/>
  <c r="AY47" i="1"/>
  <c r="BH75" i="1"/>
  <c r="BI75" i="1"/>
  <c r="Q280" i="2"/>
  <c r="AY46" i="1"/>
  <c r="AY45" i="1"/>
  <c r="AY44" i="1"/>
  <c r="BH72" i="1"/>
  <c r="BI72" i="1"/>
  <c r="Q277" i="2"/>
  <c r="AY42" i="1"/>
  <c r="BH70" i="1"/>
  <c r="AY41" i="1"/>
  <c r="AY40" i="1"/>
  <c r="BH66" i="1"/>
  <c r="AY39" i="1"/>
  <c r="BH63" i="1"/>
  <c r="BI63" i="1"/>
  <c r="Q268" i="2"/>
  <c r="AY38" i="1"/>
  <c r="AY36" i="1"/>
  <c r="BH59" i="1"/>
  <c r="AY35" i="1"/>
  <c r="BH56" i="1"/>
  <c r="AY34" i="1"/>
  <c r="BH54" i="1"/>
  <c r="AY33" i="1"/>
  <c r="BH52" i="1"/>
  <c r="AY32" i="1"/>
  <c r="BH51" i="1"/>
  <c r="AY31" i="1"/>
  <c r="BH48" i="1"/>
  <c r="BI48" i="1"/>
  <c r="Q248" i="2"/>
  <c r="AY30" i="1"/>
  <c r="BH47" i="1"/>
  <c r="AY29" i="1"/>
  <c r="BH44" i="1"/>
  <c r="BI44" i="1"/>
  <c r="Q244" i="2"/>
  <c r="AY26" i="1"/>
  <c r="BH40" i="1"/>
  <c r="AY25" i="1"/>
  <c r="BH38" i="1"/>
  <c r="BI38" i="1"/>
  <c r="Q230" i="2"/>
  <c r="AY13" i="1"/>
  <c r="BH21" i="1"/>
  <c r="BI21" i="1"/>
  <c r="Q66" i="2"/>
  <c r="AY12" i="1"/>
  <c r="BH20" i="1"/>
  <c r="AY11" i="1"/>
  <c r="BH17" i="1"/>
  <c r="AY10" i="1"/>
  <c r="BH15" i="1"/>
  <c r="BI15" i="1"/>
  <c r="Q60" i="2"/>
  <c r="AY9" i="1"/>
  <c r="BH14" i="1"/>
  <c r="BI14" i="1"/>
  <c r="Q59" i="2"/>
  <c r="AY8" i="1"/>
  <c r="BH11" i="1"/>
  <c r="AY7" i="1"/>
  <c r="BH9" i="1"/>
  <c r="BI9" i="1"/>
  <c r="Q54" i="2"/>
  <c r="AY6" i="1"/>
  <c r="BH8" i="1"/>
  <c r="BI8" i="1"/>
  <c r="Q53" i="2"/>
  <c r="AY5" i="1"/>
  <c r="BH6" i="1"/>
  <c r="BI6" i="1"/>
  <c r="Q51" i="2"/>
  <c r="BB133" i="1"/>
  <c r="BB132" i="1"/>
  <c r="BB126" i="1"/>
  <c r="BB125" i="1"/>
  <c r="BB124" i="1"/>
  <c r="BB123" i="1"/>
  <c r="BB122" i="1"/>
  <c r="BB121" i="1"/>
  <c r="BB120" i="1"/>
  <c r="BB119" i="1"/>
  <c r="BB118" i="1"/>
  <c r="BB117" i="1"/>
  <c r="BB116" i="1"/>
  <c r="BB115" i="1"/>
  <c r="BB114" i="1"/>
  <c r="BB113" i="1"/>
  <c r="BB112" i="1"/>
  <c r="BB111" i="1"/>
  <c r="BB110" i="1"/>
  <c r="BB109" i="1"/>
  <c r="BB108" i="1"/>
  <c r="BB107" i="1"/>
  <c r="BB106" i="1"/>
  <c r="BB105" i="1"/>
  <c r="BB104" i="1"/>
  <c r="BB103" i="1"/>
  <c r="BB102" i="1"/>
  <c r="BB101" i="1"/>
  <c r="BB100" i="1"/>
  <c r="BB99" i="1"/>
  <c r="BB98" i="1"/>
  <c r="AW78" i="1"/>
  <c r="AV78" i="1"/>
  <c r="BB97" i="1"/>
  <c r="BB96" i="1"/>
  <c r="BB95" i="1"/>
  <c r="BB94" i="1"/>
  <c r="BB93" i="1"/>
  <c r="BB92" i="1"/>
  <c r="BB91" i="1"/>
  <c r="BB90" i="1"/>
  <c r="BB89" i="1"/>
  <c r="B351" i="2"/>
  <c r="B349" i="2"/>
  <c r="B348" i="2"/>
  <c r="B347" i="2"/>
  <c r="E347" i="2"/>
  <c r="B346" i="2"/>
  <c r="D346" i="2"/>
  <c r="B345" i="2"/>
  <c r="B344" i="2"/>
  <c r="B343" i="2"/>
  <c r="BC119" i="64"/>
  <c r="B342" i="2"/>
  <c r="E342" i="2"/>
  <c r="B341" i="2"/>
  <c r="B340" i="2"/>
  <c r="K340" i="2"/>
  <c r="B339" i="2"/>
  <c r="D339" i="2"/>
  <c r="B338" i="2"/>
  <c r="L338" i="2"/>
  <c r="B337" i="2"/>
  <c r="B336" i="2"/>
  <c r="B335" i="2"/>
  <c r="B334" i="2"/>
  <c r="BC110" i="60"/>
  <c r="BE110" i="60"/>
  <c r="B333" i="2"/>
  <c r="B332" i="2"/>
  <c r="B331" i="2"/>
  <c r="B330" i="2"/>
  <c r="B329" i="2"/>
  <c r="B328" i="2"/>
  <c r="B327" i="2"/>
  <c r="AU58" i="66"/>
  <c r="B326" i="2"/>
  <c r="B324" i="2"/>
  <c r="B323" i="2"/>
  <c r="AU64" i="1"/>
  <c r="AV64" i="1"/>
  <c r="B322" i="2"/>
  <c r="BD86" i="66"/>
  <c r="B320" i="2"/>
  <c r="K320" i="2"/>
  <c r="B319" i="2"/>
  <c r="B318" i="2"/>
  <c r="BD82" i="80"/>
  <c r="B317" i="2"/>
  <c r="BD75" i="76"/>
  <c r="BE75" i="76"/>
  <c r="B316" i="2"/>
  <c r="K316" i="2"/>
  <c r="B315" i="2"/>
  <c r="B314" i="2"/>
  <c r="BC90" i="47"/>
  <c r="BD90" i="47"/>
  <c r="B313" i="2"/>
  <c r="BD93" i="74"/>
  <c r="B312" i="2"/>
  <c r="B311" i="2"/>
  <c r="B310" i="2"/>
  <c r="BD74" i="71"/>
  <c r="BF74" i="71"/>
  <c r="B309" i="2"/>
  <c r="C309" i="2"/>
  <c r="B308" i="2"/>
  <c r="B307" i="2"/>
  <c r="B306" i="2"/>
  <c r="D306" i="2"/>
  <c r="B305" i="2"/>
  <c r="BC81" i="64"/>
  <c r="B304" i="2"/>
  <c r="K304" i="2"/>
  <c r="B303" i="2"/>
  <c r="B302" i="2"/>
  <c r="B301" i="2"/>
  <c r="AU58" i="74"/>
  <c r="AV58" i="74"/>
  <c r="B300" i="2"/>
  <c r="L300" i="2"/>
  <c r="B299" i="2"/>
  <c r="B295" i="2"/>
  <c r="BC71" i="64"/>
  <c r="B298" i="2"/>
  <c r="AU46" i="71"/>
  <c r="B297" i="2"/>
  <c r="B294" i="2"/>
  <c r="B293" i="2"/>
  <c r="B292" i="2"/>
  <c r="BC68" i="47"/>
  <c r="B291" i="2"/>
  <c r="BD79" i="1"/>
  <c r="BE79" i="1"/>
  <c r="B290" i="2"/>
  <c r="B289" i="2"/>
  <c r="B288" i="2"/>
  <c r="AU51" i="1"/>
  <c r="AW51" i="1"/>
  <c r="B287" i="2"/>
  <c r="B285" i="2"/>
  <c r="B284" i="2"/>
  <c r="B283" i="2"/>
  <c r="B282" i="2"/>
  <c r="K282" i="2"/>
  <c r="B281" i="2"/>
  <c r="E281" i="2"/>
  <c r="B280" i="2"/>
  <c r="B279" i="2"/>
  <c r="BD60" i="76"/>
  <c r="B278" i="2"/>
  <c r="B277" i="2"/>
  <c r="B275" i="2"/>
  <c r="B274" i="2"/>
  <c r="B273" i="2"/>
  <c r="B272" i="2"/>
  <c r="B271" i="2"/>
  <c r="B270" i="2"/>
  <c r="AU54" i="64"/>
  <c r="B269" i="2"/>
  <c r="L269" i="2"/>
  <c r="B268" i="2"/>
  <c r="BD63" i="1"/>
  <c r="B267" i="2"/>
  <c r="B266" i="2"/>
  <c r="AU50" i="47"/>
  <c r="AW50" i="47"/>
  <c r="B265" i="2"/>
  <c r="B264" i="2"/>
  <c r="B263" i="2"/>
  <c r="B262" i="2"/>
  <c r="B261" i="2"/>
  <c r="AU44" i="78"/>
  <c r="B259" i="2"/>
  <c r="B258" i="2"/>
  <c r="E258" i="2"/>
  <c r="B257" i="2"/>
  <c r="BD57" i="73"/>
  <c r="B256" i="2"/>
  <c r="B255" i="2"/>
  <c r="B254" i="2"/>
  <c r="B253" i="2"/>
  <c r="B252" i="2"/>
  <c r="K252" i="2"/>
  <c r="B251" i="2"/>
  <c r="B250" i="2"/>
  <c r="B249" i="2"/>
  <c r="K249" i="2"/>
  <c r="B248" i="2"/>
  <c r="B247" i="2"/>
  <c r="B246" i="2"/>
  <c r="B245" i="2"/>
  <c r="B244" i="2"/>
  <c r="B243" i="2"/>
  <c r="AU36" i="74"/>
  <c r="B242" i="2"/>
  <c r="B241" i="2"/>
  <c r="AU34" i="1"/>
  <c r="B240" i="2"/>
  <c r="B239" i="2"/>
  <c r="B238" i="2"/>
  <c r="B237" i="2"/>
  <c r="C237" i="2"/>
  <c r="B236" i="2"/>
  <c r="B234" i="2"/>
  <c r="B233" i="2"/>
  <c r="B232" i="2"/>
  <c r="B231" i="2"/>
  <c r="B230" i="2"/>
  <c r="B229" i="2"/>
  <c r="B228" i="2"/>
  <c r="B227" i="2"/>
  <c r="B226" i="2"/>
  <c r="B196" i="2"/>
  <c r="BD112" i="71"/>
  <c r="BF112" i="71"/>
  <c r="B185" i="2"/>
  <c r="F185" i="2"/>
  <c r="I185" i="2"/>
  <c r="B48" i="2"/>
  <c r="B27" i="2"/>
  <c r="K27" i="2"/>
  <c r="D344" i="2"/>
  <c r="O17" i="1"/>
  <c r="L431" i="2"/>
  <c r="K431" i="2"/>
  <c r="L430" i="2"/>
  <c r="K430" i="2"/>
  <c r="L429" i="2"/>
  <c r="K429" i="2"/>
  <c r="L428" i="2"/>
  <c r="K428" i="2"/>
  <c r="L427" i="2"/>
  <c r="K427" i="2"/>
  <c r="L426" i="2"/>
  <c r="K426" i="2"/>
  <c r="L425" i="2"/>
  <c r="K425" i="2"/>
  <c r="L424" i="2"/>
  <c r="K424" i="2"/>
  <c r="L423" i="2"/>
  <c r="K423" i="2"/>
  <c r="L422" i="2"/>
  <c r="K422" i="2"/>
  <c r="L421" i="2"/>
  <c r="K421" i="2"/>
  <c r="L420" i="2"/>
  <c r="K420" i="2"/>
  <c r="L419" i="2"/>
  <c r="K419" i="2"/>
  <c r="L418" i="2"/>
  <c r="K418" i="2"/>
  <c r="L417" i="2"/>
  <c r="K417" i="2"/>
  <c r="L416" i="2"/>
  <c r="K416" i="2"/>
  <c r="L415" i="2"/>
  <c r="K415" i="2"/>
  <c r="L414" i="2"/>
  <c r="K414" i="2"/>
  <c r="L413" i="2"/>
  <c r="K413" i="2"/>
  <c r="L412" i="2"/>
  <c r="K412" i="2"/>
  <c r="L411" i="2"/>
  <c r="K411" i="2"/>
  <c r="L410" i="2"/>
  <c r="K410" i="2"/>
  <c r="L409" i="2"/>
  <c r="K409" i="2"/>
  <c r="L408" i="2"/>
  <c r="K408" i="2"/>
  <c r="L407" i="2"/>
  <c r="K407" i="2"/>
  <c r="L406" i="2"/>
  <c r="K406" i="2"/>
  <c r="L405" i="2"/>
  <c r="K405" i="2"/>
  <c r="L404" i="2"/>
  <c r="K404" i="2"/>
  <c r="L403" i="2"/>
  <c r="K403" i="2"/>
  <c r="L402" i="2"/>
  <c r="K402" i="2"/>
  <c r="L401" i="2"/>
  <c r="K401" i="2"/>
  <c r="L400" i="2"/>
  <c r="K400" i="2"/>
  <c r="L399" i="2"/>
  <c r="K399" i="2"/>
  <c r="L398" i="2"/>
  <c r="K398" i="2"/>
  <c r="L397" i="2"/>
  <c r="K397" i="2"/>
  <c r="L396" i="2"/>
  <c r="K396" i="2"/>
  <c r="L395" i="2"/>
  <c r="K395" i="2"/>
  <c r="L394" i="2"/>
  <c r="K394" i="2"/>
  <c r="L393" i="2"/>
  <c r="K393" i="2"/>
  <c r="L392" i="2"/>
  <c r="K392" i="2"/>
  <c r="L391" i="2"/>
  <c r="K391" i="2"/>
  <c r="L390" i="2"/>
  <c r="K390" i="2"/>
  <c r="L389" i="2"/>
  <c r="K389" i="2"/>
  <c r="L388" i="2"/>
  <c r="K388" i="2"/>
  <c r="AW74" i="47"/>
  <c r="AV74" i="47"/>
  <c r="AW73" i="47"/>
  <c r="AV73" i="47"/>
  <c r="AW74" i="60"/>
  <c r="AV74" i="60"/>
  <c r="AW73" i="60"/>
  <c r="AV73" i="60"/>
  <c r="AW74" i="61"/>
  <c r="AV74" i="61"/>
  <c r="AW73" i="61"/>
  <c r="AV73" i="61"/>
  <c r="AW74" i="64"/>
  <c r="AV74" i="64"/>
  <c r="AW73" i="64"/>
  <c r="AV73" i="64"/>
  <c r="BE6" i="38"/>
  <c r="BD6" i="38"/>
  <c r="BE5" i="38"/>
  <c r="BD5" i="38"/>
  <c r="BH6" i="38"/>
  <c r="BI6" i="38"/>
  <c r="BH5" i="38"/>
  <c r="BI5" i="38"/>
  <c r="BI4" i="38"/>
  <c r="G431" i="2"/>
  <c r="H431" i="2"/>
  <c r="G430" i="2"/>
  <c r="H430" i="2"/>
  <c r="G429" i="2"/>
  <c r="H429" i="2"/>
  <c r="G428" i="2"/>
  <c r="H428" i="2"/>
  <c r="G427" i="2"/>
  <c r="H427" i="2"/>
  <c r="G426" i="2"/>
  <c r="H426" i="2"/>
  <c r="G425" i="2"/>
  <c r="H425" i="2"/>
  <c r="G424" i="2"/>
  <c r="H424" i="2"/>
  <c r="G423" i="2"/>
  <c r="H423" i="2"/>
  <c r="G422" i="2"/>
  <c r="H422" i="2"/>
  <c r="G421" i="2"/>
  <c r="H421" i="2"/>
  <c r="G420" i="2"/>
  <c r="H420" i="2"/>
  <c r="G419" i="2"/>
  <c r="H419" i="2"/>
  <c r="G418" i="2"/>
  <c r="H418" i="2"/>
  <c r="G417" i="2"/>
  <c r="H417" i="2"/>
  <c r="G416" i="2"/>
  <c r="H416" i="2"/>
  <c r="G415" i="2"/>
  <c r="H415" i="2"/>
  <c r="G414" i="2"/>
  <c r="H414" i="2"/>
  <c r="G413" i="2"/>
  <c r="H413" i="2"/>
  <c r="G412" i="2"/>
  <c r="H412" i="2"/>
  <c r="G411" i="2"/>
  <c r="H411" i="2"/>
  <c r="G410" i="2"/>
  <c r="H410" i="2"/>
  <c r="G409" i="2"/>
  <c r="H409" i="2"/>
  <c r="G408" i="2"/>
  <c r="H408" i="2"/>
  <c r="G407" i="2"/>
  <c r="H407" i="2"/>
  <c r="G406" i="2"/>
  <c r="H406" i="2"/>
  <c r="G405" i="2"/>
  <c r="H405" i="2"/>
  <c r="G404" i="2"/>
  <c r="H404" i="2"/>
  <c r="G403" i="2"/>
  <c r="H403" i="2"/>
  <c r="G402" i="2"/>
  <c r="H402" i="2"/>
  <c r="G401" i="2"/>
  <c r="H401" i="2"/>
  <c r="G400" i="2"/>
  <c r="H400" i="2"/>
  <c r="G399" i="2"/>
  <c r="H399" i="2"/>
  <c r="G398" i="2"/>
  <c r="H398" i="2"/>
  <c r="G397" i="2"/>
  <c r="H397" i="2"/>
  <c r="G396" i="2"/>
  <c r="H396" i="2"/>
  <c r="G395" i="2"/>
  <c r="H395" i="2"/>
  <c r="G394" i="2"/>
  <c r="H394" i="2"/>
  <c r="G393" i="2"/>
  <c r="H393" i="2"/>
  <c r="G392" i="2"/>
  <c r="H392" i="2"/>
  <c r="G391" i="2"/>
  <c r="H391" i="2"/>
  <c r="G390" i="2"/>
  <c r="H390" i="2"/>
  <c r="G389" i="2"/>
  <c r="H389" i="2"/>
  <c r="G388" i="2"/>
  <c r="H388" i="2"/>
  <c r="AE85" i="4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B33" i="77" s="1"/>
  <c r="E203" i="3"/>
  <c r="E202" i="3"/>
  <c r="C104" i="4" s="1"/>
  <c r="E201" i="3"/>
  <c r="C103" i="4" s="1"/>
  <c r="E200" i="3"/>
  <c r="E199" i="3"/>
  <c r="E198" i="3"/>
  <c r="E197" i="3"/>
  <c r="E196" i="3"/>
  <c r="AT20" i="4"/>
  <c r="E195" i="3"/>
  <c r="E194" i="3"/>
  <c r="E193" i="3"/>
  <c r="C462" i="2"/>
  <c r="E192" i="3"/>
  <c r="C461" i="2"/>
  <c r="E191" i="3"/>
  <c r="C460" i="2"/>
  <c r="E190" i="3"/>
  <c r="E189" i="3"/>
  <c r="E188" i="3"/>
  <c r="E187" i="3"/>
  <c r="E186" i="3"/>
  <c r="E185" i="3"/>
  <c r="E184" i="3"/>
  <c r="AF17" i="38"/>
  <c r="E183" i="3"/>
  <c r="O17" i="38"/>
  <c r="E182" i="3"/>
  <c r="J17" i="38"/>
  <c r="E181" i="3"/>
  <c r="AR17" i="38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3" i="3"/>
  <c r="O82" i="71"/>
  <c r="E162" i="3"/>
  <c r="E161" i="3"/>
  <c r="E160" i="3"/>
  <c r="AK9" i="70"/>
  <c r="E159" i="3"/>
  <c r="E158" i="3"/>
  <c r="E157" i="3"/>
  <c r="E156" i="3"/>
  <c r="E155" i="3"/>
  <c r="E154" i="3"/>
  <c r="E153" i="3"/>
  <c r="C29" i="65"/>
  <c r="AF21" i="65"/>
  <c r="E152" i="3"/>
  <c r="E151" i="3"/>
  <c r="AF18" i="65"/>
  <c r="Q18" i="65"/>
  <c r="E150" i="3"/>
  <c r="E147" i="3"/>
  <c r="AF56" i="4"/>
  <c r="E146" i="3"/>
  <c r="E145" i="3"/>
  <c r="E144" i="3"/>
  <c r="E143" i="3"/>
  <c r="B83" i="4"/>
  <c r="E142" i="3"/>
  <c r="B72" i="4"/>
  <c r="E141" i="3"/>
  <c r="B61" i="4"/>
  <c r="E140" i="3"/>
  <c r="E139" i="3"/>
  <c r="E137" i="3"/>
  <c r="Q74" i="4"/>
  <c r="E136" i="3"/>
  <c r="E135" i="3"/>
  <c r="E134" i="3"/>
  <c r="E133" i="3"/>
  <c r="E132" i="3"/>
  <c r="E131" i="3"/>
  <c r="E130" i="3"/>
  <c r="E129" i="3"/>
  <c r="E128" i="3"/>
  <c r="AR43" i="4"/>
  <c r="E127" i="3"/>
  <c r="AR25" i="4"/>
  <c r="E126" i="3"/>
  <c r="AD25" i="4"/>
  <c r="E125" i="3"/>
  <c r="E124" i="3"/>
  <c r="E123" i="3"/>
  <c r="E122" i="3"/>
  <c r="E121" i="3"/>
  <c r="E120" i="3"/>
  <c r="E119" i="3"/>
  <c r="AF8" i="4" s="1"/>
  <c r="C26" i="4"/>
  <c r="E118" i="3"/>
  <c r="E117" i="3"/>
  <c r="E116" i="3"/>
  <c r="E115" i="3"/>
  <c r="E114" i="3"/>
  <c r="E113" i="3"/>
  <c r="E112" i="3"/>
  <c r="AA19" i="20"/>
  <c r="E111" i="3"/>
  <c r="AA18" i="20"/>
  <c r="E110" i="3"/>
  <c r="AA24" i="20"/>
  <c r="E109" i="3"/>
  <c r="E108" i="3"/>
  <c r="E107" i="3"/>
  <c r="M10" i="7"/>
  <c r="E106" i="3"/>
  <c r="AA21" i="20"/>
  <c r="E105" i="3"/>
  <c r="AA20" i="20"/>
  <c r="E104" i="3"/>
  <c r="AA17" i="20"/>
  <c r="E103" i="3"/>
  <c r="AA13" i="20"/>
  <c r="E102" i="3"/>
  <c r="AA12" i="20"/>
  <c r="E101" i="3"/>
  <c r="AA11" i="20"/>
  <c r="E100" i="3"/>
  <c r="AA10" i="20"/>
  <c r="E99" i="3"/>
  <c r="AA9" i="20"/>
  <c r="E98" i="3"/>
  <c r="E97" i="3"/>
  <c r="E96" i="3"/>
  <c r="E95" i="3"/>
  <c r="E94" i="3"/>
  <c r="B7" i="20"/>
  <c r="E93" i="3"/>
  <c r="E92" i="3"/>
  <c r="E91" i="3"/>
  <c r="E90" i="3"/>
  <c r="B6" i="69"/>
  <c r="E89" i="3"/>
  <c r="E88" i="3"/>
  <c r="AV36" i="10"/>
  <c r="E87" i="3"/>
  <c r="AU31" i="10"/>
  <c r="AE28" i="10"/>
  <c r="E86" i="3"/>
  <c r="AU30" i="10"/>
  <c r="AY46" i="77"/>
  <c r="E60" i="3"/>
  <c r="E59" i="3"/>
  <c r="AD28" i="10"/>
  <c r="E58" i="3"/>
  <c r="U27" i="10"/>
  <c r="E57" i="3"/>
  <c r="E56" i="3"/>
  <c r="B7" i="73"/>
  <c r="B7" i="1"/>
  <c r="E55" i="3"/>
  <c r="AU4" i="10"/>
  <c r="E54" i="3"/>
  <c r="E53" i="3"/>
  <c r="I8" i="7"/>
  <c r="E52" i="3"/>
  <c r="AP28" i="10"/>
  <c r="E51" i="3"/>
  <c r="I6" i="7"/>
  <c r="E50" i="3"/>
  <c r="E49" i="3"/>
  <c r="E48" i="3"/>
  <c r="J22" i="2"/>
  <c r="E47" i="3"/>
  <c r="I22" i="2"/>
  <c r="E46" i="3"/>
  <c r="G22" i="2"/>
  <c r="G10" i="7"/>
  <c r="E45" i="3"/>
  <c r="F22" i="2"/>
  <c r="E44" i="3"/>
  <c r="E22" i="2"/>
  <c r="E43" i="3"/>
  <c r="E42" i="3"/>
  <c r="E41" i="3"/>
  <c r="E40" i="3"/>
  <c r="F17" i="2"/>
  <c r="E39" i="3"/>
  <c r="F15" i="2"/>
  <c r="E38" i="3"/>
  <c r="B20" i="2"/>
  <c r="E37" i="3"/>
  <c r="P7" i="20"/>
  <c r="E36" i="3"/>
  <c r="B22" i="20"/>
  <c r="E35" i="3"/>
  <c r="B20" i="20"/>
  <c r="E34" i="3"/>
  <c r="B18" i="20"/>
  <c r="E33" i="3"/>
  <c r="E32" i="3"/>
  <c r="B5" i="2"/>
  <c r="E31" i="3"/>
  <c r="B10" i="20"/>
  <c r="E30" i="3"/>
  <c r="E29" i="3"/>
  <c r="E28" i="3"/>
  <c r="E27" i="3"/>
  <c r="E26" i="3"/>
  <c r="O24" i="64"/>
  <c r="E24" i="3"/>
  <c r="E23" i="3"/>
  <c r="E22" i="3"/>
  <c r="E21" i="3"/>
  <c r="E20" i="3"/>
  <c r="E19" i="3"/>
  <c r="E18" i="3"/>
  <c r="H20" i="81"/>
  <c r="H30" i="71"/>
  <c r="E17" i="3"/>
  <c r="E16" i="3"/>
  <c r="AA7" i="20"/>
  <c r="E15" i="3"/>
  <c r="E14" i="3"/>
  <c r="B67" i="73"/>
  <c r="E12" i="3"/>
  <c r="E11" i="3"/>
  <c r="E10" i="3"/>
  <c r="AI2" i="73"/>
  <c r="E9" i="3"/>
  <c r="E8" i="3"/>
  <c r="U67" i="75"/>
  <c r="E7" i="3"/>
  <c r="O2" i="66"/>
  <c r="E6" i="3"/>
  <c r="E5" i="3"/>
  <c r="E4" i="3"/>
  <c r="E3" i="3"/>
  <c r="B17" i="2"/>
  <c r="B16" i="2"/>
  <c r="B15" i="2"/>
  <c r="B458" i="2"/>
  <c r="M13" i="65"/>
  <c r="AB21" i="65"/>
  <c r="M29" i="65"/>
  <c r="M21" i="65"/>
  <c r="Q25" i="65"/>
  <c r="BA30" i="65"/>
  <c r="AY30" i="65"/>
  <c r="AZ30" i="65"/>
  <c r="BA29" i="65"/>
  <c r="AY29" i="65"/>
  <c r="AP29" i="65"/>
  <c r="AB29" i="65"/>
  <c r="BA28" i="65"/>
  <c r="AY28" i="65"/>
  <c r="AZ28" i="65"/>
  <c r="BA22" i="65"/>
  <c r="BA21" i="65"/>
  <c r="BB21" i="65"/>
  <c r="AP21" i="65"/>
  <c r="BA20" i="65"/>
  <c r="BA14" i="65"/>
  <c r="AY14" i="65"/>
  <c r="AZ14" i="65"/>
  <c r="AW14" i="65"/>
  <c r="BA13" i="65"/>
  <c r="AY13" i="65"/>
  <c r="AW13" i="65"/>
  <c r="AP13" i="65"/>
  <c r="AB13" i="65"/>
  <c r="BA12" i="65"/>
  <c r="BB12" i="65"/>
  <c r="AY12" i="65"/>
  <c r="AZ12" i="65"/>
  <c r="AW12" i="65"/>
  <c r="AY4" i="61"/>
  <c r="BG40" i="61"/>
  <c r="AY2" i="61"/>
  <c r="B437" i="2"/>
  <c r="B436" i="2"/>
  <c r="B435" i="2"/>
  <c r="AU97" i="64"/>
  <c r="B434" i="2"/>
  <c r="E434" i="2"/>
  <c r="B433" i="2"/>
  <c r="K433" i="2"/>
  <c r="L1033" i="7"/>
  <c r="L1032" i="7"/>
  <c r="L1031" i="7"/>
  <c r="L1030" i="7"/>
  <c r="L1029" i="7"/>
  <c r="L1028" i="7"/>
  <c r="H1028" i="7"/>
  <c r="AY4" i="64"/>
  <c r="AY2" i="64"/>
  <c r="BG82" i="64"/>
  <c r="M99" i="4"/>
  <c r="O101" i="4"/>
  <c r="BI134" i="64"/>
  <c r="BI133" i="64"/>
  <c r="BI132" i="64"/>
  <c r="BI131" i="64"/>
  <c r="BI130" i="64"/>
  <c r="BI129" i="64"/>
  <c r="BI128" i="64"/>
  <c r="BI127" i="64"/>
  <c r="BG114" i="64"/>
  <c r="BG113" i="64"/>
  <c r="AU106" i="64"/>
  <c r="BG104" i="64"/>
  <c r="BG103" i="64"/>
  <c r="AU103" i="64"/>
  <c r="BG102" i="64"/>
  <c r="AU102" i="64"/>
  <c r="BG101" i="64"/>
  <c r="BA100" i="64"/>
  <c r="BA94" i="64"/>
  <c r="BG90" i="64"/>
  <c r="BG89" i="64"/>
  <c r="BG80" i="64"/>
  <c r="BA80" i="64"/>
  <c r="BG79" i="64"/>
  <c r="BA79" i="64"/>
  <c r="BG78" i="64"/>
  <c r="BG77" i="64"/>
  <c r="BA76" i="64"/>
  <c r="BA75" i="64"/>
  <c r="BA72" i="64"/>
  <c r="BG68" i="64"/>
  <c r="BG67" i="64"/>
  <c r="BG66" i="64"/>
  <c r="AY66" i="64"/>
  <c r="BG65" i="64"/>
  <c r="BI64" i="64"/>
  <c r="BI63" i="64"/>
  <c r="BI62" i="64"/>
  <c r="BI61" i="64"/>
  <c r="AY61" i="64"/>
  <c r="BI60" i="64"/>
  <c r="AY60" i="64"/>
  <c r="BI59" i="64"/>
  <c r="BI58" i="64"/>
  <c r="BI57" i="64"/>
  <c r="BI56" i="64"/>
  <c r="BI55" i="64"/>
  <c r="BI54" i="64"/>
  <c r="AY54" i="64"/>
  <c r="BI53" i="64"/>
  <c r="BI52" i="64"/>
  <c r="BI51" i="64"/>
  <c r="BI50" i="64"/>
  <c r="AY49" i="64"/>
  <c r="AY48" i="64"/>
  <c r="BI44" i="64"/>
  <c r="BI43" i="64"/>
  <c r="AY43" i="64"/>
  <c r="BI42" i="64"/>
  <c r="AY42" i="64"/>
  <c r="BI41" i="64"/>
  <c r="BA41" i="64"/>
  <c r="BI40" i="64"/>
  <c r="BA40" i="64"/>
  <c r="BI39" i="64"/>
  <c r="BA39" i="64"/>
  <c r="BI38" i="64"/>
  <c r="BA38" i="64"/>
  <c r="BI37" i="64"/>
  <c r="BA37" i="64"/>
  <c r="BI36" i="64"/>
  <c r="BA36" i="64"/>
  <c r="BI35" i="64"/>
  <c r="BA35" i="64"/>
  <c r="BI34" i="64"/>
  <c r="BA34" i="64"/>
  <c r="BA33" i="64"/>
  <c r="BA32" i="64"/>
  <c r="BA31" i="64"/>
  <c r="BA30" i="64"/>
  <c r="BA29" i="64"/>
  <c r="BA28" i="64"/>
  <c r="BA27" i="64"/>
  <c r="BG26" i="64"/>
  <c r="BA26" i="64"/>
  <c r="BI25" i="64"/>
  <c r="BI24" i="64"/>
  <c r="BI23" i="64"/>
  <c r="BI19" i="64"/>
  <c r="AY18" i="64"/>
  <c r="BA17" i="64"/>
  <c r="BA16" i="64"/>
  <c r="BA15" i="64"/>
  <c r="J13" i="64"/>
  <c r="BA12" i="64"/>
  <c r="J12" i="64"/>
  <c r="J11" i="64"/>
  <c r="F10" i="64"/>
  <c r="F8" i="64"/>
  <c r="BI134" i="61"/>
  <c r="BI133" i="61"/>
  <c r="BI132" i="61"/>
  <c r="BI131" i="61"/>
  <c r="BI130" i="61"/>
  <c r="BI129" i="61"/>
  <c r="BI128" i="61"/>
  <c r="BI127" i="61"/>
  <c r="BG114" i="61"/>
  <c r="BG113" i="61"/>
  <c r="AU106" i="61"/>
  <c r="AY77" i="61"/>
  <c r="BG104" i="61"/>
  <c r="BG103" i="61"/>
  <c r="AU103" i="61"/>
  <c r="BG102" i="61"/>
  <c r="AU102" i="61"/>
  <c r="BG101" i="61"/>
  <c r="BA100" i="61"/>
  <c r="BA94" i="61"/>
  <c r="BA93" i="61"/>
  <c r="BG90" i="61"/>
  <c r="BG89" i="61"/>
  <c r="BA81" i="61"/>
  <c r="BG80" i="61"/>
  <c r="BG79" i="61"/>
  <c r="BG78" i="61"/>
  <c r="BG77" i="61"/>
  <c r="BA76" i="61"/>
  <c r="BA75" i="61"/>
  <c r="BA72" i="61"/>
  <c r="BG68" i="61"/>
  <c r="BG67" i="61"/>
  <c r="BG66" i="61"/>
  <c r="AY66" i="61"/>
  <c r="BG65" i="61"/>
  <c r="BI64" i="61"/>
  <c r="AY61" i="61"/>
  <c r="AY60" i="61"/>
  <c r="BI57" i="61"/>
  <c r="AY54" i="61"/>
  <c r="BI50" i="61"/>
  <c r="AY49" i="61"/>
  <c r="AY48" i="61"/>
  <c r="AY43" i="61"/>
  <c r="AY42" i="61"/>
  <c r="BA41" i="61"/>
  <c r="BI34" i="61"/>
  <c r="BA34" i="61"/>
  <c r="BG31" i="61"/>
  <c r="BA27" i="61"/>
  <c r="BG26" i="61"/>
  <c r="BG25" i="61"/>
  <c r="BI23" i="61"/>
  <c r="BG21" i="61"/>
  <c r="BA21" i="61"/>
  <c r="BI19" i="61"/>
  <c r="AY18" i="61"/>
  <c r="AY17" i="61"/>
  <c r="AY16" i="61"/>
  <c r="BA15" i="61"/>
  <c r="J13" i="61"/>
  <c r="BA12" i="61"/>
  <c r="J12" i="61"/>
  <c r="J11" i="61"/>
  <c r="F10" i="61"/>
  <c r="F8" i="61"/>
  <c r="BG33" i="61"/>
  <c r="AY85" i="64"/>
  <c r="AY78" i="64"/>
  <c r="BG49" i="64"/>
  <c r="BG29" i="64"/>
  <c r="AY89" i="64"/>
  <c r="AY92" i="64"/>
  <c r="AY90" i="64"/>
  <c r="AY14" i="64"/>
  <c r="BG31" i="64"/>
  <c r="AY88" i="64"/>
  <c r="AY91" i="64"/>
  <c r="AY93" i="64"/>
  <c r="BG21" i="64"/>
  <c r="AY25" i="64"/>
  <c r="BG32" i="64"/>
  <c r="BG20" i="64"/>
  <c r="BG33" i="64"/>
  <c r="AY24" i="64"/>
  <c r="AY21" i="64"/>
  <c r="AY22" i="64"/>
  <c r="AY23" i="64"/>
  <c r="BG30" i="64"/>
  <c r="BG46" i="64"/>
  <c r="BG48" i="64"/>
  <c r="BG98" i="61"/>
  <c r="BG70" i="61"/>
  <c r="BG47" i="61"/>
  <c r="BG46" i="61"/>
  <c r="AY44" i="61"/>
  <c r="AY13" i="61"/>
  <c r="AY55" i="61"/>
  <c r="BG124" i="61"/>
  <c r="BG120" i="61"/>
  <c r="BG116" i="61"/>
  <c r="AY85" i="61"/>
  <c r="AY84" i="61"/>
  <c r="AY86" i="61"/>
  <c r="AY78" i="61"/>
  <c r="BG81" i="61"/>
  <c r="BG86" i="61"/>
  <c r="AY58" i="61"/>
  <c r="BG73" i="61"/>
  <c r="BG117" i="61"/>
  <c r="BG15" i="61"/>
  <c r="AY65" i="61"/>
  <c r="AY83" i="61"/>
  <c r="BG88" i="61"/>
  <c r="BG48" i="61"/>
  <c r="BG32" i="61"/>
  <c r="BG29" i="61"/>
  <c r="BG24" i="61"/>
  <c r="AY20" i="61"/>
  <c r="AY19" i="61"/>
  <c r="AY14" i="61"/>
  <c r="BG87" i="61"/>
  <c r="BG20" i="61"/>
  <c r="BG27" i="61"/>
  <c r="BG28" i="61"/>
  <c r="BG30" i="61"/>
  <c r="AY68" i="61"/>
  <c r="BG72" i="61"/>
  <c r="AY82" i="61"/>
  <c r="BG95" i="61"/>
  <c r="BG121" i="61"/>
  <c r="AY23" i="61"/>
  <c r="BG35" i="61"/>
  <c r="AY88" i="61"/>
  <c r="AY90" i="61"/>
  <c r="BI51" i="60"/>
  <c r="BI52" i="60"/>
  <c r="BI53" i="60"/>
  <c r="BI54" i="60"/>
  <c r="BI55" i="60"/>
  <c r="BI56" i="60"/>
  <c r="BI57" i="60"/>
  <c r="BI58" i="60"/>
  <c r="BI59" i="60"/>
  <c r="BI60" i="60"/>
  <c r="BI61" i="60"/>
  <c r="BI62" i="60"/>
  <c r="BI63" i="60"/>
  <c r="BI64" i="60"/>
  <c r="BG26" i="60"/>
  <c r="BI44" i="60"/>
  <c r="BI43" i="60"/>
  <c r="BI42" i="60"/>
  <c r="BI41" i="60"/>
  <c r="BI40" i="60"/>
  <c r="BI39" i="60"/>
  <c r="BI38" i="60"/>
  <c r="BI37" i="60"/>
  <c r="BI36" i="60"/>
  <c r="BI35" i="60"/>
  <c r="BI34" i="60"/>
  <c r="BI25" i="60"/>
  <c r="BI24" i="60"/>
  <c r="BA40" i="60"/>
  <c r="BA39" i="60"/>
  <c r="BA38" i="60"/>
  <c r="BA37" i="60"/>
  <c r="BA36" i="60"/>
  <c r="BA35" i="60"/>
  <c r="BA34" i="60"/>
  <c r="BA33" i="60"/>
  <c r="BA32" i="60"/>
  <c r="BA31" i="60"/>
  <c r="BA30" i="60"/>
  <c r="BA29" i="60"/>
  <c r="BA28" i="60"/>
  <c r="AY18" i="60"/>
  <c r="BA26" i="60"/>
  <c r="BA17" i="60"/>
  <c r="BA16" i="60"/>
  <c r="M90" i="4"/>
  <c r="O92" i="4"/>
  <c r="BI134" i="60"/>
  <c r="BI133" i="60"/>
  <c r="BI132" i="60"/>
  <c r="BI131" i="60"/>
  <c r="BI130" i="60"/>
  <c r="BI129" i="60"/>
  <c r="BI128" i="60"/>
  <c r="BI127" i="60"/>
  <c r="BG114" i="60"/>
  <c r="BG113" i="60"/>
  <c r="AU106" i="60"/>
  <c r="BG104" i="60"/>
  <c r="BG103" i="60"/>
  <c r="AU103" i="60"/>
  <c r="BG102" i="60"/>
  <c r="AU102" i="60"/>
  <c r="BG101" i="60"/>
  <c r="BA100" i="60"/>
  <c r="BA99" i="60"/>
  <c r="BA98" i="60"/>
  <c r="BA97" i="60"/>
  <c r="BA96" i="60"/>
  <c r="BA95" i="60"/>
  <c r="BA94" i="60"/>
  <c r="BG90" i="60"/>
  <c r="BG89" i="60"/>
  <c r="BG80" i="60"/>
  <c r="BG79" i="60"/>
  <c r="BG78" i="60"/>
  <c r="BG77" i="60"/>
  <c r="BA76" i="60"/>
  <c r="BA75" i="60"/>
  <c r="BA72" i="60"/>
  <c r="BG68" i="60"/>
  <c r="BG67" i="60"/>
  <c r="BG66" i="60"/>
  <c r="AY66" i="60"/>
  <c r="BG65" i="60"/>
  <c r="AY61" i="60"/>
  <c r="AY60" i="60"/>
  <c r="AY54" i="60"/>
  <c r="BI50" i="60"/>
  <c r="AY49" i="60"/>
  <c r="AY48" i="60"/>
  <c r="AY43" i="60"/>
  <c r="AY42" i="60"/>
  <c r="BA41" i="60"/>
  <c r="BA27" i="60"/>
  <c r="BI23" i="60"/>
  <c r="BI19" i="60"/>
  <c r="BA15" i="60"/>
  <c r="J13" i="60"/>
  <c r="BA12" i="60"/>
  <c r="J12" i="60"/>
  <c r="J11" i="60"/>
  <c r="F10" i="60"/>
  <c r="F8" i="60"/>
  <c r="AY4" i="60"/>
  <c r="AY3" i="60"/>
  <c r="AY2" i="60"/>
  <c r="AY77" i="60"/>
  <c r="AY1" i="60"/>
  <c r="AY3" i="47"/>
  <c r="AY2" i="47"/>
  <c r="AY1" i="47"/>
  <c r="AY81" i="60"/>
  <c r="BG32" i="60"/>
  <c r="AY22" i="60"/>
  <c r="BG98" i="60"/>
  <c r="E431" i="2"/>
  <c r="D431" i="2"/>
  <c r="C431" i="2"/>
  <c r="E430" i="2"/>
  <c r="D430" i="2"/>
  <c r="C430" i="2"/>
  <c r="E429" i="2"/>
  <c r="D429" i="2"/>
  <c r="C429" i="2"/>
  <c r="E428" i="2"/>
  <c r="D428" i="2"/>
  <c r="C428" i="2"/>
  <c r="E427" i="2"/>
  <c r="D427" i="2"/>
  <c r="C427" i="2"/>
  <c r="E426" i="2"/>
  <c r="D426" i="2"/>
  <c r="C426" i="2"/>
  <c r="E425" i="2"/>
  <c r="D425" i="2"/>
  <c r="C425" i="2"/>
  <c r="E424" i="2"/>
  <c r="D424" i="2"/>
  <c r="C424" i="2"/>
  <c r="E423" i="2"/>
  <c r="D423" i="2"/>
  <c r="C423" i="2"/>
  <c r="E422" i="2"/>
  <c r="D422" i="2"/>
  <c r="C422" i="2"/>
  <c r="E421" i="2"/>
  <c r="D421" i="2"/>
  <c r="C421" i="2"/>
  <c r="E420" i="2"/>
  <c r="D420" i="2"/>
  <c r="C420" i="2"/>
  <c r="E419" i="2"/>
  <c r="D419" i="2"/>
  <c r="C419" i="2"/>
  <c r="E418" i="2"/>
  <c r="D418" i="2"/>
  <c r="C418" i="2"/>
  <c r="E417" i="2"/>
  <c r="D417" i="2"/>
  <c r="C417" i="2"/>
  <c r="E416" i="2"/>
  <c r="D416" i="2"/>
  <c r="C416" i="2"/>
  <c r="E415" i="2"/>
  <c r="D415" i="2"/>
  <c r="C415" i="2"/>
  <c r="E414" i="2"/>
  <c r="D414" i="2"/>
  <c r="C414" i="2"/>
  <c r="E413" i="2"/>
  <c r="D413" i="2"/>
  <c r="C413" i="2"/>
  <c r="E412" i="2"/>
  <c r="D412" i="2"/>
  <c r="C412" i="2"/>
  <c r="E411" i="2"/>
  <c r="D411" i="2"/>
  <c r="C411" i="2"/>
  <c r="E410" i="2"/>
  <c r="D410" i="2"/>
  <c r="C410" i="2"/>
  <c r="E409" i="2"/>
  <c r="D409" i="2"/>
  <c r="C409" i="2"/>
  <c r="E408" i="2"/>
  <c r="D408" i="2"/>
  <c r="C408" i="2"/>
  <c r="E407" i="2"/>
  <c r="D407" i="2"/>
  <c r="C407" i="2"/>
  <c r="E406" i="2"/>
  <c r="D406" i="2"/>
  <c r="C406" i="2"/>
  <c r="E405" i="2"/>
  <c r="D405" i="2"/>
  <c r="C405" i="2"/>
  <c r="E404" i="2"/>
  <c r="D404" i="2"/>
  <c r="C404" i="2"/>
  <c r="E403" i="2"/>
  <c r="D403" i="2"/>
  <c r="C403" i="2"/>
  <c r="E402" i="2"/>
  <c r="D402" i="2"/>
  <c r="C402" i="2"/>
  <c r="I447" i="2"/>
  <c r="H447" i="2"/>
  <c r="I446" i="2"/>
  <c r="H446" i="2"/>
  <c r="I445" i="2"/>
  <c r="H445" i="2"/>
  <c r="I444" i="2"/>
  <c r="H444" i="2"/>
  <c r="I443" i="2"/>
  <c r="H443" i="2"/>
  <c r="I442" i="2"/>
  <c r="H442" i="2"/>
  <c r="I441" i="2"/>
  <c r="H441" i="2"/>
  <c r="I440" i="2"/>
  <c r="H440" i="2"/>
  <c r="I439" i="2"/>
  <c r="H439" i="2"/>
  <c r="I438" i="2"/>
  <c r="H438" i="2"/>
  <c r="AY66" i="47"/>
  <c r="AU103" i="47"/>
  <c r="AU102" i="47"/>
  <c r="BI57" i="47"/>
  <c r="BI64" i="47"/>
  <c r="BI34" i="47"/>
  <c r="BA41" i="47"/>
  <c r="BA34" i="47"/>
  <c r="BA21" i="47"/>
  <c r="BA15" i="47"/>
  <c r="BA12" i="47"/>
  <c r="AY83" i="47"/>
  <c r="BI134" i="47"/>
  <c r="BI133" i="47"/>
  <c r="BI132" i="47"/>
  <c r="BI131" i="47"/>
  <c r="BI130" i="47"/>
  <c r="BI129" i="47"/>
  <c r="BI128" i="47"/>
  <c r="BI127" i="47"/>
  <c r="AU106" i="47"/>
  <c r="BG114" i="47"/>
  <c r="BG113" i="47"/>
  <c r="BA100" i="47"/>
  <c r="BA99" i="47"/>
  <c r="BA98" i="47"/>
  <c r="BA97" i="47"/>
  <c r="BA96" i="47"/>
  <c r="BA95" i="47"/>
  <c r="BA94" i="47"/>
  <c r="BA93" i="47"/>
  <c r="BG104" i="47"/>
  <c r="BG103" i="47"/>
  <c r="BG102" i="47"/>
  <c r="BG101" i="47"/>
  <c r="BA81" i="47"/>
  <c r="BG90" i="47"/>
  <c r="BG89" i="47"/>
  <c r="BA76" i="47"/>
  <c r="BA75" i="47"/>
  <c r="BA72" i="47"/>
  <c r="BG80" i="47"/>
  <c r="BG79" i="47"/>
  <c r="BG78" i="47"/>
  <c r="BG77" i="47"/>
  <c r="AY61" i="47"/>
  <c r="AY60" i="47"/>
  <c r="BG68" i="47"/>
  <c r="BG67" i="47"/>
  <c r="AY54" i="47"/>
  <c r="BG66" i="47"/>
  <c r="BG65" i="47"/>
  <c r="BI50" i="47"/>
  <c r="AY49" i="47"/>
  <c r="AY48" i="47"/>
  <c r="AY43" i="47"/>
  <c r="AY42" i="47"/>
  <c r="BA27" i="47"/>
  <c r="BI23" i="47"/>
  <c r="BI19" i="47"/>
  <c r="J13" i="47"/>
  <c r="J12" i="47"/>
  <c r="J11" i="47"/>
  <c r="F10" i="47"/>
  <c r="F8" i="47"/>
  <c r="L1027" i="7"/>
  <c r="L1026" i="7"/>
  <c r="L1025" i="7"/>
  <c r="L1024" i="7"/>
  <c r="L1023" i="7"/>
  <c r="L1022" i="7"/>
  <c r="L1021" i="7"/>
  <c r="L1020" i="7"/>
  <c r="L1019" i="7"/>
  <c r="L1018" i="7"/>
  <c r="L1017" i="7"/>
  <c r="L1016" i="7"/>
  <c r="L1015" i="7"/>
  <c r="L1014" i="7"/>
  <c r="L1013" i="7"/>
  <c r="L1012" i="7"/>
  <c r="L1011" i="7"/>
  <c r="L1010" i="7"/>
  <c r="L1009" i="7"/>
  <c r="L1008" i="7"/>
  <c r="L1007" i="7"/>
  <c r="L1006" i="7"/>
  <c r="L1005" i="7"/>
  <c r="L1004" i="7"/>
  <c r="L1003" i="7"/>
  <c r="L1002" i="7"/>
  <c r="L1001" i="7"/>
  <c r="L1000" i="7"/>
  <c r="L999" i="7"/>
  <c r="L998" i="7"/>
  <c r="L997" i="7"/>
  <c r="L996" i="7"/>
  <c r="L995" i="7"/>
  <c r="L994" i="7"/>
  <c r="L993" i="7"/>
  <c r="L992" i="7"/>
  <c r="L991" i="7"/>
  <c r="L990" i="7"/>
  <c r="L989" i="7"/>
  <c r="L988" i="7"/>
  <c r="L987" i="7"/>
  <c r="L986" i="7"/>
  <c r="L985" i="7"/>
  <c r="L984" i="7"/>
  <c r="L983" i="7"/>
  <c r="L982" i="7"/>
  <c r="L981" i="7"/>
  <c r="L980" i="7"/>
  <c r="L979" i="7"/>
  <c r="L978" i="7"/>
  <c r="L977" i="7"/>
  <c r="L976" i="7"/>
  <c r="L975" i="7"/>
  <c r="L974" i="7"/>
  <c r="L973" i="7"/>
  <c r="L972" i="7"/>
  <c r="L971" i="7"/>
  <c r="L970" i="7"/>
  <c r="L969" i="7"/>
  <c r="L968" i="7"/>
  <c r="L967" i="7"/>
  <c r="L966" i="7"/>
  <c r="L965" i="7"/>
  <c r="L964" i="7"/>
  <c r="L963" i="7"/>
  <c r="L962" i="7"/>
  <c r="L961" i="7"/>
  <c r="L960" i="7"/>
  <c r="L959" i="7"/>
  <c r="L958" i="7"/>
  <c r="L957" i="7"/>
  <c r="L956" i="7"/>
  <c r="L955" i="7"/>
  <c r="L954" i="7"/>
  <c r="L953" i="7"/>
  <c r="L952" i="7"/>
  <c r="L951" i="7"/>
  <c r="L950" i="7"/>
  <c r="L949" i="7"/>
  <c r="L948" i="7"/>
  <c r="L947" i="7"/>
  <c r="L946" i="7"/>
  <c r="L945" i="7"/>
  <c r="L944" i="7"/>
  <c r="L943" i="7"/>
  <c r="L942" i="7"/>
  <c r="L941" i="7"/>
  <c r="L940" i="7"/>
  <c r="L939" i="7"/>
  <c r="L938" i="7"/>
  <c r="L937" i="7"/>
  <c r="L936" i="7"/>
  <c r="L935" i="7"/>
  <c r="L934" i="7"/>
  <c r="L933" i="7"/>
  <c r="L932" i="7"/>
  <c r="L931" i="7"/>
  <c r="L930" i="7"/>
  <c r="L929" i="7"/>
  <c r="L928" i="7"/>
  <c r="L927" i="7"/>
  <c r="L926" i="7"/>
  <c r="L925" i="7"/>
  <c r="L924" i="7"/>
  <c r="L923" i="7"/>
  <c r="L922" i="7"/>
  <c r="L921" i="7"/>
  <c r="L920" i="7"/>
  <c r="L919" i="7"/>
  <c r="L918" i="7"/>
  <c r="L917" i="7"/>
  <c r="L916" i="7"/>
  <c r="L915" i="7"/>
  <c r="L914" i="7"/>
  <c r="L913" i="7"/>
  <c r="L912" i="7"/>
  <c r="L911" i="7"/>
  <c r="L910" i="7"/>
  <c r="L909" i="7"/>
  <c r="L908" i="7"/>
  <c r="L907" i="7"/>
  <c r="L906" i="7"/>
  <c r="L905" i="7"/>
  <c r="L904" i="7"/>
  <c r="L903" i="7"/>
  <c r="L902" i="7"/>
  <c r="L901" i="7"/>
  <c r="L900" i="7"/>
  <c r="L899" i="7"/>
  <c r="L898" i="7"/>
  <c r="L897" i="7"/>
  <c r="L896" i="7"/>
  <c r="L895" i="7"/>
  <c r="L894" i="7"/>
  <c r="L893" i="7"/>
  <c r="L892" i="7"/>
  <c r="L891" i="7"/>
  <c r="L890" i="7"/>
  <c r="L889" i="7"/>
  <c r="L888" i="7"/>
  <c r="L887" i="7"/>
  <c r="L886" i="7"/>
  <c r="L885" i="7"/>
  <c r="L884" i="7"/>
  <c r="L883" i="7"/>
  <c r="L882" i="7"/>
  <c r="L881" i="7"/>
  <c r="L880" i="7"/>
  <c r="L879" i="7"/>
  <c r="L878" i="7"/>
  <c r="L877" i="7"/>
  <c r="L876" i="7"/>
  <c r="L875" i="7"/>
  <c r="L874" i="7"/>
  <c r="L873" i="7"/>
  <c r="L872" i="7"/>
  <c r="L871" i="7"/>
  <c r="L870" i="7"/>
  <c r="L869" i="7"/>
  <c r="L868" i="7"/>
  <c r="L867" i="7"/>
  <c r="L866" i="7"/>
  <c r="L865" i="7"/>
  <c r="L864" i="7"/>
  <c r="L863" i="7"/>
  <c r="L862" i="7"/>
  <c r="L861" i="7"/>
  <c r="L860" i="7"/>
  <c r="L859" i="7"/>
  <c r="L858" i="7"/>
  <c r="L857" i="7"/>
  <c r="L856" i="7"/>
  <c r="L855" i="7"/>
  <c r="L854" i="7"/>
  <c r="L853" i="7"/>
  <c r="L852" i="7"/>
  <c r="L851" i="7"/>
  <c r="L850" i="7"/>
  <c r="L849" i="7"/>
  <c r="L848" i="7"/>
  <c r="L847" i="7"/>
  <c r="L846" i="7"/>
  <c r="L845" i="7"/>
  <c r="L844" i="7"/>
  <c r="L843" i="7"/>
  <c r="L842" i="7"/>
  <c r="L841" i="7"/>
  <c r="L840" i="7"/>
  <c r="L839" i="7"/>
  <c r="L838" i="7"/>
  <c r="L837" i="7"/>
  <c r="L836" i="7"/>
  <c r="L835" i="7"/>
  <c r="L834" i="7"/>
  <c r="L833" i="7"/>
  <c r="L832" i="7"/>
  <c r="L831" i="7"/>
  <c r="L830" i="7"/>
  <c r="L829" i="7"/>
  <c r="L828" i="7"/>
  <c r="L827" i="7"/>
  <c r="L826" i="7"/>
  <c r="L825" i="7"/>
  <c r="L824" i="7"/>
  <c r="L823" i="7"/>
  <c r="L822" i="7"/>
  <c r="L821" i="7"/>
  <c r="L820" i="7"/>
  <c r="L819" i="7"/>
  <c r="L818" i="7"/>
  <c r="L817" i="7"/>
  <c r="L816" i="7"/>
  <c r="L815" i="7"/>
  <c r="L814" i="7"/>
  <c r="L813" i="7"/>
  <c r="L812" i="7"/>
  <c r="L811" i="7"/>
  <c r="L810" i="7"/>
  <c r="L809" i="7"/>
  <c r="L808" i="7"/>
  <c r="L807" i="7"/>
  <c r="L806" i="7"/>
  <c r="L805" i="7"/>
  <c r="L804" i="7"/>
  <c r="L803" i="7"/>
  <c r="L802" i="7"/>
  <c r="L801" i="7"/>
  <c r="L800" i="7"/>
  <c r="L799" i="7"/>
  <c r="L798" i="7"/>
  <c r="L797" i="7"/>
  <c r="L796" i="7"/>
  <c r="L795" i="7"/>
  <c r="L794" i="7"/>
  <c r="L793" i="7"/>
  <c r="L792" i="7"/>
  <c r="L791" i="7"/>
  <c r="L790" i="7"/>
  <c r="L789" i="7"/>
  <c r="L788" i="7"/>
  <c r="L787" i="7"/>
  <c r="L786" i="7"/>
  <c r="L785" i="7"/>
  <c r="L784" i="7"/>
  <c r="L783" i="7"/>
  <c r="L782" i="7"/>
  <c r="L781" i="7"/>
  <c r="L780" i="7"/>
  <c r="L779" i="7"/>
  <c r="L778" i="7"/>
  <c r="L777" i="7"/>
  <c r="L776" i="7"/>
  <c r="L775" i="7"/>
  <c r="L774" i="7"/>
  <c r="L773" i="7"/>
  <c r="L772" i="7"/>
  <c r="L771" i="7"/>
  <c r="L770" i="7"/>
  <c r="L769" i="7"/>
  <c r="L768" i="7"/>
  <c r="L767" i="7"/>
  <c r="L766" i="7"/>
  <c r="L765" i="7"/>
  <c r="L764" i="7"/>
  <c r="L763" i="7"/>
  <c r="L762" i="7"/>
  <c r="L761" i="7"/>
  <c r="L760" i="7"/>
  <c r="L759" i="7"/>
  <c r="L758" i="7"/>
  <c r="L757" i="7"/>
  <c r="L756" i="7"/>
  <c r="L755" i="7"/>
  <c r="L754" i="7"/>
  <c r="L753" i="7"/>
  <c r="L752" i="7"/>
  <c r="L751" i="7"/>
  <c r="L750" i="7"/>
  <c r="L749" i="7"/>
  <c r="L748" i="7"/>
  <c r="L747" i="7"/>
  <c r="L746" i="7"/>
  <c r="L745" i="7"/>
  <c r="L744" i="7"/>
  <c r="L743" i="7"/>
  <c r="L742" i="7"/>
  <c r="L741" i="7"/>
  <c r="L740" i="7"/>
  <c r="L739" i="7"/>
  <c r="L738" i="7"/>
  <c r="L737" i="7"/>
  <c r="L736" i="7"/>
  <c r="L735" i="7"/>
  <c r="L734" i="7"/>
  <c r="L733" i="7"/>
  <c r="L732" i="7"/>
  <c r="L731" i="7"/>
  <c r="L730" i="7"/>
  <c r="L729" i="7"/>
  <c r="L728" i="7"/>
  <c r="L727" i="7"/>
  <c r="L726" i="7"/>
  <c r="L725" i="7"/>
  <c r="L724" i="7"/>
  <c r="L723" i="7"/>
  <c r="L722" i="7"/>
  <c r="L721" i="7"/>
  <c r="L720" i="7"/>
  <c r="L719" i="7"/>
  <c r="L718" i="7"/>
  <c r="L717" i="7"/>
  <c r="L716" i="7"/>
  <c r="L715" i="7"/>
  <c r="L714" i="7"/>
  <c r="L713" i="7"/>
  <c r="L712" i="7"/>
  <c r="L711" i="7"/>
  <c r="L710" i="7"/>
  <c r="L709" i="7"/>
  <c r="L708" i="7"/>
  <c r="L707" i="7"/>
  <c r="L706" i="7"/>
  <c r="L705" i="7"/>
  <c r="L704" i="7"/>
  <c r="L703" i="7"/>
  <c r="L702" i="7"/>
  <c r="L701" i="7"/>
  <c r="L700" i="7"/>
  <c r="L699" i="7"/>
  <c r="L698" i="7"/>
  <c r="L697" i="7"/>
  <c r="L696" i="7"/>
  <c r="L695" i="7"/>
  <c r="L694" i="7"/>
  <c r="L693" i="7"/>
  <c r="L692" i="7"/>
  <c r="L691" i="7"/>
  <c r="L690" i="7"/>
  <c r="L689" i="7"/>
  <c r="L688" i="7"/>
  <c r="L687" i="7"/>
  <c r="L686" i="7"/>
  <c r="L685" i="7"/>
  <c r="L684" i="7"/>
  <c r="L683" i="7"/>
  <c r="L682" i="7"/>
  <c r="L681" i="7"/>
  <c r="L680" i="7"/>
  <c r="L679" i="7"/>
  <c r="L678" i="7"/>
  <c r="L677" i="7"/>
  <c r="L676" i="7"/>
  <c r="L675" i="7"/>
  <c r="L674" i="7"/>
  <c r="L673" i="7"/>
  <c r="L672" i="7"/>
  <c r="L671" i="7"/>
  <c r="L670" i="7"/>
  <c r="L669" i="7"/>
  <c r="L668" i="7"/>
  <c r="L667" i="7"/>
  <c r="L666" i="7"/>
  <c r="L665" i="7"/>
  <c r="L664" i="7"/>
  <c r="L663" i="7"/>
  <c r="L662" i="7"/>
  <c r="L661" i="7"/>
  <c r="L660" i="7"/>
  <c r="L659" i="7"/>
  <c r="L658" i="7"/>
  <c r="L657" i="7"/>
  <c r="L656" i="7"/>
  <c r="L655" i="7"/>
  <c r="L654" i="7"/>
  <c r="L653" i="7"/>
  <c r="L652" i="7"/>
  <c r="L651" i="7"/>
  <c r="L650" i="7"/>
  <c r="L649" i="7"/>
  <c r="L648" i="7"/>
  <c r="L647" i="7"/>
  <c r="L646" i="7"/>
  <c r="L645" i="7"/>
  <c r="L644" i="7"/>
  <c r="L643" i="7"/>
  <c r="L642" i="7"/>
  <c r="L641" i="7"/>
  <c r="L640" i="7"/>
  <c r="L639" i="7"/>
  <c r="L638" i="7"/>
  <c r="L637" i="7"/>
  <c r="L636" i="7"/>
  <c r="L635" i="7"/>
  <c r="L634" i="7"/>
  <c r="L633" i="7"/>
  <c r="L632" i="7"/>
  <c r="L631" i="7"/>
  <c r="L630" i="7"/>
  <c r="L629" i="7"/>
  <c r="L628" i="7"/>
  <c r="L627" i="7"/>
  <c r="L626" i="7"/>
  <c r="L625" i="7"/>
  <c r="L624" i="7"/>
  <c r="L623" i="7"/>
  <c r="L622" i="7"/>
  <c r="L621" i="7"/>
  <c r="L620" i="7"/>
  <c r="L619" i="7"/>
  <c r="L618" i="7"/>
  <c r="L617" i="7"/>
  <c r="L616" i="7"/>
  <c r="L615" i="7"/>
  <c r="L614" i="7"/>
  <c r="L613" i="7"/>
  <c r="L612" i="7"/>
  <c r="L611" i="7"/>
  <c r="L610" i="7"/>
  <c r="L609" i="7"/>
  <c r="L608" i="7"/>
  <c r="L607" i="7"/>
  <c r="L606" i="7"/>
  <c r="L605" i="7"/>
  <c r="L604" i="7"/>
  <c r="L603" i="7"/>
  <c r="L602" i="7"/>
  <c r="L601" i="7"/>
  <c r="L600" i="7"/>
  <c r="L599" i="7"/>
  <c r="L598" i="7"/>
  <c r="L597" i="7"/>
  <c r="L596" i="7"/>
  <c r="L595" i="7"/>
  <c r="L594" i="7"/>
  <c r="L593" i="7"/>
  <c r="L592" i="7"/>
  <c r="L591" i="7"/>
  <c r="L590" i="7"/>
  <c r="L589" i="7"/>
  <c r="L588" i="7"/>
  <c r="L580" i="7"/>
  <c r="L579" i="7"/>
  <c r="L578" i="7"/>
  <c r="L577" i="7"/>
  <c r="L576" i="7"/>
  <c r="L575" i="7"/>
  <c r="L574" i="7"/>
  <c r="L573" i="7"/>
  <c r="L572" i="7"/>
  <c r="L571" i="7"/>
  <c r="L570" i="7"/>
  <c r="L569" i="7"/>
  <c r="L568" i="7"/>
  <c r="L567" i="7"/>
  <c r="L566" i="7"/>
  <c r="L565" i="7"/>
  <c r="L564" i="7"/>
  <c r="L563" i="7"/>
  <c r="L562" i="7"/>
  <c r="L561" i="7"/>
  <c r="L560" i="7"/>
  <c r="L559" i="7"/>
  <c r="L558" i="7"/>
  <c r="L557" i="7"/>
  <c r="L556" i="7"/>
  <c r="L555" i="7"/>
  <c r="L554" i="7"/>
  <c r="L553" i="7"/>
  <c r="L552" i="7"/>
  <c r="L551" i="7"/>
  <c r="L550" i="7"/>
  <c r="L549" i="7"/>
  <c r="L548" i="7"/>
  <c r="L547" i="7"/>
  <c r="L546" i="7"/>
  <c r="L545" i="7"/>
  <c r="L544" i="7"/>
  <c r="L543" i="7"/>
  <c r="L542" i="7"/>
  <c r="L541" i="7"/>
  <c r="L540" i="7"/>
  <c r="L539" i="7"/>
  <c r="L538" i="7"/>
  <c r="L537" i="7"/>
  <c r="L536" i="7"/>
  <c r="L535" i="7"/>
  <c r="L534" i="7"/>
  <c r="L533" i="7"/>
  <c r="L532" i="7"/>
  <c r="L531" i="7"/>
  <c r="L530" i="7"/>
  <c r="L529" i="7"/>
  <c r="L528" i="7"/>
  <c r="L527" i="7"/>
  <c r="L526" i="7"/>
  <c r="L525" i="7"/>
  <c r="L524" i="7"/>
  <c r="L523" i="7"/>
  <c r="L522" i="7"/>
  <c r="L521" i="7"/>
  <c r="L520" i="7"/>
  <c r="L519" i="7"/>
  <c r="L518" i="7"/>
  <c r="L517" i="7"/>
  <c r="L516" i="7"/>
  <c r="L515" i="7"/>
  <c r="L514" i="7"/>
  <c r="L513" i="7"/>
  <c r="L512" i="7"/>
  <c r="L511" i="7"/>
  <c r="L510" i="7"/>
  <c r="L509" i="7"/>
  <c r="L508" i="7"/>
  <c r="L507" i="7"/>
  <c r="L506" i="7"/>
  <c r="L505" i="7"/>
  <c r="L504" i="7"/>
  <c r="L503" i="7"/>
  <c r="L502" i="7"/>
  <c r="L501" i="7"/>
  <c r="L500" i="7"/>
  <c r="L499" i="7"/>
  <c r="L498" i="7"/>
  <c r="L497" i="7"/>
  <c r="L496" i="7"/>
  <c r="L495" i="7"/>
  <c r="L494" i="7"/>
  <c r="L493" i="7"/>
  <c r="L492" i="7"/>
  <c r="L491" i="7"/>
  <c r="L490" i="7"/>
  <c r="L489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8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E401" i="2"/>
  <c r="D401" i="2"/>
  <c r="C401" i="2"/>
  <c r="E400" i="2"/>
  <c r="D400" i="2"/>
  <c r="C400" i="2"/>
  <c r="E399" i="2"/>
  <c r="D399" i="2"/>
  <c r="C399" i="2"/>
  <c r="E398" i="2"/>
  <c r="D398" i="2"/>
  <c r="C398" i="2"/>
  <c r="E397" i="2"/>
  <c r="D397" i="2"/>
  <c r="C397" i="2"/>
  <c r="E396" i="2"/>
  <c r="D396" i="2"/>
  <c r="C396" i="2"/>
  <c r="E395" i="2"/>
  <c r="D395" i="2"/>
  <c r="C395" i="2"/>
  <c r="E394" i="2"/>
  <c r="D394" i="2"/>
  <c r="C394" i="2"/>
  <c r="E393" i="2"/>
  <c r="D393" i="2"/>
  <c r="C393" i="2"/>
  <c r="E392" i="2"/>
  <c r="D392" i="2"/>
  <c r="C392" i="2"/>
  <c r="E391" i="2"/>
  <c r="D391" i="2"/>
  <c r="C391" i="2"/>
  <c r="E390" i="2"/>
  <c r="D390" i="2"/>
  <c r="C390" i="2"/>
  <c r="E389" i="2"/>
  <c r="D389" i="2"/>
  <c r="C389" i="2"/>
  <c r="E388" i="2"/>
  <c r="D388" i="2"/>
  <c r="C388" i="2"/>
  <c r="L12" i="7"/>
  <c r="AM31" i="38"/>
  <c r="AM30" i="38"/>
  <c r="AM29" i="38"/>
  <c r="AM28" i="38"/>
  <c r="AM27" i="38"/>
  <c r="AM26" i="38"/>
  <c r="AM25" i="38"/>
  <c r="AM24" i="38"/>
  <c r="AM23" i="38"/>
  <c r="AM22" i="38"/>
  <c r="AM21" i="38"/>
  <c r="AM20" i="38"/>
  <c r="AM19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AY41" i="38"/>
  <c r="F386" i="2"/>
  <c r="I386" i="2"/>
  <c r="AY40" i="38"/>
  <c r="F385" i="2"/>
  <c r="I385" i="2"/>
  <c r="AY39" i="38"/>
  <c r="F384" i="2"/>
  <c r="I384" i="2"/>
  <c r="AY38" i="38"/>
  <c r="F383" i="2"/>
  <c r="I383" i="2"/>
  <c r="AY37" i="38"/>
  <c r="F382" i="2"/>
  <c r="I382" i="2"/>
  <c r="AY36" i="38"/>
  <c r="F381" i="2"/>
  <c r="I381" i="2"/>
  <c r="AY35" i="38"/>
  <c r="F380" i="2"/>
  <c r="I380" i="2"/>
  <c r="AY34" i="38"/>
  <c r="F379" i="2"/>
  <c r="I379" i="2"/>
  <c r="AY33" i="38"/>
  <c r="F378" i="2"/>
  <c r="I378" i="2"/>
  <c r="AY32" i="38"/>
  <c r="F377" i="2"/>
  <c r="I377" i="2"/>
  <c r="AY31" i="38"/>
  <c r="F376" i="2"/>
  <c r="I376" i="2"/>
  <c r="AY30" i="38"/>
  <c r="F375" i="2"/>
  <c r="I375" i="2"/>
  <c r="AY29" i="38"/>
  <c r="F374" i="2"/>
  <c r="I374" i="2"/>
  <c r="AY28" i="38"/>
  <c r="F373" i="2"/>
  <c r="I373" i="2"/>
  <c r="AY27" i="38"/>
  <c r="F372" i="2"/>
  <c r="I372" i="2"/>
  <c r="AY26" i="38"/>
  <c r="F371" i="2"/>
  <c r="I371" i="2"/>
  <c r="AY25" i="38"/>
  <c r="F370" i="2"/>
  <c r="I370" i="2"/>
  <c r="AY24" i="38"/>
  <c r="F369" i="2"/>
  <c r="I369" i="2"/>
  <c r="AY23" i="38"/>
  <c r="F368" i="2"/>
  <c r="I368" i="2"/>
  <c r="AY22" i="38"/>
  <c r="F367" i="2"/>
  <c r="I367" i="2"/>
  <c r="AY21" i="38"/>
  <c r="F366" i="2"/>
  <c r="I366" i="2"/>
  <c r="AY20" i="38"/>
  <c r="F365" i="2"/>
  <c r="I365" i="2"/>
  <c r="AY19" i="38"/>
  <c r="F364" i="2"/>
  <c r="I364" i="2"/>
  <c r="AY18" i="38"/>
  <c r="F363" i="2"/>
  <c r="I363" i="2"/>
  <c r="AY17" i="38"/>
  <c r="F362" i="2"/>
  <c r="I362" i="2"/>
  <c r="AY16" i="38"/>
  <c r="AY15" i="38"/>
  <c r="AY14" i="38"/>
  <c r="AY13" i="38"/>
  <c r="AY12" i="38"/>
  <c r="AY11" i="38"/>
  <c r="AY10" i="38"/>
  <c r="AY9" i="38"/>
  <c r="AY8" i="38"/>
  <c r="AY7" i="38"/>
  <c r="AY6" i="38"/>
  <c r="AY5" i="38"/>
  <c r="F401" i="2"/>
  <c r="I401" i="2"/>
  <c r="F400" i="2"/>
  <c r="I400" i="2"/>
  <c r="F399" i="2"/>
  <c r="I399" i="2"/>
  <c r="F397" i="2"/>
  <c r="I397" i="2"/>
  <c r="F396" i="2"/>
  <c r="I396" i="2"/>
  <c r="F395" i="2"/>
  <c r="I395" i="2"/>
  <c r="F393" i="2"/>
  <c r="I393" i="2"/>
  <c r="F392" i="2"/>
  <c r="I392" i="2"/>
  <c r="F391" i="2"/>
  <c r="F390" i="2"/>
  <c r="F389" i="2"/>
  <c r="I389" i="2"/>
  <c r="F388" i="2"/>
  <c r="H775" i="7"/>
  <c r="J11" i="38"/>
  <c r="F431" i="2"/>
  <c r="I431" i="2"/>
  <c r="F429" i="2"/>
  <c r="I429" i="2"/>
  <c r="F428" i="2"/>
  <c r="I428" i="2"/>
  <c r="F427" i="2"/>
  <c r="I427" i="2"/>
  <c r="F425" i="2"/>
  <c r="I425" i="2"/>
  <c r="F424" i="2"/>
  <c r="I424" i="2"/>
  <c r="F423" i="2"/>
  <c r="I423" i="2"/>
  <c r="F421" i="2"/>
  <c r="I421" i="2"/>
  <c r="F420" i="2"/>
  <c r="I420" i="2"/>
  <c r="F419" i="2"/>
  <c r="I419" i="2"/>
  <c r="F417" i="2"/>
  <c r="I417" i="2"/>
  <c r="F416" i="2"/>
  <c r="I416" i="2"/>
  <c r="F415" i="2"/>
  <c r="I415" i="2"/>
  <c r="F413" i="2"/>
  <c r="I413" i="2"/>
  <c r="F412" i="2"/>
  <c r="I412" i="2"/>
  <c r="F411" i="2"/>
  <c r="I411" i="2"/>
  <c r="F409" i="2"/>
  <c r="I409" i="2"/>
  <c r="F408" i="2"/>
  <c r="I408" i="2"/>
  <c r="F407" i="2"/>
  <c r="I407" i="2"/>
  <c r="F405" i="2"/>
  <c r="I405" i="2"/>
  <c r="F404" i="2"/>
  <c r="I404" i="2"/>
  <c r="F403" i="2"/>
  <c r="I403" i="2"/>
  <c r="F10" i="2"/>
  <c r="F9" i="2"/>
  <c r="F8" i="2"/>
  <c r="B10" i="2"/>
  <c r="B9" i="2"/>
  <c r="B8" i="2"/>
  <c r="B7" i="2"/>
  <c r="B31" i="10"/>
  <c r="B30" i="10"/>
  <c r="B29" i="10"/>
  <c r="B28" i="10"/>
  <c r="B27" i="10"/>
  <c r="B26" i="10"/>
  <c r="F10" i="1"/>
  <c r="O25" i="4"/>
  <c r="H22" i="2"/>
  <c r="H10" i="7"/>
  <c r="BG37" i="47"/>
  <c r="BG44" i="47"/>
  <c r="BG20" i="47"/>
  <c r="BG32" i="47"/>
  <c r="AY86" i="47"/>
  <c r="AY80" i="47"/>
  <c r="BC120" i="47"/>
  <c r="BE120" i="47"/>
  <c r="AU44" i="47"/>
  <c r="AY89" i="47"/>
  <c r="AY88" i="47"/>
  <c r="BG119" i="47"/>
  <c r="AY25" i="47"/>
  <c r="BG41" i="47"/>
  <c r="BG111" i="47"/>
  <c r="AY13" i="47"/>
  <c r="BG33" i="47"/>
  <c r="BG29" i="47"/>
  <c r="BG21" i="47"/>
  <c r="AY68" i="47"/>
  <c r="BG31" i="47"/>
  <c r="AY16" i="47"/>
  <c r="AY17" i="47"/>
  <c r="AY47" i="47"/>
  <c r="AY56" i="47"/>
  <c r="AY24" i="47"/>
  <c r="AY26" i="47"/>
  <c r="AY22" i="47"/>
  <c r="BG35" i="47"/>
  <c r="BG42" i="47"/>
  <c r="BG74" i="47"/>
  <c r="BG112" i="47"/>
  <c r="AY23" i="47"/>
  <c r="AY90" i="47"/>
  <c r="AY91" i="47"/>
  <c r="AY92" i="47"/>
  <c r="BG43" i="47"/>
  <c r="BG39" i="47"/>
  <c r="BG36" i="47"/>
  <c r="BG38" i="47"/>
  <c r="BG40" i="47"/>
  <c r="BG49" i="47"/>
  <c r="BG85" i="47"/>
  <c r="BG75" i="47"/>
  <c r="AY79" i="47"/>
  <c r="BA80" i="60"/>
  <c r="BA79" i="60"/>
  <c r="AU53" i="60"/>
  <c r="AV53" i="60"/>
  <c r="BC76" i="61"/>
  <c r="BD76" i="61"/>
  <c r="BC92" i="61"/>
  <c r="BE92" i="61"/>
  <c r="BC110" i="61"/>
  <c r="BD110" i="61"/>
  <c r="BC80" i="47"/>
  <c r="BD80" i="47"/>
  <c r="AU70" i="64"/>
  <c r="AU70" i="61"/>
  <c r="AU70" i="60"/>
  <c r="AU53" i="61"/>
  <c r="AV53" i="61"/>
  <c r="AU53" i="64"/>
  <c r="AV53" i="64"/>
  <c r="AU57" i="47"/>
  <c r="BC74" i="61"/>
  <c r="BC97" i="64"/>
  <c r="BE97" i="64"/>
  <c r="BC96" i="64"/>
  <c r="AU86" i="64"/>
  <c r="BC105" i="64"/>
  <c r="BD105" i="64"/>
  <c r="BC124" i="61"/>
  <c r="AU44" i="64"/>
  <c r="AU44" i="61"/>
  <c r="AV44" i="61"/>
  <c r="AU60" i="61"/>
  <c r="AU60" i="64"/>
  <c r="AY91" i="60"/>
  <c r="AY21" i="60"/>
  <c r="AY67" i="60"/>
  <c r="BG20" i="60"/>
  <c r="BG88" i="60"/>
  <c r="B6" i="47"/>
  <c r="BC76" i="47"/>
  <c r="O82" i="64"/>
  <c r="O82" i="47"/>
  <c r="O82" i="60"/>
  <c r="O17" i="47"/>
  <c r="BC97" i="60"/>
  <c r="BD97" i="60"/>
  <c r="BC97" i="61"/>
  <c r="BH97" i="61"/>
  <c r="BI97" i="61"/>
  <c r="BC97" i="47"/>
  <c r="BC112" i="60"/>
  <c r="AU18" i="60"/>
  <c r="AU18" i="64"/>
  <c r="BC26" i="60"/>
  <c r="BC26" i="64"/>
  <c r="BC76" i="60"/>
  <c r="BD76" i="60"/>
  <c r="BC80" i="64"/>
  <c r="AU53" i="47"/>
  <c r="BC72" i="61"/>
  <c r="BE72" i="61"/>
  <c r="BC72" i="47"/>
  <c r="BE72" i="47"/>
  <c r="AU60" i="60"/>
  <c r="AW60" i="60"/>
  <c r="O67" i="61"/>
  <c r="O67" i="47"/>
  <c r="O2" i="10"/>
  <c r="AF20" i="4"/>
  <c r="AF13" i="65"/>
  <c r="B4" i="20"/>
  <c r="AI4" i="10"/>
  <c r="B8" i="47"/>
  <c r="B8" i="60"/>
  <c r="B8" i="61"/>
  <c r="B8" i="64"/>
  <c r="U7" i="10"/>
  <c r="AO2" i="65"/>
  <c r="H21" i="64"/>
  <c r="H20" i="47"/>
  <c r="H20" i="1"/>
  <c r="H21" i="60"/>
  <c r="H26" i="64"/>
  <c r="H21" i="47"/>
  <c r="H20" i="61"/>
  <c r="H22" i="1"/>
  <c r="H20" i="64"/>
  <c r="H26" i="61"/>
  <c r="H21" i="61"/>
  <c r="AE17" i="64"/>
  <c r="B13" i="2"/>
  <c r="D22" i="2"/>
  <c r="D10" i="7"/>
  <c r="AO28" i="10"/>
  <c r="O24" i="47"/>
  <c r="N83" i="64"/>
  <c r="BG29" i="60"/>
  <c r="BG75" i="60"/>
  <c r="BG31" i="60"/>
  <c r="BG22" i="60"/>
  <c r="AY24" i="60"/>
  <c r="AY89" i="60"/>
  <c r="AY62" i="60"/>
  <c r="BG14" i="60"/>
  <c r="BG47" i="60"/>
  <c r="AY7" i="60"/>
  <c r="AY70" i="60"/>
  <c r="BG17" i="60"/>
  <c r="AY82" i="60"/>
  <c r="AY84" i="60"/>
  <c r="BG16" i="60"/>
  <c r="BG107" i="60"/>
  <c r="AY59" i="60"/>
  <c r="BG105" i="60"/>
  <c r="BG46" i="60"/>
  <c r="BG72" i="60"/>
  <c r="AY71" i="60"/>
  <c r="AY85" i="60"/>
  <c r="AY86" i="60"/>
  <c r="BG122" i="60"/>
  <c r="BG111" i="60"/>
  <c r="BG92" i="60"/>
  <c r="AY83" i="60"/>
  <c r="BG71" i="64"/>
  <c r="BG47" i="64"/>
  <c r="AY11" i="64"/>
  <c r="AY50" i="64"/>
  <c r="BG120" i="64"/>
  <c r="BG92" i="64"/>
  <c r="AY77" i="64"/>
  <c r="AY10" i="64"/>
  <c r="AY46" i="64"/>
  <c r="AY7" i="64"/>
  <c r="BG109" i="64"/>
  <c r="BG123" i="64"/>
  <c r="AY81" i="64"/>
  <c r="AY13" i="64"/>
  <c r="BG83" i="64"/>
  <c r="AY62" i="64"/>
  <c r="BG124" i="64"/>
  <c r="BG97" i="64"/>
  <c r="AY82" i="64"/>
  <c r="AY44" i="64"/>
  <c r="BG14" i="64"/>
  <c r="AY70" i="64"/>
  <c r="BG106" i="64"/>
  <c r="BG95" i="64"/>
  <c r="BG115" i="64"/>
  <c r="AY84" i="64"/>
  <c r="BG94" i="64"/>
  <c r="AY52" i="64"/>
  <c r="AY69" i="64"/>
  <c r="BG22" i="64"/>
  <c r="BG110" i="64"/>
  <c r="BG85" i="64"/>
  <c r="AY55" i="64"/>
  <c r="BG86" i="64"/>
  <c r="AY57" i="64"/>
  <c r="BG105" i="64"/>
  <c r="AU104" i="64"/>
  <c r="AY95" i="64"/>
  <c r="BG75" i="64"/>
  <c r="BG69" i="64"/>
  <c r="AY56" i="64"/>
  <c r="AY45" i="64"/>
  <c r="BG100" i="64"/>
  <c r="BG11" i="64"/>
  <c r="BG122" i="64"/>
  <c r="BG118" i="64"/>
  <c r="BG112" i="64"/>
  <c r="BG108" i="64"/>
  <c r="BG93" i="64"/>
  <c r="BG91" i="64"/>
  <c r="BG87" i="64"/>
  <c r="BG84" i="64"/>
  <c r="BG81" i="64"/>
  <c r="BG74" i="64"/>
  <c r="AY59" i="64"/>
  <c r="AY51" i="64"/>
  <c r="BG73" i="64"/>
  <c r="AY68" i="64"/>
  <c r="BG99" i="64"/>
  <c r="BG76" i="64"/>
  <c r="AY53" i="64"/>
  <c r="AY9" i="64"/>
  <c r="BG16" i="64"/>
  <c r="BG111" i="64"/>
  <c r="AY65" i="64"/>
  <c r="BG10" i="64"/>
  <c r="AY86" i="64"/>
  <c r="BG98" i="64"/>
  <c r="BG70" i="64"/>
  <c r="BG15" i="64"/>
  <c r="AY8" i="64"/>
  <c r="AY71" i="64"/>
  <c r="AY67" i="64"/>
  <c r="AY58" i="64"/>
  <c r="AY47" i="64"/>
  <c r="BG17" i="64"/>
  <c r="BG13" i="64"/>
  <c r="BG9" i="64"/>
  <c r="BG18" i="64"/>
  <c r="BG12" i="64"/>
  <c r="BG117" i="64"/>
  <c r="BG119" i="64"/>
  <c r="AY83" i="64"/>
  <c r="AU104" i="61"/>
  <c r="BG74" i="61"/>
  <c r="BG93" i="61"/>
  <c r="AY9" i="61"/>
  <c r="BG69" i="61"/>
  <c r="AY91" i="61"/>
  <c r="AY89" i="61"/>
  <c r="BG39" i="61"/>
  <c r="AY26" i="61"/>
  <c r="AY22" i="61"/>
  <c r="BG111" i="61"/>
  <c r="BG84" i="61"/>
  <c r="BG76" i="61"/>
  <c r="AY69" i="61"/>
  <c r="AY67" i="61"/>
  <c r="BG99" i="61"/>
  <c r="BG49" i="61"/>
  <c r="AY47" i="61"/>
  <c r="BG9" i="61"/>
  <c r="BG106" i="61"/>
  <c r="AY71" i="61"/>
  <c r="BG85" i="61"/>
  <c r="AY70" i="61"/>
  <c r="BG112" i="61"/>
  <c r="BG118" i="61"/>
  <c r="BG122" i="61"/>
  <c r="AY51" i="61"/>
  <c r="AY7" i="61"/>
  <c r="BG17" i="61"/>
  <c r="AY45" i="61"/>
  <c r="BG94" i="61"/>
  <c r="BG105" i="61"/>
  <c r="BG42" i="61"/>
  <c r="AY95" i="61"/>
  <c r="AY98" i="61"/>
  <c r="AY79" i="61"/>
  <c r="BG14" i="61"/>
  <c r="AY62" i="61"/>
  <c r="BG13" i="61"/>
  <c r="AY8" i="61"/>
  <c r="BG119" i="61"/>
  <c r="BG107" i="61"/>
  <c r="BG92" i="61"/>
  <c r="BG91" i="61"/>
  <c r="AY46" i="61"/>
  <c r="AY11" i="61"/>
  <c r="BG96" i="61"/>
  <c r="AY57" i="61"/>
  <c r="BG16" i="61"/>
  <c r="AY59" i="61"/>
  <c r="BG108" i="61"/>
  <c r="BG12" i="61"/>
  <c r="AY56" i="61"/>
  <c r="BG75" i="61"/>
  <c r="AY24" i="61"/>
  <c r="AY25" i="61"/>
  <c r="BG43" i="61"/>
  <c r="BG44" i="61"/>
  <c r="BG36" i="61"/>
  <c r="AY92" i="61"/>
  <c r="BG11" i="61"/>
  <c r="BG115" i="61"/>
  <c r="AY53" i="61"/>
  <c r="AY10" i="61"/>
  <c r="BG109" i="61"/>
  <c r="BG100" i="61"/>
  <c r="AY50" i="61"/>
  <c r="BG18" i="61"/>
  <c r="BG123" i="61"/>
  <c r="BG22" i="61"/>
  <c r="AY63" i="61"/>
  <c r="BG83" i="61"/>
  <c r="BG97" i="61"/>
  <c r="BG110" i="61"/>
  <c r="BG10" i="61"/>
  <c r="AY52" i="61"/>
  <c r="AY64" i="61"/>
  <c r="BG71" i="61"/>
  <c r="BG82" i="61"/>
  <c r="BG41" i="61"/>
  <c r="BG38" i="61"/>
  <c r="BG37" i="61"/>
  <c r="AY80" i="61"/>
  <c r="AY51" i="60"/>
  <c r="AU104" i="60"/>
  <c r="AU107" i="60"/>
  <c r="AR87" i="60"/>
  <c r="AY46" i="60"/>
  <c r="BG12" i="60"/>
  <c r="BG11" i="60"/>
  <c r="BG69" i="60"/>
  <c r="BG108" i="60"/>
  <c r="AY57" i="60"/>
  <c r="BG70" i="60"/>
  <c r="BG85" i="60"/>
  <c r="BG110" i="60"/>
  <c r="BG91" i="60"/>
  <c r="BG76" i="60"/>
  <c r="AY13" i="60"/>
  <c r="BG96" i="60"/>
  <c r="BG106" i="60"/>
  <c r="BG83" i="60"/>
  <c r="BG97" i="60"/>
  <c r="AY55" i="60"/>
  <c r="AY50" i="60"/>
  <c r="AY9" i="60"/>
  <c r="BG13" i="60"/>
  <c r="AY56" i="60"/>
  <c r="BG117" i="60"/>
  <c r="AY58" i="60"/>
  <c r="BG124" i="60"/>
  <c r="BG10" i="60"/>
  <c r="BG84" i="60"/>
  <c r="AY10" i="60"/>
  <c r="BG120" i="60"/>
  <c r="BG71" i="60"/>
  <c r="BG95" i="60"/>
  <c r="BG118" i="60"/>
  <c r="BG87" i="60"/>
  <c r="BG82" i="60"/>
  <c r="AY53" i="60"/>
  <c r="BG86" i="60"/>
  <c r="AY44" i="60"/>
  <c r="BG15" i="60"/>
  <c r="AY69" i="60"/>
  <c r="AY11" i="60"/>
  <c r="AY23" i="60"/>
  <c r="AY8" i="60"/>
  <c r="BG119" i="60"/>
  <c r="BG74" i="60"/>
  <c r="AY14" i="60"/>
  <c r="BG93" i="60"/>
  <c r="AY63" i="60"/>
  <c r="AY25" i="60"/>
  <c r="BG30" i="60"/>
  <c r="BG94" i="60"/>
  <c r="BG49" i="60"/>
  <c r="AY88" i="60"/>
  <c r="AY68" i="60"/>
  <c r="BG33" i="60"/>
  <c r="BG123" i="60"/>
  <c r="BG18" i="60"/>
  <c r="BG73" i="60"/>
  <c r="AY78" i="60"/>
  <c r="AY52" i="60"/>
  <c r="AY92" i="60"/>
  <c r="AY47" i="60"/>
  <c r="BG121" i="60"/>
  <c r="BG81" i="60"/>
  <c r="AY64" i="60"/>
  <c r="BG116" i="60"/>
  <c r="BG109" i="60"/>
  <c r="BG99" i="60"/>
  <c r="BG112" i="60"/>
  <c r="BG9" i="60"/>
  <c r="AY93" i="60"/>
  <c r="AY45" i="60"/>
  <c r="BG48" i="60"/>
  <c r="AY65" i="60"/>
  <c r="BG115" i="60"/>
  <c r="AY90" i="60"/>
  <c r="BG100" i="60"/>
  <c r="F201" i="2"/>
  <c r="I201" i="2"/>
  <c r="BG123" i="47"/>
  <c r="BG110" i="47"/>
  <c r="BG118" i="47"/>
  <c r="AY84" i="47"/>
  <c r="AY70" i="47"/>
  <c r="BG76" i="47"/>
  <c r="BG117" i="47"/>
  <c r="BG83" i="47"/>
  <c r="AY11" i="47"/>
  <c r="AY44" i="47"/>
  <c r="BG72" i="47"/>
  <c r="BG107" i="47"/>
  <c r="BG48" i="47"/>
  <c r="AY51" i="47"/>
  <c r="AY57" i="47"/>
  <c r="AY14" i="47"/>
  <c r="BG93" i="47"/>
  <c r="BG17" i="47"/>
  <c r="AY59" i="47"/>
  <c r="BG97" i="47"/>
  <c r="BG121" i="47"/>
  <c r="AY9" i="47"/>
  <c r="BG24" i="47"/>
  <c r="BG25" i="47"/>
  <c r="BG27" i="47"/>
  <c r="BG70" i="47"/>
  <c r="BG82" i="47"/>
  <c r="BG109" i="47"/>
  <c r="AY7" i="47"/>
  <c r="AY67" i="47"/>
  <c r="AY45" i="47"/>
  <c r="AY8" i="47"/>
  <c r="BG87" i="47"/>
  <c r="BG30" i="47"/>
  <c r="AY62" i="47"/>
  <c r="AY19" i="47"/>
  <c r="AY18" i="47"/>
  <c r="AY50" i="47"/>
  <c r="AY63" i="47"/>
  <c r="BG28" i="47"/>
  <c r="BG26" i="47"/>
  <c r="AY20" i="47"/>
  <c r="AU104" i="47"/>
  <c r="AU108" i="47"/>
  <c r="BG122" i="47"/>
  <c r="BG108" i="47"/>
  <c r="BG120" i="47"/>
  <c r="BG69" i="47"/>
  <c r="AY52" i="47"/>
  <c r="AY10" i="47"/>
  <c r="AY64" i="47"/>
  <c r="BG71" i="47"/>
  <c r="BG116" i="47"/>
  <c r="BG95" i="47"/>
  <c r="AY77" i="47"/>
  <c r="BG14" i="47"/>
  <c r="BG18" i="47"/>
  <c r="BG100" i="47"/>
  <c r="BG115" i="47"/>
  <c r="BG96" i="47"/>
  <c r="BG105" i="47"/>
  <c r="BG22" i="47"/>
  <c r="BG15" i="47"/>
  <c r="AY53" i="47"/>
  <c r="BG16" i="47"/>
  <c r="BG99" i="47"/>
  <c r="AY58" i="47"/>
  <c r="AY78" i="47"/>
  <c r="AY82" i="47"/>
  <c r="BG47" i="47"/>
  <c r="BG84" i="47"/>
  <c r="BG98" i="47"/>
  <c r="BG106" i="47"/>
  <c r="AY65" i="47"/>
  <c r="AY46" i="47"/>
  <c r="BG11" i="47"/>
  <c r="BG124" i="47"/>
  <c r="BG88" i="47"/>
  <c r="BG92" i="47"/>
  <c r="BG81" i="47"/>
  <c r="BG10" i="47"/>
  <c r="BG73" i="47"/>
  <c r="AY71" i="47"/>
  <c r="AY69" i="47"/>
  <c r="AY55" i="47"/>
  <c r="BG9" i="47"/>
  <c r="BG91" i="47"/>
  <c r="BG13" i="47"/>
  <c r="BG86" i="47"/>
  <c r="BG94" i="47"/>
  <c r="BG12" i="47"/>
  <c r="AY85" i="47"/>
  <c r="AU108" i="60"/>
  <c r="AU107" i="64"/>
  <c r="AR87" i="64"/>
  <c r="AU108" i="64"/>
  <c r="AU107" i="61"/>
  <c r="AR87" i="61"/>
  <c r="AU108" i="61"/>
  <c r="AR87" i="47"/>
  <c r="AU107" i="47"/>
  <c r="B11" i="38"/>
  <c r="C74" i="4"/>
  <c r="B17" i="38"/>
  <c r="AI67" i="64"/>
  <c r="AI2" i="61"/>
  <c r="AI67" i="47"/>
  <c r="AI2" i="10"/>
  <c r="AI67" i="60"/>
  <c r="AO2" i="1"/>
  <c r="AO67" i="47"/>
  <c r="AA22" i="20"/>
  <c r="AE24" i="64"/>
  <c r="B2" i="4"/>
  <c r="B2" i="10"/>
  <c r="B2" i="64"/>
  <c r="B2" i="38"/>
  <c r="B12" i="2"/>
  <c r="B7" i="38"/>
  <c r="Q26" i="65"/>
  <c r="C18" i="65"/>
  <c r="Q10" i="65"/>
  <c r="BC101" i="64"/>
  <c r="BE101" i="64"/>
  <c r="BC101" i="61"/>
  <c r="BC101" i="60"/>
  <c r="BC84" i="64"/>
  <c r="BE84" i="64"/>
  <c r="BC84" i="60"/>
  <c r="BE84" i="60"/>
  <c r="AU60" i="47"/>
  <c r="AV60" i="47"/>
  <c r="BC28" i="61"/>
  <c r="BE28" i="61"/>
  <c r="BC28" i="47"/>
  <c r="AU89" i="47"/>
  <c r="AU8" i="61"/>
  <c r="AY64" i="64"/>
  <c r="BG88" i="64"/>
  <c r="BG46" i="47"/>
  <c r="BG121" i="64"/>
  <c r="BG107" i="64"/>
  <c r="BG72" i="64"/>
  <c r="AY63" i="64"/>
  <c r="BG116" i="64"/>
  <c r="BG96" i="64"/>
  <c r="BC29" i="47"/>
  <c r="BE29" i="47"/>
  <c r="AU8" i="64"/>
  <c r="AZ8" i="64"/>
  <c r="BA8" i="64"/>
  <c r="BC11" i="61"/>
  <c r="BC11" i="47"/>
  <c r="BE11" i="47"/>
  <c r="AU7" i="38"/>
  <c r="AW7" i="38"/>
  <c r="AU77" i="61"/>
  <c r="AU12" i="38"/>
  <c r="AU8" i="47"/>
  <c r="AU8" i="60"/>
  <c r="AU10" i="38"/>
  <c r="AU33" i="47"/>
  <c r="AV33" i="47"/>
  <c r="AU33" i="61"/>
  <c r="BC56" i="47"/>
  <c r="BE56" i="47"/>
  <c r="AU5" i="38"/>
  <c r="AZ74" i="60"/>
  <c r="BA74" i="60"/>
  <c r="AZ74" i="64"/>
  <c r="BA74" i="64"/>
  <c r="AZ74" i="47"/>
  <c r="BA74" i="47"/>
  <c r="AZ74" i="61"/>
  <c r="BA74" i="61"/>
  <c r="AZ73" i="47"/>
  <c r="BA73" i="47"/>
  <c r="AZ73" i="61"/>
  <c r="BA73" i="61"/>
  <c r="AZ73" i="64"/>
  <c r="BA73" i="64"/>
  <c r="AZ73" i="60"/>
  <c r="BA73" i="60"/>
  <c r="BC20" i="47"/>
  <c r="BD20" i="47"/>
  <c r="BC20" i="60"/>
  <c r="BE20" i="60"/>
  <c r="BC20" i="64"/>
  <c r="BE20" i="64"/>
  <c r="BC20" i="61"/>
  <c r="F284" i="2"/>
  <c r="I284" i="2"/>
  <c r="F282" i="2"/>
  <c r="I282" i="2"/>
  <c r="F283" i="2"/>
  <c r="I283" i="2"/>
  <c r="F285" i="2"/>
  <c r="I285" i="2"/>
  <c r="BC110" i="47"/>
  <c r="BD110" i="47"/>
  <c r="BC118" i="61"/>
  <c r="AU77" i="47"/>
  <c r="AU85" i="47"/>
  <c r="AZ85" i="47"/>
  <c r="BA85" i="47"/>
  <c r="BC72" i="60"/>
  <c r="BC80" i="60"/>
  <c r="BC84" i="47"/>
  <c r="BE84" i="47"/>
  <c r="BC96" i="47"/>
  <c r="AU70" i="47"/>
  <c r="AV70" i="47"/>
  <c r="C433" i="2"/>
  <c r="AU11" i="38"/>
  <c r="AW11" i="38"/>
  <c r="AU9" i="38"/>
  <c r="AV9" i="38"/>
  <c r="BC56" i="61"/>
  <c r="BC73" i="60"/>
  <c r="BC73" i="47"/>
  <c r="BC81" i="60"/>
  <c r="BD81" i="60"/>
  <c r="BC96" i="60"/>
  <c r="BC29" i="61"/>
  <c r="BD29" i="61"/>
  <c r="AU40" i="47"/>
  <c r="BC63" i="61"/>
  <c r="BC63" i="47"/>
  <c r="BD63" i="47"/>
  <c r="AU40" i="61"/>
  <c r="BC11" i="64"/>
  <c r="BE11" i="64"/>
  <c r="BC101" i="47"/>
  <c r="BC72" i="64"/>
  <c r="BE72" i="64"/>
  <c r="AU8" i="38"/>
  <c r="BC44" i="61"/>
  <c r="BD44" i="61"/>
  <c r="BC44" i="47"/>
  <c r="BH44" i="47"/>
  <c r="BI44" i="47"/>
  <c r="AU85" i="61"/>
  <c r="AW85" i="61"/>
  <c r="BC11" i="60"/>
  <c r="AU44" i="60"/>
  <c r="AW44" i="60"/>
  <c r="AU88" i="60"/>
  <c r="AU89" i="61"/>
  <c r="AV89" i="61"/>
  <c r="B2" i="1"/>
  <c r="B67" i="60"/>
  <c r="B2" i="47"/>
  <c r="B2" i="60"/>
  <c r="B2" i="20"/>
  <c r="AU13" i="10"/>
  <c r="O17" i="64"/>
  <c r="O24" i="61"/>
  <c r="O17" i="61"/>
  <c r="B7" i="61"/>
  <c r="B7" i="47"/>
  <c r="C8" i="4"/>
  <c r="O30" i="61"/>
  <c r="N83" i="60"/>
  <c r="N83" i="61"/>
  <c r="N83" i="47"/>
  <c r="AV102" i="47"/>
  <c r="B7" i="60"/>
  <c r="B7" i="64"/>
  <c r="B2" i="61"/>
  <c r="O17" i="60"/>
  <c r="B2" i="65"/>
  <c r="B67" i="64"/>
  <c r="Q9" i="65"/>
  <c r="C26" i="65"/>
  <c r="U2" i="20"/>
  <c r="U67" i="47"/>
  <c r="U2" i="10"/>
  <c r="B4" i="65"/>
  <c r="U2" i="61"/>
  <c r="U67" i="64"/>
  <c r="N18" i="1"/>
  <c r="N18" i="61"/>
  <c r="N26" i="1"/>
  <c r="N25" i="64"/>
  <c r="N18" i="47"/>
  <c r="N18" i="60"/>
  <c r="N18" i="64"/>
  <c r="N25" i="61"/>
  <c r="B24" i="64"/>
  <c r="B24" i="61"/>
  <c r="B25" i="10"/>
  <c r="C2" i="7"/>
  <c r="B14" i="20"/>
  <c r="F5" i="2"/>
  <c r="B10" i="7"/>
  <c r="B22" i="2"/>
  <c r="I10" i="7"/>
  <c r="K22" i="2"/>
  <c r="AU6" i="10"/>
  <c r="AF10" i="65"/>
  <c r="C10" i="65"/>
  <c r="C94" i="4"/>
  <c r="B6" i="64"/>
  <c r="B6" i="1"/>
  <c r="B6" i="38"/>
  <c r="AC14" i="10"/>
  <c r="H19" i="1"/>
  <c r="H27" i="1"/>
  <c r="H28" i="1"/>
  <c r="BD73" i="1"/>
  <c r="AU50" i="1"/>
  <c r="D297" i="2"/>
  <c r="BD64" i="1"/>
  <c r="BF64" i="1"/>
  <c r="Q20" i="65"/>
  <c r="C12" i="65"/>
  <c r="C28" i="65"/>
  <c r="AF28" i="65"/>
  <c r="C20" i="65"/>
  <c r="AF12" i="65"/>
  <c r="AF20" i="65"/>
  <c r="B8" i="38"/>
  <c r="Q12" i="65"/>
  <c r="Q28" i="65"/>
  <c r="B82" i="47"/>
  <c r="U2" i="68"/>
  <c r="U2" i="4"/>
  <c r="U2" i="47"/>
  <c r="U2" i="66"/>
  <c r="U2" i="65"/>
  <c r="U67" i="60"/>
  <c r="U67" i="61"/>
  <c r="U2" i="64"/>
  <c r="U2" i="38"/>
  <c r="U2" i="1"/>
  <c r="U2" i="60"/>
  <c r="B6" i="68"/>
  <c r="B6" i="66"/>
  <c r="B6" i="60"/>
  <c r="B10" i="68"/>
  <c r="B10" i="60"/>
  <c r="AM7" i="10"/>
  <c r="B10" i="64"/>
  <c r="B82" i="61"/>
  <c r="B84" i="64"/>
  <c r="B84" i="60"/>
  <c r="AF26" i="65"/>
  <c r="O2" i="65"/>
  <c r="H30" i="1"/>
  <c r="N18" i="66"/>
  <c r="B7" i="66"/>
  <c r="O2" i="67"/>
  <c r="B7" i="67"/>
  <c r="H30" i="68"/>
  <c r="N26" i="66"/>
  <c r="AO2" i="67"/>
  <c r="H30" i="67"/>
  <c r="B7" i="68"/>
  <c r="H19" i="64"/>
  <c r="B17" i="64"/>
  <c r="C22" i="2"/>
  <c r="C10" i="7"/>
  <c r="V31" i="61"/>
  <c r="V25" i="47"/>
  <c r="O30" i="64"/>
  <c r="O24" i="60"/>
  <c r="AR86" i="64"/>
  <c r="AY18" i="67"/>
  <c r="AZ18" i="67"/>
  <c r="T74" i="2"/>
  <c r="AY17" i="66"/>
  <c r="AY18" i="1"/>
  <c r="AY20" i="67"/>
  <c r="AY17" i="67"/>
  <c r="AZ17" i="67"/>
  <c r="T73" i="2"/>
  <c r="B67" i="61"/>
  <c r="B2" i="67"/>
  <c r="B2" i="66"/>
  <c r="B67" i="47"/>
  <c r="B2" i="68"/>
  <c r="B4" i="2"/>
  <c r="B8" i="20"/>
  <c r="AU14" i="10"/>
  <c r="AE23" i="10"/>
  <c r="AE17" i="60"/>
  <c r="AE24" i="61"/>
  <c r="H19" i="66"/>
  <c r="H27" i="66"/>
  <c r="B11" i="1"/>
  <c r="B8" i="66"/>
  <c r="U2" i="67"/>
  <c r="N18" i="67"/>
  <c r="H20" i="67"/>
  <c r="N26" i="67"/>
  <c r="H28" i="67"/>
  <c r="AI2" i="68"/>
  <c r="H19" i="68"/>
  <c r="H22" i="68"/>
  <c r="Q12" i="4"/>
  <c r="AM20" i="10"/>
  <c r="AI2" i="66"/>
  <c r="H20" i="66"/>
  <c r="H28" i="66"/>
  <c r="B6" i="67"/>
  <c r="B11" i="67"/>
  <c r="O2" i="68"/>
  <c r="B8" i="68"/>
  <c r="B11" i="68"/>
  <c r="H27" i="68"/>
  <c r="AF12" i="4"/>
  <c r="H22" i="66"/>
  <c r="H30" i="66"/>
  <c r="H19" i="67"/>
  <c r="H22" i="67"/>
  <c r="H20" i="68"/>
  <c r="C12" i="4"/>
  <c r="AY64" i="68"/>
  <c r="AY65" i="68"/>
  <c r="AY15" i="68"/>
  <c r="AZ15" i="68"/>
  <c r="V75" i="2"/>
  <c r="AY18" i="66"/>
  <c r="AZ18" i="66"/>
  <c r="R77" i="2"/>
  <c r="AY14" i="66"/>
  <c r="AY18" i="68"/>
  <c r="AY14" i="68"/>
  <c r="AZ14" i="68"/>
  <c r="V74" i="2"/>
  <c r="AY23" i="67"/>
  <c r="AY21" i="67"/>
  <c r="AY23" i="1"/>
  <c r="AY19" i="1"/>
  <c r="AY20" i="1"/>
  <c r="AY15" i="66"/>
  <c r="AY19" i="67"/>
  <c r="AZ19" i="67"/>
  <c r="T75" i="2"/>
  <c r="AY16" i="68"/>
  <c r="BH95" i="68"/>
  <c r="BH82" i="1"/>
  <c r="BH108" i="1"/>
  <c r="BH72" i="66"/>
  <c r="BH113" i="67"/>
  <c r="BI113" i="67"/>
  <c r="U341" i="2"/>
  <c r="BH94" i="68"/>
  <c r="BH85" i="68"/>
  <c r="BH36" i="68"/>
  <c r="BH43" i="68"/>
  <c r="BH6" i="68"/>
  <c r="BH102" i="67"/>
  <c r="BH60" i="66"/>
  <c r="BH68" i="66"/>
  <c r="BH47" i="66"/>
  <c r="BH56" i="66"/>
  <c r="BH73" i="66"/>
  <c r="BH92" i="66"/>
  <c r="BH96" i="66"/>
  <c r="BH66" i="66"/>
  <c r="BH118" i="1"/>
  <c r="BH102" i="1"/>
  <c r="BH62" i="1"/>
  <c r="BH61" i="1"/>
  <c r="BH79" i="1"/>
  <c r="BH97" i="1"/>
  <c r="BH68" i="1"/>
  <c r="BH67" i="1"/>
  <c r="BH46" i="1"/>
  <c r="BH81" i="1"/>
  <c r="BH89" i="1"/>
  <c r="BH115" i="1"/>
  <c r="BH119" i="1"/>
  <c r="BH74" i="68"/>
  <c r="BH49" i="67"/>
  <c r="BH5" i="1"/>
  <c r="BH88" i="1"/>
  <c r="M729" i="7"/>
  <c r="BK129" i="70"/>
  <c r="BH96" i="71"/>
  <c r="BH61" i="71"/>
  <c r="BH95" i="71"/>
  <c r="BH103" i="71"/>
  <c r="BH99" i="70"/>
  <c r="BH58" i="70"/>
  <c r="BH68" i="70"/>
  <c r="BH67" i="70"/>
  <c r="BI67" i="70"/>
  <c r="AA272" i="2"/>
  <c r="BH79" i="70"/>
  <c r="BH78" i="70"/>
  <c r="BI78" i="70"/>
  <c r="AA290" i="2"/>
  <c r="BH86" i="70"/>
  <c r="BH85" i="70"/>
  <c r="BH123" i="70"/>
  <c r="BH93" i="70"/>
  <c r="BI93" i="70"/>
  <c r="AA313" i="2"/>
  <c r="BH114" i="70"/>
  <c r="BH115" i="70"/>
  <c r="BH91" i="70"/>
  <c r="BH103" i="70"/>
  <c r="BI103" i="70"/>
  <c r="AA323" i="2"/>
  <c r="BH119" i="70"/>
  <c r="BH78" i="69"/>
  <c r="BH37" i="69"/>
  <c r="BH36" i="69"/>
  <c r="BH65" i="69"/>
  <c r="BH64" i="69"/>
  <c r="BH82" i="69"/>
  <c r="BH85" i="69"/>
  <c r="BH95" i="69"/>
  <c r="BH94" i="69"/>
  <c r="BH73" i="69"/>
  <c r="BH74" i="69"/>
  <c r="BH75" i="69"/>
  <c r="B84" i="70"/>
  <c r="BH70" i="73"/>
  <c r="BH48" i="73"/>
  <c r="BH82" i="73"/>
  <c r="BH94" i="73"/>
  <c r="BH93" i="73"/>
  <c r="BH99" i="73"/>
  <c r="BH66" i="73"/>
  <c r="BH80" i="73"/>
  <c r="AI81" i="71"/>
  <c r="O81" i="73"/>
  <c r="U81" i="70"/>
  <c r="AC81" i="71"/>
  <c r="W81" i="73"/>
  <c r="S81" i="71"/>
  <c r="B84" i="73"/>
  <c r="N83" i="70"/>
  <c r="N83" i="74"/>
  <c r="O82" i="70"/>
  <c r="O81" i="74"/>
  <c r="AY74" i="47"/>
  <c r="AY73" i="47"/>
  <c r="AY74" i="64"/>
  <c r="AY73" i="60"/>
  <c r="AY73" i="61"/>
  <c r="H291" i="7"/>
  <c r="H541" i="7"/>
  <c r="H820" i="7"/>
  <c r="H353" i="7"/>
  <c r="H416" i="7"/>
  <c r="H488" i="7"/>
  <c r="H522" i="7"/>
  <c r="H57" i="7"/>
  <c r="AY64" i="69"/>
  <c r="BB64" i="69"/>
  <c r="BH20" i="75"/>
  <c r="AP14" i="10"/>
  <c r="AY78" i="1"/>
  <c r="H898" i="7"/>
  <c r="AW4" i="75"/>
  <c r="AW4" i="74"/>
  <c r="W23" i="10"/>
  <c r="AW4" i="68"/>
  <c r="BI43" i="68"/>
  <c r="W256" i="2"/>
  <c r="AZ44" i="68"/>
  <c r="V299" i="2"/>
  <c r="AY78" i="67"/>
  <c r="H296" i="7"/>
  <c r="AY18" i="73"/>
  <c r="AY16" i="70"/>
  <c r="AZ16" i="70"/>
  <c r="Z72" i="2"/>
  <c r="AY15" i="74"/>
  <c r="AY22" i="74"/>
  <c r="AY20" i="74"/>
  <c r="AZ20" i="74"/>
  <c r="AH76" i="2"/>
  <c r="AY19" i="74"/>
  <c r="AY18" i="74"/>
  <c r="AY17" i="74"/>
  <c r="AY16" i="74"/>
  <c r="AY23" i="70"/>
  <c r="AY21" i="74"/>
  <c r="BH81" i="74"/>
  <c r="BH85" i="74"/>
  <c r="BH63" i="74"/>
  <c r="BH92" i="74"/>
  <c r="BH54" i="74"/>
  <c r="BH95" i="74"/>
  <c r="BH42" i="75"/>
  <c r="BH36" i="75"/>
  <c r="BH35" i="75"/>
  <c r="BH56" i="75"/>
  <c r="BH69" i="75"/>
  <c r="BH73" i="75"/>
  <c r="BH74" i="75"/>
  <c r="BH78" i="75"/>
  <c r="BH85" i="75"/>
  <c r="BH84" i="75"/>
  <c r="BH55" i="75"/>
  <c r="BH89" i="75"/>
  <c r="BH22" i="74"/>
  <c r="BI22" i="74"/>
  <c r="AI133" i="2"/>
  <c r="BH39" i="74"/>
  <c r="BH82" i="74"/>
  <c r="BH94" i="74"/>
  <c r="BH61" i="74"/>
  <c r="BI61" i="74"/>
  <c r="AI266" i="2"/>
  <c r="BH110" i="74"/>
  <c r="BH112" i="74"/>
  <c r="BH113" i="74"/>
  <c r="BI113" i="74"/>
  <c r="AI341" i="2"/>
  <c r="BH109" i="74"/>
  <c r="BI109" i="74"/>
  <c r="AI337" i="2"/>
  <c r="BH83" i="74"/>
  <c r="BH90" i="74"/>
  <c r="BI90" i="74"/>
  <c r="AI310" i="2"/>
  <c r="AW4" i="73"/>
  <c r="AW4" i="71"/>
  <c r="AW4" i="70"/>
  <c r="BI86" i="70"/>
  <c r="AA306" i="2"/>
  <c r="AW4" i="69"/>
  <c r="AI2" i="47"/>
  <c r="B9" i="38"/>
  <c r="C21" i="65"/>
  <c r="Q29" i="65"/>
  <c r="O2" i="20"/>
  <c r="B4" i="4"/>
  <c r="O2" i="4"/>
  <c r="O2" i="60"/>
  <c r="N26" i="73"/>
  <c r="N18" i="73"/>
  <c r="N26" i="70"/>
  <c r="N18" i="70"/>
  <c r="N26" i="68"/>
  <c r="N18" i="71"/>
  <c r="N26" i="69"/>
  <c r="N18" i="69"/>
  <c r="N18" i="68"/>
  <c r="C17" i="65"/>
  <c r="O2" i="70"/>
  <c r="H19" i="71"/>
  <c r="O67" i="71"/>
  <c r="AI2" i="1"/>
  <c r="AI67" i="61"/>
  <c r="AI2" i="20"/>
  <c r="AI2" i="65"/>
  <c r="C13" i="65"/>
  <c r="Q21" i="65"/>
  <c r="AF29" i="65"/>
  <c r="O2" i="47"/>
  <c r="O67" i="64"/>
  <c r="O67" i="60"/>
  <c r="O2" i="38"/>
  <c r="AI2" i="60"/>
  <c r="O2" i="1"/>
  <c r="B82" i="71"/>
  <c r="B82" i="70"/>
  <c r="B82" i="73"/>
  <c r="AY22" i="73"/>
  <c r="AY15" i="73"/>
  <c r="AY18" i="71"/>
  <c r="AY16" i="71"/>
  <c r="AY22" i="70"/>
  <c r="AZ22" i="70"/>
  <c r="Z78" i="2"/>
  <c r="AY15" i="70"/>
  <c r="AZ15" i="70"/>
  <c r="Z71" i="2"/>
  <c r="AY19" i="73"/>
  <c r="AY17" i="73"/>
  <c r="AZ17" i="73"/>
  <c r="AD73" i="2"/>
  <c r="AY15" i="71"/>
  <c r="AZ15" i="71"/>
  <c r="AB74" i="2"/>
  <c r="AY19" i="70"/>
  <c r="AZ19" i="70"/>
  <c r="Z75" i="2"/>
  <c r="AY17" i="70"/>
  <c r="AZ17" i="70"/>
  <c r="Z73" i="2"/>
  <c r="AY21" i="73"/>
  <c r="AY19" i="71"/>
  <c r="AY17" i="71"/>
  <c r="AY14" i="71"/>
  <c r="AY21" i="70"/>
  <c r="AZ21" i="70"/>
  <c r="Z77" i="2"/>
  <c r="B11" i="66"/>
  <c r="B11" i="73"/>
  <c r="B11" i="71"/>
  <c r="AY20" i="73"/>
  <c r="AI2" i="4"/>
  <c r="AI2" i="38"/>
  <c r="AI2" i="64"/>
  <c r="B11" i="61"/>
  <c r="K20" i="2"/>
  <c r="Q13" i="65"/>
  <c r="J6" i="7"/>
  <c r="O2" i="61"/>
  <c r="AI2" i="67"/>
  <c r="B2" i="73"/>
  <c r="B67" i="70"/>
  <c r="B67" i="71"/>
  <c r="B2" i="71"/>
  <c r="B2" i="70"/>
  <c r="B2" i="69"/>
  <c r="H20" i="73"/>
  <c r="H20" i="70"/>
  <c r="H30" i="69"/>
  <c r="H30" i="73"/>
  <c r="H28" i="73"/>
  <c r="H22" i="73"/>
  <c r="H28" i="70"/>
  <c r="H22" i="70"/>
  <c r="H27" i="69"/>
  <c r="H19" i="69"/>
  <c r="H27" i="67"/>
  <c r="H27" i="73"/>
  <c r="H19" i="73"/>
  <c r="H28" i="71"/>
  <c r="H27" i="71"/>
  <c r="H22" i="71"/>
  <c r="H30" i="70"/>
  <c r="H27" i="70"/>
  <c r="H19" i="70"/>
  <c r="H28" i="69"/>
  <c r="H20" i="69"/>
  <c r="B11" i="70"/>
  <c r="AY18" i="70"/>
  <c r="AZ18" i="70"/>
  <c r="Z74" i="2"/>
  <c r="AY13" i="71"/>
  <c r="N26" i="71"/>
  <c r="AY16" i="73"/>
  <c r="AZ16" i="73"/>
  <c r="AD72" i="2"/>
  <c r="AY23" i="73"/>
  <c r="O2" i="69"/>
  <c r="O67" i="73"/>
  <c r="O2" i="73"/>
  <c r="O67" i="70"/>
  <c r="AI67" i="71"/>
  <c r="AI2" i="71"/>
  <c r="AI2" i="70"/>
  <c r="AI2" i="69"/>
  <c r="AI67" i="73"/>
  <c r="B10" i="73"/>
  <c r="B10" i="71"/>
  <c r="B13" i="67"/>
  <c r="B13" i="71"/>
  <c r="B13" i="69"/>
  <c r="B10" i="69"/>
  <c r="B11" i="69"/>
  <c r="H22" i="69"/>
  <c r="AY20" i="70"/>
  <c r="AZ20" i="70"/>
  <c r="Z76" i="2"/>
  <c r="O2" i="71"/>
  <c r="H20" i="71"/>
  <c r="AI67" i="70"/>
  <c r="AT12" i="4"/>
  <c r="U2" i="70"/>
  <c r="B6" i="70"/>
  <c r="U2" i="71"/>
  <c r="B8" i="71"/>
  <c r="AY70" i="71"/>
  <c r="BH107" i="71" s="1"/>
  <c r="BI107" i="71" s="1"/>
  <c r="AC207" i="2" s="1"/>
  <c r="Q26" i="4"/>
  <c r="Q30" i="4"/>
  <c r="AK9" i="71"/>
  <c r="U67" i="71"/>
  <c r="N83" i="71"/>
  <c r="B8" i="73"/>
  <c r="Q8" i="4"/>
  <c r="B7" i="69"/>
  <c r="B8" i="69"/>
  <c r="B7" i="71"/>
  <c r="AF26" i="4"/>
  <c r="Q27" i="4"/>
  <c r="AF30" i="4"/>
  <c r="U67" i="70"/>
  <c r="U2" i="73"/>
  <c r="AO67" i="73"/>
  <c r="O82" i="73"/>
  <c r="AF48" i="4"/>
  <c r="BH116" i="73"/>
  <c r="BH16" i="71"/>
  <c r="BH21" i="70"/>
  <c r="AR87" i="70"/>
  <c r="BF20" i="75"/>
  <c r="BE20" i="75"/>
  <c r="BF24" i="74"/>
  <c r="BE24" i="74"/>
  <c r="AW4" i="76"/>
  <c r="AW4" i="77"/>
  <c r="AW4" i="67"/>
  <c r="AZ128" i="67"/>
  <c r="AY11" i="77"/>
  <c r="AY12" i="77"/>
  <c r="AY13" i="77"/>
  <c r="K336" i="2"/>
  <c r="K309" i="2"/>
  <c r="AU35" i="1"/>
  <c r="K334" i="2"/>
  <c r="E320" i="2"/>
  <c r="E336" i="2"/>
  <c r="K230" i="2"/>
  <c r="E305" i="2"/>
  <c r="D238" i="2"/>
  <c r="C334" i="2"/>
  <c r="L320" i="2"/>
  <c r="K269" i="2"/>
  <c r="C336" i="2"/>
  <c r="L336" i="2"/>
  <c r="E339" i="2"/>
  <c r="L334" i="2"/>
  <c r="D320" i="2"/>
  <c r="C320" i="2"/>
  <c r="C282" i="2"/>
  <c r="BD100" i="1"/>
  <c r="BD106" i="1"/>
  <c r="BD108" i="1"/>
  <c r="BE108" i="1"/>
  <c r="K292" i="2"/>
  <c r="C347" i="2"/>
  <c r="E300" i="2"/>
  <c r="D300" i="2"/>
  <c r="C292" i="2"/>
  <c r="K329" i="2"/>
  <c r="BH11" i="61"/>
  <c r="BI11" i="61"/>
  <c r="K345" i="2"/>
  <c r="D308" i="2"/>
  <c r="C308" i="2"/>
  <c r="L297" i="2"/>
  <c r="K273" i="2"/>
  <c r="D269" i="2"/>
  <c r="E345" i="2"/>
  <c r="D338" i="2"/>
  <c r="K308" i="2"/>
  <c r="D311" i="2"/>
  <c r="L282" i="2"/>
  <c r="L343" i="2"/>
  <c r="E308" i="2"/>
  <c r="BD35" i="75"/>
  <c r="BD62" i="73"/>
  <c r="BE62" i="73"/>
  <c r="BD50" i="76"/>
  <c r="BD50" i="75"/>
  <c r="BF50" i="75"/>
  <c r="BD34" i="77"/>
  <c r="BD64" i="74"/>
  <c r="BF64" i="74"/>
  <c r="BD64" i="73"/>
  <c r="BD64" i="70"/>
  <c r="BD54" i="71"/>
  <c r="BD50" i="69"/>
  <c r="BF50" i="69"/>
  <c r="BD51" i="68"/>
  <c r="BD54" i="66"/>
  <c r="BD64" i="67"/>
  <c r="BD59" i="76"/>
  <c r="AU25" i="77"/>
  <c r="AU37" i="76"/>
  <c r="BD39" i="77"/>
  <c r="BD59" i="75"/>
  <c r="AU37" i="75"/>
  <c r="BD73" i="73"/>
  <c r="BD73" i="74"/>
  <c r="AU45" i="74"/>
  <c r="AV45" i="74"/>
  <c r="AU45" i="73"/>
  <c r="AU38" i="71"/>
  <c r="AW38" i="71"/>
  <c r="BD61" i="71"/>
  <c r="BD73" i="70"/>
  <c r="BF73" i="70"/>
  <c r="AU45" i="70"/>
  <c r="AV45" i="70"/>
  <c r="BD61" i="66"/>
  <c r="BD59" i="69"/>
  <c r="AU37" i="69"/>
  <c r="AW37" i="69"/>
  <c r="BD60" i="68"/>
  <c r="AU38" i="66"/>
  <c r="AU37" i="68"/>
  <c r="AU45" i="67"/>
  <c r="BD73" i="67"/>
  <c r="BD82" i="73"/>
  <c r="BF82" i="73"/>
  <c r="BD65" i="68"/>
  <c r="BF65" i="68"/>
  <c r="AU48" i="76"/>
  <c r="AU51" i="71"/>
  <c r="BD93" i="73"/>
  <c r="AU53" i="75"/>
  <c r="BD104" i="70"/>
  <c r="BD104" i="1"/>
  <c r="BF104" i="1"/>
  <c r="BD82" i="69"/>
  <c r="AU42" i="77"/>
  <c r="AU59" i="75"/>
  <c r="AV59" i="75"/>
  <c r="AU73" i="74"/>
  <c r="AU63" i="66"/>
  <c r="AU73" i="1"/>
  <c r="BD38" i="74"/>
  <c r="BE38" i="74"/>
  <c r="BD42" i="74"/>
  <c r="BD42" i="67"/>
  <c r="AU31" i="70"/>
  <c r="AW31" i="70"/>
  <c r="AU23" i="69"/>
  <c r="AU26" i="76"/>
  <c r="BD36" i="66"/>
  <c r="BD39" i="75"/>
  <c r="BE39" i="75"/>
  <c r="BD61" i="70"/>
  <c r="BD54" i="76"/>
  <c r="BE54" i="76"/>
  <c r="BD54" i="75"/>
  <c r="BE54" i="75"/>
  <c r="BD68" i="74"/>
  <c r="BE68" i="74"/>
  <c r="BD68" i="73"/>
  <c r="BD68" i="70"/>
  <c r="BE68" i="70"/>
  <c r="BD58" i="71"/>
  <c r="BD58" i="66"/>
  <c r="BD68" i="67"/>
  <c r="BD54" i="69"/>
  <c r="BD55" i="68"/>
  <c r="BF55" i="68"/>
  <c r="BD79" i="74"/>
  <c r="BD79" i="73"/>
  <c r="BD79" i="70"/>
  <c r="BD79" i="67"/>
  <c r="BE79" i="67"/>
  <c r="AU54" i="74"/>
  <c r="AU54" i="73"/>
  <c r="AU54" i="70"/>
  <c r="AU54" i="67"/>
  <c r="BD71" i="71"/>
  <c r="BD89" i="73"/>
  <c r="BE89" i="73"/>
  <c r="BD45" i="77"/>
  <c r="BE45" i="77"/>
  <c r="BD70" i="76"/>
  <c r="BE70" i="76"/>
  <c r="BD70" i="75"/>
  <c r="BF70" i="75"/>
  <c r="BD92" i="74"/>
  <c r="BE92" i="74"/>
  <c r="BD92" i="73"/>
  <c r="BE92" i="73"/>
  <c r="BD76" i="71"/>
  <c r="BE76" i="71"/>
  <c r="BD92" i="70"/>
  <c r="BF92" i="70"/>
  <c r="BD76" i="66"/>
  <c r="BF76" i="66"/>
  <c r="BD71" i="68"/>
  <c r="BD92" i="67"/>
  <c r="BE92" i="67"/>
  <c r="BD70" i="69"/>
  <c r="BE70" i="69"/>
  <c r="BD74" i="76"/>
  <c r="BE74" i="76"/>
  <c r="BD49" i="77"/>
  <c r="BD74" i="75"/>
  <c r="BF74" i="75"/>
  <c r="BD96" i="74"/>
  <c r="BD96" i="73"/>
  <c r="BD96" i="70"/>
  <c r="BD80" i="71"/>
  <c r="BD74" i="69"/>
  <c r="BE74" i="69"/>
  <c r="BD80" i="66"/>
  <c r="BE80" i="66"/>
  <c r="BD96" i="67"/>
  <c r="BD75" i="68"/>
  <c r="BF75" i="68"/>
  <c r="BD83" i="71"/>
  <c r="BD99" i="1"/>
  <c r="AU32" i="74"/>
  <c r="AU24" i="69"/>
  <c r="AU18" i="77"/>
  <c r="AW18" i="77"/>
  <c r="AU35" i="73"/>
  <c r="AU27" i="68"/>
  <c r="AV27" i="68"/>
  <c r="BD36" i="75"/>
  <c r="BF36" i="75"/>
  <c r="BD50" i="67"/>
  <c r="BD57" i="67"/>
  <c r="BD51" i="76"/>
  <c r="BD74" i="73"/>
  <c r="AU51" i="73"/>
  <c r="AU51" i="67"/>
  <c r="AU45" i="76"/>
  <c r="AW45" i="76"/>
  <c r="AU30" i="77"/>
  <c r="AU45" i="75"/>
  <c r="AU57" i="73"/>
  <c r="AU57" i="74"/>
  <c r="AV57" i="74"/>
  <c r="AU48" i="71"/>
  <c r="AU57" i="70"/>
  <c r="AU45" i="68"/>
  <c r="AU45" i="69"/>
  <c r="AW45" i="69"/>
  <c r="AU57" i="67"/>
  <c r="AU48" i="66"/>
  <c r="AU49" i="76"/>
  <c r="AU49" i="75"/>
  <c r="AU61" i="74"/>
  <c r="AW61" i="74"/>
  <c r="AU61" i="73"/>
  <c r="AW61" i="73"/>
  <c r="AU61" i="70"/>
  <c r="AV61" i="70"/>
  <c r="AU52" i="71"/>
  <c r="AW52" i="71"/>
  <c r="AU49" i="69"/>
  <c r="AU49" i="68"/>
  <c r="AU61" i="67"/>
  <c r="AU52" i="66"/>
  <c r="BD69" i="76"/>
  <c r="BD91" i="70"/>
  <c r="BD69" i="69"/>
  <c r="BE69" i="69"/>
  <c r="BD97" i="74"/>
  <c r="BD97" i="1"/>
  <c r="BF97" i="1"/>
  <c r="AU57" i="76"/>
  <c r="AV57" i="76"/>
  <c r="AU40" i="77"/>
  <c r="AU57" i="75"/>
  <c r="AU71" i="73"/>
  <c r="AU61" i="71"/>
  <c r="AU71" i="70"/>
  <c r="AV71" i="70"/>
  <c r="AU57" i="68"/>
  <c r="AU71" i="67"/>
  <c r="AU71" i="1"/>
  <c r="AW71" i="1"/>
  <c r="K297" i="2"/>
  <c r="E291" i="2"/>
  <c r="C273" i="2"/>
  <c r="E269" i="2"/>
  <c r="BD25" i="73"/>
  <c r="BD22" i="68"/>
  <c r="BD37" i="70"/>
  <c r="BE37" i="70"/>
  <c r="BD39" i="73"/>
  <c r="BE39" i="73"/>
  <c r="BD41" i="73"/>
  <c r="BD32" i="68"/>
  <c r="BD45" i="70"/>
  <c r="BE45" i="70"/>
  <c r="BD26" i="77"/>
  <c r="BF26" i="77"/>
  <c r="BD54" i="73"/>
  <c r="BE54" i="73"/>
  <c r="BD41" i="68"/>
  <c r="BD58" i="1"/>
  <c r="AU32" i="76"/>
  <c r="AV32" i="76"/>
  <c r="AU40" i="73"/>
  <c r="AV40" i="73"/>
  <c r="AU32" i="69"/>
  <c r="C269" i="2"/>
  <c r="L278" i="2"/>
  <c r="AU50" i="74"/>
  <c r="AU50" i="73"/>
  <c r="AU50" i="70"/>
  <c r="AU50" i="67"/>
  <c r="BD80" i="73"/>
  <c r="BF80" i="73"/>
  <c r="BD80" i="67"/>
  <c r="BD82" i="1"/>
  <c r="AU55" i="74"/>
  <c r="AU46" i="66"/>
  <c r="AW46" i="66"/>
  <c r="AU44" i="75"/>
  <c r="AV44" i="75"/>
  <c r="AU56" i="70"/>
  <c r="AU56" i="67"/>
  <c r="BD88" i="74"/>
  <c r="BE88" i="74"/>
  <c r="BD88" i="73"/>
  <c r="BD72" i="71"/>
  <c r="BD88" i="70"/>
  <c r="BF88" i="70"/>
  <c r="BD72" i="66"/>
  <c r="BD88" i="67"/>
  <c r="BD93" i="1"/>
  <c r="BD95" i="73"/>
  <c r="BE95" i="73"/>
  <c r="BD79" i="66"/>
  <c r="BD95" i="1"/>
  <c r="BD84" i="76"/>
  <c r="BE84" i="76"/>
  <c r="BD84" i="75"/>
  <c r="BD110" i="74"/>
  <c r="BD110" i="73"/>
  <c r="BD110" i="70"/>
  <c r="BE110" i="70"/>
  <c r="BD92" i="71"/>
  <c r="BD84" i="69"/>
  <c r="BD110" i="1"/>
  <c r="BD110" i="67"/>
  <c r="BE110" i="67"/>
  <c r="BD85" i="68"/>
  <c r="BD92" i="66"/>
  <c r="BF92" i="66"/>
  <c r="BD87" i="76"/>
  <c r="BF87" i="76"/>
  <c r="BD113" i="73"/>
  <c r="BD113" i="1"/>
  <c r="BD94" i="76"/>
  <c r="BE94" i="76"/>
  <c r="BD94" i="75"/>
  <c r="BE94" i="75"/>
  <c r="BD120" i="73"/>
  <c r="BD120" i="74"/>
  <c r="BD102" i="71"/>
  <c r="BF102" i="71"/>
  <c r="BD120" i="70"/>
  <c r="BF120" i="70"/>
  <c r="BD24" i="75"/>
  <c r="BD28" i="75"/>
  <c r="AU64" i="66"/>
  <c r="BD116" i="67"/>
  <c r="BD120" i="67"/>
  <c r="AU56" i="69"/>
  <c r="BD24" i="69"/>
  <c r="BF24" i="69"/>
  <c r="BD78" i="76"/>
  <c r="BE78" i="76"/>
  <c r="BD78" i="75"/>
  <c r="BD100" i="74"/>
  <c r="BD100" i="73"/>
  <c r="BD100" i="70"/>
  <c r="BD84" i="71"/>
  <c r="BE84" i="71"/>
  <c r="AU60" i="76"/>
  <c r="AW60" i="76"/>
  <c r="AU64" i="71"/>
  <c r="AW64" i="71"/>
  <c r="BD109" i="70"/>
  <c r="BD57" i="77"/>
  <c r="BD86" i="76"/>
  <c r="BE86" i="76"/>
  <c r="BD86" i="75"/>
  <c r="BD112" i="73"/>
  <c r="BF112" i="73"/>
  <c r="BD112" i="74"/>
  <c r="BD94" i="71"/>
  <c r="BF94" i="71"/>
  <c r="BD112" i="70"/>
  <c r="BD115" i="74"/>
  <c r="BF115" i="74"/>
  <c r="BD91" i="75"/>
  <c r="BD99" i="71"/>
  <c r="BD25" i="76"/>
  <c r="BD25" i="75"/>
  <c r="BF25" i="75"/>
  <c r="AU15" i="75"/>
  <c r="BD102" i="67"/>
  <c r="BD90" i="66"/>
  <c r="AU51" i="68"/>
  <c r="BD95" i="68"/>
  <c r="BD86" i="69"/>
  <c r="BE86" i="69"/>
  <c r="BD90" i="69"/>
  <c r="BE90" i="69"/>
  <c r="BD25" i="69"/>
  <c r="BF25" i="69"/>
  <c r="BD28" i="69"/>
  <c r="BD111" i="74"/>
  <c r="BD93" i="76"/>
  <c r="BD119" i="70"/>
  <c r="BF119" i="70"/>
  <c r="BD121" i="74"/>
  <c r="BE121" i="74"/>
  <c r="AU19" i="76"/>
  <c r="AW19" i="76"/>
  <c r="BD26" i="76"/>
  <c r="BF26" i="76"/>
  <c r="BD115" i="67"/>
  <c r="BD117" i="67"/>
  <c r="BF117" i="67"/>
  <c r="BD94" i="66"/>
  <c r="BD102" i="66"/>
  <c r="BF102" i="66"/>
  <c r="BD87" i="68"/>
  <c r="BF87" i="68"/>
  <c r="BD78" i="69"/>
  <c r="BD94" i="69"/>
  <c r="BE94" i="69"/>
  <c r="BD95" i="69"/>
  <c r="AU51" i="76"/>
  <c r="AU63" i="73"/>
  <c r="AU54" i="71"/>
  <c r="AU67" i="73"/>
  <c r="AU67" i="74"/>
  <c r="AW67" i="74"/>
  <c r="AU67" i="70"/>
  <c r="AV67" i="70"/>
  <c r="AU39" i="77"/>
  <c r="AU70" i="74"/>
  <c r="BD106" i="73"/>
  <c r="BE106" i="73"/>
  <c r="BD106" i="74"/>
  <c r="BD106" i="70"/>
  <c r="BF106" i="70"/>
  <c r="BD108" i="73"/>
  <c r="BD108" i="74"/>
  <c r="BD90" i="71"/>
  <c r="BD108" i="70"/>
  <c r="BF108" i="70"/>
  <c r="BD61" i="77"/>
  <c r="BE61" i="77"/>
  <c r="BD90" i="76"/>
  <c r="BD90" i="75"/>
  <c r="BF90" i="75"/>
  <c r="BD116" i="73"/>
  <c r="BE116" i="73"/>
  <c r="BD116" i="74"/>
  <c r="BD98" i="71"/>
  <c r="BD116" i="70"/>
  <c r="BF116" i="70"/>
  <c r="BD120" i="1"/>
  <c r="BD112" i="67"/>
  <c r="BF112" i="67"/>
  <c r="BD84" i="66"/>
  <c r="BD79" i="68"/>
  <c r="BD81" i="68"/>
  <c r="BD91" i="68"/>
  <c r="BF91" i="68"/>
  <c r="BD94" i="68"/>
  <c r="AU60" i="69"/>
  <c r="AW60" i="69"/>
  <c r="AU15" i="69"/>
  <c r="AW15" i="69"/>
  <c r="AU18" i="69"/>
  <c r="BH51" i="77"/>
  <c r="BK21" i="77"/>
  <c r="BB29" i="65"/>
  <c r="BB28" i="65"/>
  <c r="BB9" i="77"/>
  <c r="BH31" i="77"/>
  <c r="BH41" i="77"/>
  <c r="BB14" i="77"/>
  <c r="BB29" i="77"/>
  <c r="BB19" i="77"/>
  <c r="BH35" i="77"/>
  <c r="BH57" i="77"/>
  <c r="AU103" i="76"/>
  <c r="BK106" i="76"/>
  <c r="BB88" i="76"/>
  <c r="BB90" i="76"/>
  <c r="BB92" i="76"/>
  <c r="BH50" i="76"/>
  <c r="BH37" i="76"/>
  <c r="BH73" i="76"/>
  <c r="BH74" i="76"/>
  <c r="BH49" i="76"/>
  <c r="BI49" i="76"/>
  <c r="AG268" i="2"/>
  <c r="BH53" i="76"/>
  <c r="BH85" i="76"/>
  <c r="BH69" i="76"/>
  <c r="BI69" i="76"/>
  <c r="AG311" i="2"/>
  <c r="BH67" i="76"/>
  <c r="BI67" i="76"/>
  <c r="AG309" i="2"/>
  <c r="BH56" i="76"/>
  <c r="BK103" i="76"/>
  <c r="BB87" i="76"/>
  <c r="BB89" i="76"/>
  <c r="BB91" i="76"/>
  <c r="M119" i="7"/>
  <c r="M796" i="7"/>
  <c r="M408" i="7"/>
  <c r="M830" i="7"/>
  <c r="M1025" i="7"/>
  <c r="M235" i="7"/>
  <c r="M686" i="7"/>
  <c r="M191" i="7"/>
  <c r="M675" i="7"/>
  <c r="G312" i="2"/>
  <c r="H312" i="2"/>
  <c r="M795" i="7"/>
  <c r="M474" i="7"/>
  <c r="M773" i="7"/>
  <c r="M984" i="7"/>
  <c r="M519" i="7"/>
  <c r="M981" i="7"/>
  <c r="M234" i="7"/>
  <c r="M18" i="7"/>
  <c r="M864" i="7"/>
  <c r="M808" i="7"/>
  <c r="M802" i="7"/>
  <c r="M483" i="7"/>
  <c r="M459" i="7"/>
  <c r="M1026" i="7"/>
  <c r="M845" i="7"/>
  <c r="M335" i="7"/>
  <c r="M941" i="7"/>
  <c r="M409" i="7"/>
  <c r="M596" i="7"/>
  <c r="G233" i="2"/>
  <c r="H233" i="2"/>
  <c r="M320" i="7"/>
  <c r="M359" i="7"/>
  <c r="M428" i="7"/>
  <c r="M346" i="7"/>
  <c r="M415" i="7"/>
  <c r="M121" i="7"/>
  <c r="M276" i="7"/>
  <c r="M659" i="7"/>
  <c r="M1032" i="7"/>
  <c r="G436" i="2"/>
  <c r="H436" i="2"/>
  <c r="M654" i="7"/>
  <c r="M423" i="7"/>
  <c r="M972" i="7"/>
  <c r="M288" i="7"/>
  <c r="M928" i="7"/>
  <c r="M446" i="7"/>
  <c r="M31" i="7"/>
  <c r="M961" i="7"/>
  <c r="M786" i="7"/>
  <c r="M605" i="7"/>
  <c r="G242" i="2"/>
  <c r="H242" i="2"/>
  <c r="M283" i="7"/>
  <c r="M974" i="7"/>
  <c r="M852" i="7"/>
  <c r="M289" i="7"/>
  <c r="M466" i="7"/>
  <c r="M998" i="7"/>
  <c r="M662" i="7"/>
  <c r="M516" i="7"/>
  <c r="M130" i="7"/>
  <c r="M865" i="7"/>
  <c r="M517" i="7"/>
  <c r="M475" i="7"/>
  <c r="M908" i="7"/>
  <c r="M219" i="7"/>
  <c r="M204" i="7"/>
  <c r="M538" i="7"/>
  <c r="M762" i="7"/>
  <c r="M874" i="7"/>
  <c r="M663" i="7"/>
  <c r="M529" i="7"/>
  <c r="M477" i="7"/>
  <c r="M680" i="7"/>
  <c r="M128" i="7"/>
  <c r="M140" i="7"/>
  <c r="M885" i="7"/>
  <c r="M687" i="7"/>
  <c r="M177" i="7"/>
  <c r="M490" i="7"/>
  <c r="M792" i="7"/>
  <c r="M308" i="7"/>
  <c r="M147" i="7"/>
  <c r="M33" i="7"/>
  <c r="M1024" i="7"/>
  <c r="M833" i="7"/>
  <c r="M154" i="7"/>
  <c r="M527" i="7"/>
  <c r="M949" i="7"/>
  <c r="M639" i="7"/>
  <c r="M462" i="7"/>
  <c r="M391" i="7"/>
  <c r="M828" i="7"/>
  <c r="M495" i="7"/>
  <c r="M751" i="7"/>
  <c r="M799" i="7"/>
  <c r="M354" i="7"/>
  <c r="M522" i="7"/>
  <c r="M1000" i="7"/>
  <c r="M481" i="7"/>
  <c r="M75" i="7"/>
  <c r="M975" i="7"/>
  <c r="M947" i="7"/>
  <c r="M117" i="7"/>
  <c r="M633" i="7"/>
  <c r="M755" i="7"/>
  <c r="M882" i="7"/>
  <c r="M236" i="7"/>
  <c r="M953" i="7"/>
  <c r="M779" i="7"/>
  <c r="M418" i="7"/>
  <c r="M745" i="7"/>
  <c r="M137" i="7"/>
  <c r="M473" i="7"/>
  <c r="M721" i="7"/>
  <c r="M355" i="7"/>
  <c r="M920" i="7"/>
  <c r="M221" i="7"/>
  <c r="M453" i="7"/>
  <c r="M378" i="7"/>
  <c r="M674" i="7"/>
  <c r="G311" i="2"/>
  <c r="H311" i="2"/>
  <c r="M934" i="7"/>
  <c r="M839" i="7"/>
  <c r="M698" i="7"/>
  <c r="M925" i="7"/>
  <c r="M632" i="7"/>
  <c r="M570" i="7"/>
  <c r="M559" i="7"/>
  <c r="M30" i="7"/>
  <c r="M351" i="7"/>
  <c r="M819" i="7"/>
  <c r="M1016" i="7"/>
  <c r="M429" i="7"/>
  <c r="M976" i="7"/>
  <c r="M424" i="7"/>
  <c r="M111" i="7"/>
  <c r="M193" i="7"/>
  <c r="M764" i="7"/>
  <c r="M548" i="7"/>
  <c r="M568" i="7"/>
  <c r="M542" i="7"/>
  <c r="M491" i="7"/>
  <c r="M68" i="7"/>
  <c r="M549" i="7"/>
  <c r="M313" i="7"/>
  <c r="M992" i="7"/>
  <c r="M407" i="7"/>
  <c r="M60" i="7"/>
  <c r="M169" i="7"/>
  <c r="M254" i="7"/>
  <c r="M321" i="7"/>
  <c r="M782" i="7"/>
  <c r="M688" i="7"/>
  <c r="M194" i="7"/>
  <c r="M958" i="7"/>
  <c r="M301" i="7"/>
  <c r="M978" i="7"/>
  <c r="M775" i="7"/>
  <c r="M607" i="7"/>
  <c r="M766" i="7"/>
  <c r="M278" i="7"/>
  <c r="M628" i="7"/>
  <c r="M924" i="7"/>
  <c r="M364" i="7"/>
  <c r="M94" i="7"/>
  <c r="M509" i="7"/>
  <c r="M432" i="7"/>
  <c r="M268" i="7"/>
  <c r="M188" i="7"/>
  <c r="M877" i="7"/>
  <c r="M564" i="7"/>
  <c r="G220" i="2"/>
  <c r="H220" i="2"/>
  <c r="M640" i="7"/>
  <c r="M372" i="7"/>
  <c r="M436" i="7"/>
  <c r="M348" i="7"/>
  <c r="M894" i="7"/>
  <c r="M22" i="7"/>
  <c r="M873" i="7"/>
  <c r="M541" i="7"/>
  <c r="M689" i="7"/>
  <c r="M505" i="7"/>
  <c r="M162" i="7"/>
  <c r="M918" i="7"/>
  <c r="M726" i="7"/>
  <c r="M405" i="7"/>
  <c r="M737" i="7"/>
  <c r="M735" i="7"/>
  <c r="M502" i="7"/>
  <c r="M902" i="7"/>
  <c r="M921" i="7"/>
  <c r="M122" i="7"/>
  <c r="M857" i="7"/>
  <c r="M648" i="7"/>
  <c r="M272" i="7"/>
  <c r="M132" i="7"/>
  <c r="M673" i="7"/>
  <c r="M896" i="7"/>
  <c r="M1010" i="7"/>
  <c r="M697" i="7"/>
  <c r="M380" i="7"/>
  <c r="M465" i="7"/>
  <c r="M948" i="7"/>
  <c r="M820" i="7"/>
  <c r="M382" i="7"/>
  <c r="M306" i="7"/>
  <c r="M997" i="7"/>
  <c r="M156" i="7"/>
  <c r="M123" i="7"/>
  <c r="M397" i="7"/>
  <c r="M1009" i="7"/>
  <c r="M286" i="7"/>
  <c r="M739" i="7"/>
  <c r="M957" i="7"/>
  <c r="M341" i="7"/>
  <c r="M365" i="7"/>
  <c r="M237" i="7"/>
  <c r="M685" i="7"/>
  <c r="M392" i="7"/>
  <c r="M259" i="7"/>
  <c r="M338" i="7"/>
  <c r="M292" i="7"/>
  <c r="M360" i="7"/>
  <c r="M39" i="7"/>
  <c r="M520" i="7"/>
  <c r="M968" i="7"/>
  <c r="M638" i="7"/>
  <c r="M220" i="7"/>
  <c r="M266" i="7"/>
  <c r="M145" i="7"/>
  <c r="M63" i="7"/>
  <c r="M898" i="7"/>
  <c r="M52" i="7"/>
  <c r="M615" i="7"/>
  <c r="M866" i="7"/>
  <c r="M823" i="7"/>
  <c r="M489" i="7"/>
  <c r="M563" i="7"/>
  <c r="M67" i="7"/>
  <c r="M388" i="7"/>
  <c r="M331" i="7"/>
  <c r="M936" i="7"/>
  <c r="M609" i="7"/>
  <c r="G246" i="2"/>
  <c r="H246" i="2"/>
  <c r="M608" i="7"/>
  <c r="M158" i="7"/>
  <c r="M274" i="7"/>
  <c r="M56" i="7"/>
  <c r="M249" i="7"/>
  <c r="M756" i="7"/>
  <c r="M917" i="7"/>
  <c r="M296" i="7"/>
  <c r="M396" i="7"/>
  <c r="M903" i="7"/>
  <c r="M771" i="7"/>
  <c r="M763" i="7"/>
  <c r="M706" i="7"/>
  <c r="M189" i="7"/>
  <c r="M534" i="7"/>
  <c r="M872" i="7"/>
  <c r="M944" i="7"/>
  <c r="M450" i="7"/>
  <c r="M1017" i="7"/>
  <c r="M442" i="7"/>
  <c r="G183" i="2"/>
  <c r="H183" i="2"/>
  <c r="M115" i="7"/>
  <c r="M155" i="7"/>
  <c r="M153" i="7"/>
  <c r="M672" i="7"/>
  <c r="M843" i="7"/>
  <c r="M910" i="7"/>
  <c r="M670" i="7"/>
  <c r="M141" i="7"/>
  <c r="M891" i="7"/>
  <c r="M112" i="7"/>
  <c r="M467" i="7"/>
  <c r="G196" i="2"/>
  <c r="H196" i="2"/>
  <c r="M307" i="7"/>
  <c r="M826" i="7"/>
  <c r="M179" i="7"/>
  <c r="M805" i="7"/>
  <c r="M367" i="7"/>
  <c r="M652" i="7"/>
  <c r="M990" i="7"/>
  <c r="M930" i="7"/>
  <c r="M884" i="7"/>
  <c r="M722" i="7"/>
  <c r="M403" i="7"/>
  <c r="M617" i="7"/>
  <c r="M375" i="7"/>
  <c r="M955" i="7"/>
  <c r="M258" i="7"/>
  <c r="M1001" i="7"/>
  <c r="M630" i="7"/>
  <c r="M643" i="7"/>
  <c r="M461" i="7"/>
  <c r="M455" i="7"/>
  <c r="M610" i="7"/>
  <c r="G247" i="2"/>
  <c r="H247" i="2"/>
  <c r="M300" i="7"/>
  <c r="M561" i="7"/>
  <c r="M190" i="7"/>
  <c r="M187" i="7"/>
  <c r="M1027" i="7"/>
  <c r="M851" i="7"/>
  <c r="M175" i="7"/>
  <c r="M241" i="7"/>
  <c r="M827" i="7"/>
  <c r="M982" i="7"/>
  <c r="M90" i="7"/>
  <c r="M530" i="7"/>
  <c r="M623" i="7"/>
  <c r="M21" i="7"/>
  <c r="M951" i="7"/>
  <c r="M317" i="7"/>
  <c r="M92" i="7"/>
  <c r="M393" i="7"/>
  <c r="M618" i="7"/>
  <c r="M358" i="7"/>
  <c r="M51" i="7"/>
  <c r="U14" i="10"/>
  <c r="AY74" i="61"/>
  <c r="AY73" i="64"/>
  <c r="AL14" i="10"/>
  <c r="BK56" i="77"/>
  <c r="G269" i="2"/>
  <c r="H269" i="2"/>
  <c r="AV11" i="38"/>
  <c r="BH74" i="81"/>
  <c r="AW44" i="61"/>
  <c r="BF79" i="1"/>
  <c r="BH68" i="80"/>
  <c r="BH97" i="78"/>
  <c r="BH59" i="78"/>
  <c r="BD110" i="60"/>
  <c r="BD96" i="1"/>
  <c r="C316" i="2"/>
  <c r="D316" i="2"/>
  <c r="BC92" i="47"/>
  <c r="L316" i="2"/>
  <c r="BC92" i="60"/>
  <c r="BE92" i="60"/>
  <c r="E316" i="2"/>
  <c r="BC92" i="64"/>
  <c r="BD92" i="64"/>
  <c r="D324" i="2"/>
  <c r="BC100" i="64"/>
  <c r="BC100" i="61"/>
  <c r="C341" i="2"/>
  <c r="BC117" i="60"/>
  <c r="BE117" i="60"/>
  <c r="K341" i="2"/>
  <c r="BC121" i="60"/>
  <c r="BD121" i="60"/>
  <c r="BC121" i="64"/>
  <c r="E349" i="2"/>
  <c r="K214" i="2"/>
  <c r="E214" i="2"/>
  <c r="BH28" i="61"/>
  <c r="BI28" i="61"/>
  <c r="BD28" i="61"/>
  <c r="D273" i="2"/>
  <c r="AU57" i="60"/>
  <c r="AV57" i="60"/>
  <c r="AU57" i="64"/>
  <c r="AV57" i="64"/>
  <c r="BD68" i="1"/>
  <c r="E273" i="2"/>
  <c r="AU57" i="61"/>
  <c r="AV57" i="61"/>
  <c r="C278" i="2"/>
  <c r="D278" i="2"/>
  <c r="AU62" i="60"/>
  <c r="AU45" i="1"/>
  <c r="AV45" i="1"/>
  <c r="AU62" i="47"/>
  <c r="AV62" i="47"/>
  <c r="AU66" i="60"/>
  <c r="D282" i="2"/>
  <c r="AU66" i="47"/>
  <c r="AU71" i="61"/>
  <c r="AV71" i="61"/>
  <c r="AU71" i="64"/>
  <c r="K291" i="2"/>
  <c r="BC67" i="47"/>
  <c r="BC67" i="60"/>
  <c r="BD67" i="60"/>
  <c r="BC67" i="64"/>
  <c r="BE67" i="64"/>
  <c r="C297" i="2"/>
  <c r="BC73" i="61"/>
  <c r="BE73" i="61"/>
  <c r="BC73" i="64"/>
  <c r="BD73" i="64"/>
  <c r="AU54" i="1"/>
  <c r="AV54" i="1"/>
  <c r="BC79" i="64"/>
  <c r="BE79" i="64"/>
  <c r="D303" i="2"/>
  <c r="BC85" i="61"/>
  <c r="BC85" i="60"/>
  <c r="D313" i="2"/>
  <c r="E313" i="2"/>
  <c r="BC89" i="47"/>
  <c r="BE89" i="47"/>
  <c r="BC89" i="64"/>
  <c r="BC89" i="61"/>
  <c r="K338" i="2"/>
  <c r="BC114" i="61"/>
  <c r="BD114" i="61"/>
  <c r="C338" i="2"/>
  <c r="D231" i="2"/>
  <c r="L240" i="2"/>
  <c r="D262" i="2"/>
  <c r="AU46" i="64"/>
  <c r="BD61" i="1"/>
  <c r="AU54" i="47"/>
  <c r="L273" i="2"/>
  <c r="E332" i="2"/>
  <c r="L332" i="2"/>
  <c r="BC108" i="61"/>
  <c r="BC108" i="47"/>
  <c r="BC108" i="64"/>
  <c r="C332" i="2"/>
  <c r="D435" i="2"/>
  <c r="AZ18" i="60"/>
  <c r="BA18" i="60"/>
  <c r="E282" i="2"/>
  <c r="AU66" i="61"/>
  <c r="AU66" i="64"/>
  <c r="AV66" i="64"/>
  <c r="C287" i="2"/>
  <c r="L287" i="2"/>
  <c r="AU71" i="47"/>
  <c r="AV71" i="47"/>
  <c r="K287" i="2"/>
  <c r="AU71" i="60"/>
  <c r="L291" i="2"/>
  <c r="C291" i="2"/>
  <c r="BC67" i="61"/>
  <c r="BD89" i="1"/>
  <c r="BE89" i="1"/>
  <c r="D309" i="2"/>
  <c r="K279" i="2"/>
  <c r="E433" i="2"/>
  <c r="L433" i="2"/>
  <c r="BD59" i="1"/>
  <c r="BD106" i="67"/>
  <c r="E334" i="2"/>
  <c r="BC110" i="64"/>
  <c r="BD112" i="1"/>
  <c r="D340" i="2"/>
  <c r="BC116" i="47"/>
  <c r="BE116" i="47"/>
  <c r="L340" i="2"/>
  <c r="C340" i="2"/>
  <c r="BC116" i="61"/>
  <c r="E340" i="2"/>
  <c r="BC116" i="60"/>
  <c r="BE116" i="60"/>
  <c r="BC116" i="64"/>
  <c r="BE116" i="64"/>
  <c r="BD90" i="68"/>
  <c r="E343" i="2"/>
  <c r="BC119" i="60"/>
  <c r="BC119" i="47"/>
  <c r="BC119" i="61"/>
  <c r="BD119" i="61"/>
  <c r="BD101" i="66"/>
  <c r="BE101" i="66"/>
  <c r="BC123" i="47"/>
  <c r="BC123" i="61"/>
  <c r="D347" i="2"/>
  <c r="BC123" i="64"/>
  <c r="BD123" i="64"/>
  <c r="BD50" i="1"/>
  <c r="D250" i="2"/>
  <c r="BD92" i="1"/>
  <c r="BE92" i="1"/>
  <c r="E312" i="2"/>
  <c r="BC88" i="64"/>
  <c r="BH88" i="64"/>
  <c r="BI88" i="64"/>
  <c r="K312" i="2"/>
  <c r="BC88" i="60"/>
  <c r="BD88" i="60"/>
  <c r="BC88" i="47"/>
  <c r="BD88" i="47"/>
  <c r="C312" i="2"/>
  <c r="D312" i="2"/>
  <c r="BC95" i="60"/>
  <c r="BD95" i="60"/>
  <c r="C319" i="2"/>
  <c r="BC95" i="61"/>
  <c r="BE95" i="61"/>
  <c r="BD11" i="47"/>
  <c r="L317" i="2"/>
  <c r="L254" i="2"/>
  <c r="K233" i="2"/>
  <c r="L196" i="2"/>
  <c r="K196" i="2"/>
  <c r="K288" i="2"/>
  <c r="C266" i="2"/>
  <c r="E344" i="2"/>
  <c r="K324" i="2"/>
  <c r="D291" i="2"/>
  <c r="E278" i="2"/>
  <c r="C275" i="2"/>
  <c r="K238" i="2"/>
  <c r="E233" i="2"/>
  <c r="C196" i="2"/>
  <c r="E292" i="2"/>
  <c r="L288" i="2"/>
  <c r="K241" i="2"/>
  <c r="K344" i="2"/>
  <c r="L333" i="2"/>
  <c r="E297" i="2"/>
  <c r="E264" i="2"/>
  <c r="C233" i="2"/>
  <c r="L233" i="2"/>
  <c r="D292" i="2"/>
  <c r="C288" i="2"/>
  <c r="L344" i="2"/>
  <c r="D333" i="2"/>
  <c r="C333" i="2"/>
  <c r="D287" i="2"/>
  <c r="K278" i="2"/>
  <c r="AU39" i="78"/>
  <c r="BD39" i="81"/>
  <c r="BD47" i="80"/>
  <c r="BD59" i="78"/>
  <c r="BE59" i="78"/>
  <c r="BD33" i="82"/>
  <c r="BD43" i="81"/>
  <c r="BD51" i="80"/>
  <c r="BE51" i="80"/>
  <c r="BD63" i="78"/>
  <c r="BE63" i="78"/>
  <c r="BD36" i="82"/>
  <c r="AU37" i="81"/>
  <c r="AV37" i="81"/>
  <c r="BD61" i="81"/>
  <c r="BD51" i="82"/>
  <c r="BD69" i="80"/>
  <c r="BD81" i="78"/>
  <c r="BD63" i="81"/>
  <c r="AU41" i="81"/>
  <c r="AU42" i="80"/>
  <c r="AU51" i="78"/>
  <c r="AU34" i="82"/>
  <c r="AV34" i="82"/>
  <c r="AU42" i="81"/>
  <c r="AU43" i="80"/>
  <c r="AU52" i="78"/>
  <c r="BD58" i="82"/>
  <c r="BJ58" i="82"/>
  <c r="BD72" i="81"/>
  <c r="BF72" i="81"/>
  <c r="BD76" i="80"/>
  <c r="BE76" i="80"/>
  <c r="BD92" i="78"/>
  <c r="BF92" i="78"/>
  <c r="BD79" i="81"/>
  <c r="BD65" i="82"/>
  <c r="BD83" i="80"/>
  <c r="BD99" i="78"/>
  <c r="BF99" i="78"/>
  <c r="BD29" i="82"/>
  <c r="BF29" i="82"/>
  <c r="AU19" i="82"/>
  <c r="AW19" i="82"/>
  <c r="BD25" i="82"/>
  <c r="AU15" i="82"/>
  <c r="E287" i="2"/>
  <c r="BD25" i="81"/>
  <c r="BD21" i="82"/>
  <c r="BD37" i="80"/>
  <c r="BD45" i="78"/>
  <c r="BF45" i="78"/>
  <c r="AU21" i="82"/>
  <c r="AV21" i="82"/>
  <c r="AU27" i="81"/>
  <c r="AU30" i="80"/>
  <c r="AU37" i="78"/>
  <c r="AU33" i="80"/>
  <c r="AU32" i="81"/>
  <c r="AU29" i="82"/>
  <c r="AV29" i="82"/>
  <c r="BD44" i="82"/>
  <c r="BF44" i="82"/>
  <c r="BD58" i="81"/>
  <c r="AU36" i="82"/>
  <c r="AU44" i="81"/>
  <c r="AW44" i="81"/>
  <c r="AU45" i="80"/>
  <c r="AU54" i="78"/>
  <c r="AU38" i="82"/>
  <c r="AU46" i="81"/>
  <c r="AV46" i="81"/>
  <c r="AU47" i="80"/>
  <c r="AU56" i="78"/>
  <c r="BD65" i="81"/>
  <c r="BF65" i="81"/>
  <c r="BD85" i="78"/>
  <c r="BF85" i="78"/>
  <c r="BD67" i="81"/>
  <c r="BD71" i="80"/>
  <c r="BE71" i="80"/>
  <c r="BD87" i="78"/>
  <c r="BF87" i="78"/>
  <c r="BD69" i="81"/>
  <c r="BF69" i="81"/>
  <c r="BD55" i="82"/>
  <c r="BF55" i="82"/>
  <c r="BD73" i="80"/>
  <c r="BF73" i="80"/>
  <c r="BD89" i="78"/>
  <c r="BD75" i="81"/>
  <c r="BF75" i="81"/>
  <c r="BD61" i="82"/>
  <c r="BD79" i="80"/>
  <c r="BE79" i="80"/>
  <c r="BD95" i="78"/>
  <c r="BD77" i="81"/>
  <c r="BF77" i="81"/>
  <c r="BD63" i="82"/>
  <c r="BD81" i="80"/>
  <c r="BD97" i="78"/>
  <c r="BJ97" i="78"/>
  <c r="BK97" i="78"/>
  <c r="BD38" i="81"/>
  <c r="BF38" i="81"/>
  <c r="BD48" i="80"/>
  <c r="BE48" i="80"/>
  <c r="BD42" i="81"/>
  <c r="BD38" i="82"/>
  <c r="BF38" i="82"/>
  <c r="BD40" i="82"/>
  <c r="BE40" i="82"/>
  <c r="BD72" i="78"/>
  <c r="AU30" i="82"/>
  <c r="AW30" i="82"/>
  <c r="AU36" i="81"/>
  <c r="AW36" i="81"/>
  <c r="AU39" i="80"/>
  <c r="AV39" i="80"/>
  <c r="AU46" i="78"/>
  <c r="AV46" i="78"/>
  <c r="AU40" i="81"/>
  <c r="AU50" i="78"/>
  <c r="BD57" i="82"/>
  <c r="BF57" i="82"/>
  <c r="BD75" i="80"/>
  <c r="BE75" i="80"/>
  <c r="BD71" i="81"/>
  <c r="BD91" i="78"/>
  <c r="BD59" i="82"/>
  <c r="BF59" i="82"/>
  <c r="BD73" i="81"/>
  <c r="BE73" i="81"/>
  <c r="BD77" i="80"/>
  <c r="BE77" i="80"/>
  <c r="BD93" i="78"/>
  <c r="BE93" i="78"/>
  <c r="AU22" i="82"/>
  <c r="AV22" i="82"/>
  <c r="AU28" i="81"/>
  <c r="AW28" i="81"/>
  <c r="AU31" i="80"/>
  <c r="AU38" i="78"/>
  <c r="AU25" i="82"/>
  <c r="AU31" i="81"/>
  <c r="AW31" i="81"/>
  <c r="AU34" i="80"/>
  <c r="AW34" i="80"/>
  <c r="AU41" i="78"/>
  <c r="BD52" i="80"/>
  <c r="BD55" i="80"/>
  <c r="BE55" i="80"/>
  <c r="BD37" i="82"/>
  <c r="BE37" i="82"/>
  <c r="BD47" i="81"/>
  <c r="BF47" i="81"/>
  <c r="BD67" i="78"/>
  <c r="BD41" i="82"/>
  <c r="BD51" i="81"/>
  <c r="BD71" i="78"/>
  <c r="BD55" i="81"/>
  <c r="BE55" i="81"/>
  <c r="BD45" i="82"/>
  <c r="BD63" i="80"/>
  <c r="BD75" i="78"/>
  <c r="BD47" i="82"/>
  <c r="BF47" i="82"/>
  <c r="BD57" i="81"/>
  <c r="BF57" i="81"/>
  <c r="BD65" i="80"/>
  <c r="BD77" i="78"/>
  <c r="BD79" i="78"/>
  <c r="AU35" i="82"/>
  <c r="BA35" i="82"/>
  <c r="BB35" i="82"/>
  <c r="AU43" i="81"/>
  <c r="AW43" i="81"/>
  <c r="AU44" i="80"/>
  <c r="AU53" i="78"/>
  <c r="AU47" i="81"/>
  <c r="AU39" i="82"/>
  <c r="AW39" i="82"/>
  <c r="AU48" i="80"/>
  <c r="AW48" i="80"/>
  <c r="AU57" i="78"/>
  <c r="BD68" i="81"/>
  <c r="BD72" i="80"/>
  <c r="BD88" i="78"/>
  <c r="BD76" i="81"/>
  <c r="BF76" i="81"/>
  <c r="BD62" i="82"/>
  <c r="BE62" i="82"/>
  <c r="BD80" i="80"/>
  <c r="BF80" i="80"/>
  <c r="BD96" i="78"/>
  <c r="BD80" i="81"/>
  <c r="BD66" i="82"/>
  <c r="BE66" i="82"/>
  <c r="BD84" i="80"/>
  <c r="BD100" i="78"/>
  <c r="AU14" i="82"/>
  <c r="BD24" i="82"/>
  <c r="AU16" i="82"/>
  <c r="BD26" i="82"/>
  <c r="BF26" i="82"/>
  <c r="BD28" i="82"/>
  <c r="BF28" i="82"/>
  <c r="AU18" i="82"/>
  <c r="BB20" i="65"/>
  <c r="BB22" i="65"/>
  <c r="AZ13" i="65"/>
  <c r="BH74" i="1"/>
  <c r="K294" i="2"/>
  <c r="D315" i="2"/>
  <c r="C337" i="2"/>
  <c r="K315" i="2"/>
  <c r="C307" i="2"/>
  <c r="K326" i="2"/>
  <c r="D288" i="2"/>
  <c r="L307" i="2"/>
  <c r="AV85" i="47"/>
  <c r="BH11" i="47"/>
  <c r="BI11" i="47"/>
  <c r="AW85" i="47"/>
  <c r="B221" i="2"/>
  <c r="AU89" i="74"/>
  <c r="AW89" i="74"/>
  <c r="BD130" i="70"/>
  <c r="BD104" i="76"/>
  <c r="BF104" i="76"/>
  <c r="BD130" i="73"/>
  <c r="BF130" i="73"/>
  <c r="BD37" i="73"/>
  <c r="C229" i="2"/>
  <c r="BD37" i="67"/>
  <c r="BF37" i="67"/>
  <c r="BD37" i="74"/>
  <c r="BE37" i="74"/>
  <c r="BD41" i="1"/>
  <c r="AU86" i="60"/>
  <c r="BD31" i="76"/>
  <c r="BD41" i="70"/>
  <c r="BF41" i="70"/>
  <c r="BD41" i="67"/>
  <c r="BD31" i="75"/>
  <c r="BE31" i="75"/>
  <c r="BD33" i="71"/>
  <c r="BE33" i="71"/>
  <c r="BD33" i="66"/>
  <c r="BD41" i="74"/>
  <c r="BD31" i="69"/>
  <c r="BF31" i="69"/>
  <c r="AU31" i="1"/>
  <c r="AU78" i="60"/>
  <c r="AW78" i="60"/>
  <c r="L238" i="2"/>
  <c r="C238" i="2"/>
  <c r="AU23" i="76"/>
  <c r="AW23" i="76"/>
  <c r="AU31" i="73"/>
  <c r="AW31" i="73"/>
  <c r="AU23" i="68"/>
  <c r="AW23" i="68"/>
  <c r="AU23" i="75"/>
  <c r="AU25" i="71"/>
  <c r="AU25" i="66"/>
  <c r="AW25" i="66"/>
  <c r="AU78" i="64"/>
  <c r="AW78" i="64"/>
  <c r="E238" i="2"/>
  <c r="AU31" i="74"/>
  <c r="AU31" i="67"/>
  <c r="AV31" i="67"/>
  <c r="AU27" i="76"/>
  <c r="AV27" i="76"/>
  <c r="AU29" i="71"/>
  <c r="AU29" i="66"/>
  <c r="AU27" i="75"/>
  <c r="AU35" i="70"/>
  <c r="AW35" i="70"/>
  <c r="AU35" i="67"/>
  <c r="K242" i="2"/>
  <c r="E242" i="2"/>
  <c r="AU35" i="74"/>
  <c r="AV35" i="74"/>
  <c r="AU27" i="69"/>
  <c r="BA27" i="69"/>
  <c r="BB27" i="69"/>
  <c r="BD46" i="73"/>
  <c r="BD46" i="67"/>
  <c r="BE46" i="67"/>
  <c r="BD40" i="71"/>
  <c r="BF40" i="71"/>
  <c r="BD50" i="70"/>
  <c r="BE50" i="70"/>
  <c r="BD36" i="76"/>
  <c r="BD37" i="68"/>
  <c r="BD40" i="76"/>
  <c r="BE40" i="76"/>
  <c r="BD44" i="71"/>
  <c r="BD44" i="66"/>
  <c r="BD40" i="75"/>
  <c r="BE40" i="75"/>
  <c r="BD54" i="70"/>
  <c r="BD40" i="69"/>
  <c r="BD54" i="74"/>
  <c r="BD54" i="67"/>
  <c r="AU32" i="75"/>
  <c r="AU40" i="70"/>
  <c r="AV40" i="70"/>
  <c r="AU40" i="67"/>
  <c r="AV40" i="67"/>
  <c r="AW40" i="67"/>
  <c r="AU40" i="74"/>
  <c r="AU32" i="68"/>
  <c r="AV32" i="68"/>
  <c r="AU22" i="77"/>
  <c r="AU34" i="71"/>
  <c r="AV34" i="71"/>
  <c r="AU34" i="66"/>
  <c r="AV34" i="66"/>
  <c r="C267" i="2"/>
  <c r="BD62" i="1"/>
  <c r="BE62" i="1"/>
  <c r="BD70" i="73"/>
  <c r="BF70" i="73"/>
  <c r="BD75" i="1"/>
  <c r="BJ75" i="1"/>
  <c r="AU42" i="69"/>
  <c r="BC98" i="60"/>
  <c r="BD102" i="1"/>
  <c r="BE102" i="1"/>
  <c r="BD53" i="77"/>
  <c r="AU51" i="75"/>
  <c r="BD102" i="74"/>
  <c r="BD102" i="70"/>
  <c r="BE102" i="70"/>
  <c r="AU51" i="69"/>
  <c r="AV51" i="69"/>
  <c r="AU15" i="76"/>
  <c r="AW15" i="76"/>
  <c r="D211" i="2"/>
  <c r="E322" i="2"/>
  <c r="BD44" i="47"/>
  <c r="BD46" i="1"/>
  <c r="BF46" i="1"/>
  <c r="D246" i="2"/>
  <c r="K246" i="2"/>
  <c r="C246" i="2"/>
  <c r="BD46" i="70"/>
  <c r="E246" i="2"/>
  <c r="L246" i="2"/>
  <c r="E250" i="2"/>
  <c r="K250" i="2"/>
  <c r="C250" i="2"/>
  <c r="L250" i="2"/>
  <c r="BD54" i="1"/>
  <c r="BF54" i="1"/>
  <c r="D254" i="2"/>
  <c r="C254" i="2"/>
  <c r="E254" i="2"/>
  <c r="BD45" i="68"/>
  <c r="BE45" i="68"/>
  <c r="BD44" i="76"/>
  <c r="BF44" i="76"/>
  <c r="BD44" i="69"/>
  <c r="BD58" i="73"/>
  <c r="BE58" i="73"/>
  <c r="AU40" i="1"/>
  <c r="C263" i="2"/>
  <c r="E263" i="2"/>
  <c r="K263" i="2"/>
  <c r="AU47" i="47"/>
  <c r="AV47" i="47"/>
  <c r="D263" i="2"/>
  <c r="AU47" i="60"/>
  <c r="AU47" i="64"/>
  <c r="AW47" i="64"/>
  <c r="L267" i="2"/>
  <c r="AU51" i="61"/>
  <c r="K267" i="2"/>
  <c r="BD32" i="77"/>
  <c r="BF32" i="77"/>
  <c r="BD62" i="74"/>
  <c r="BD52" i="66"/>
  <c r="AU51" i="64"/>
  <c r="AW51" i="64"/>
  <c r="E267" i="2"/>
  <c r="BD48" i="76"/>
  <c r="BD52" i="71"/>
  <c r="BE52" i="71"/>
  <c r="BD62" i="67"/>
  <c r="D267" i="2"/>
  <c r="AU51" i="60"/>
  <c r="BD48" i="75"/>
  <c r="BD62" i="70"/>
  <c r="BE62" i="70"/>
  <c r="BD49" i="68"/>
  <c r="BE49" i="68"/>
  <c r="AU55" i="61"/>
  <c r="AV55" i="61"/>
  <c r="L271" i="2"/>
  <c r="AU59" i="47"/>
  <c r="AW59" i="47"/>
  <c r="K280" i="2"/>
  <c r="BD61" i="75"/>
  <c r="BD62" i="68"/>
  <c r="BE62" i="68"/>
  <c r="AU39" i="75"/>
  <c r="AU40" i="66"/>
  <c r="BD41" i="77"/>
  <c r="AU47" i="67"/>
  <c r="BA47" i="67"/>
  <c r="BB47" i="67"/>
  <c r="L284" i="2"/>
  <c r="AU52" i="1"/>
  <c r="AV52" i="1"/>
  <c r="AU52" i="67"/>
  <c r="AW52" i="67"/>
  <c r="D289" i="2"/>
  <c r="AU54" i="66"/>
  <c r="AV54" i="66"/>
  <c r="L322" i="2"/>
  <c r="C322" i="2"/>
  <c r="BC98" i="47"/>
  <c r="BD98" i="47"/>
  <c r="AU63" i="1"/>
  <c r="AW63" i="1"/>
  <c r="K322" i="2"/>
  <c r="BC98" i="64"/>
  <c r="D327" i="2"/>
  <c r="AU68" i="74"/>
  <c r="AW68" i="74"/>
  <c r="AU68" i="67"/>
  <c r="AU58" i="71"/>
  <c r="AV58" i="71"/>
  <c r="AU68" i="1"/>
  <c r="AW68" i="1"/>
  <c r="C342" i="2"/>
  <c r="K211" i="2"/>
  <c r="E211" i="2"/>
  <c r="C211" i="2"/>
  <c r="L211" i="2"/>
  <c r="BD36" i="69"/>
  <c r="BF36" i="69"/>
  <c r="BD50" i="73"/>
  <c r="BF50" i="73"/>
  <c r="BD22" i="77"/>
  <c r="BE22" i="77"/>
  <c r="BD70" i="74"/>
  <c r="BE70" i="74"/>
  <c r="BD36" i="71"/>
  <c r="BJ36" i="71"/>
  <c r="AU68" i="70"/>
  <c r="AW68" i="70"/>
  <c r="AU68" i="60"/>
  <c r="D322" i="2"/>
  <c r="E48" i="2"/>
  <c r="K48" i="2"/>
  <c r="BD25" i="1"/>
  <c r="BF25" i="1"/>
  <c r="C48" i="2"/>
  <c r="D48" i="2"/>
  <c r="K226" i="2"/>
  <c r="E226" i="2"/>
  <c r="D226" i="2"/>
  <c r="C226" i="2"/>
  <c r="AU25" i="1"/>
  <c r="AW25" i="1"/>
  <c r="AU25" i="67"/>
  <c r="AV25" i="67"/>
  <c r="L226" i="2"/>
  <c r="BD38" i="1"/>
  <c r="AU83" i="64"/>
  <c r="AW83" i="64"/>
  <c r="AU83" i="60"/>
  <c r="AW83" i="60"/>
  <c r="D230" i="2"/>
  <c r="L230" i="2"/>
  <c r="E230" i="2"/>
  <c r="BD38" i="67"/>
  <c r="BD42" i="1"/>
  <c r="L234" i="2"/>
  <c r="BD32" i="75"/>
  <c r="BE32" i="75"/>
  <c r="BD42" i="70"/>
  <c r="BF42" i="70"/>
  <c r="BD33" i="68"/>
  <c r="D234" i="2"/>
  <c r="K234" i="2"/>
  <c r="C239" i="2"/>
  <c r="L239" i="2"/>
  <c r="AU32" i="1"/>
  <c r="K239" i="2"/>
  <c r="AU88" i="64"/>
  <c r="AV88" i="64"/>
  <c r="AU92" i="64"/>
  <c r="E243" i="2"/>
  <c r="BD40" i="66"/>
  <c r="BD50" i="74"/>
  <c r="BE50" i="74"/>
  <c r="BD70" i="67"/>
  <c r="BD46" i="74"/>
  <c r="AU68" i="73"/>
  <c r="AV68" i="73"/>
  <c r="BD48" i="69"/>
  <c r="BD48" i="71"/>
  <c r="BF48" i="71"/>
  <c r="K254" i="2"/>
  <c r="AU51" i="47"/>
  <c r="AW51" i="47"/>
  <c r="BC65" i="47"/>
  <c r="BC98" i="61"/>
  <c r="AU47" i="61"/>
  <c r="D271" i="2"/>
  <c r="L435" i="2"/>
  <c r="L263" i="2"/>
  <c r="L245" i="2"/>
  <c r="E329" i="2"/>
  <c r="G324" i="2"/>
  <c r="H324" i="2"/>
  <c r="H262" i="7"/>
  <c r="C230" i="2"/>
  <c r="D233" i="2"/>
  <c r="D326" i="2"/>
  <c r="L326" i="2"/>
  <c r="L308" i="2"/>
  <c r="E288" i="2"/>
  <c r="L283" i="2"/>
  <c r="C344" i="2"/>
  <c r="L337" i="2"/>
  <c r="BD87" i="1"/>
  <c r="H454" i="7"/>
  <c r="H225" i="7"/>
  <c r="H960" i="7"/>
  <c r="H475" i="7"/>
  <c r="H840" i="7"/>
  <c r="BD37" i="1"/>
  <c r="AU82" i="64"/>
  <c r="AW82" i="64"/>
  <c r="AU82" i="60"/>
  <c r="AW82" i="60"/>
  <c r="C240" i="2"/>
  <c r="L255" i="2"/>
  <c r="C258" i="2"/>
  <c r="D258" i="2"/>
  <c r="AU42" i="60"/>
  <c r="L258" i="2"/>
  <c r="AU42" i="47"/>
  <c r="K258" i="2"/>
  <c r="AU42" i="61"/>
  <c r="AV42" i="61"/>
  <c r="AU46" i="47"/>
  <c r="L301" i="2"/>
  <c r="BC77" i="61"/>
  <c r="C301" i="2"/>
  <c r="K317" i="2"/>
  <c r="BC93" i="61"/>
  <c r="BH93" i="61"/>
  <c r="BI93" i="61"/>
  <c r="BC93" i="64"/>
  <c r="BE93" i="64"/>
  <c r="BC93" i="60"/>
  <c r="BE93" i="60"/>
  <c r="C327" i="2"/>
  <c r="K327" i="2"/>
  <c r="L327" i="2"/>
  <c r="E327" i="2"/>
  <c r="BC103" i="64"/>
  <c r="BE103" i="64"/>
  <c r="BC103" i="60"/>
  <c r="C330" i="2"/>
  <c r="BC106" i="47"/>
  <c r="K330" i="2"/>
  <c r="BC106" i="60"/>
  <c r="BD106" i="60"/>
  <c r="D330" i="2"/>
  <c r="E330" i="2"/>
  <c r="AU46" i="68"/>
  <c r="AW46" i="68"/>
  <c r="AU49" i="71"/>
  <c r="AU46" i="75"/>
  <c r="BD48" i="66"/>
  <c r="BD58" i="74"/>
  <c r="AU33" i="67"/>
  <c r="D229" i="2"/>
  <c r="D317" i="2"/>
  <c r="BC77" i="64"/>
  <c r="BE77" i="64"/>
  <c r="BC77" i="60"/>
  <c r="BD77" i="60"/>
  <c r="BC106" i="64"/>
  <c r="BD106" i="64"/>
  <c r="BC103" i="61"/>
  <c r="AU42" i="64"/>
  <c r="AV42" i="64"/>
  <c r="C227" i="2"/>
  <c r="AU77" i="60"/>
  <c r="AV77" i="60"/>
  <c r="AU26" i="1"/>
  <c r="AV26" i="1"/>
  <c r="BC75" i="47"/>
  <c r="BC75" i="61"/>
  <c r="D299" i="2"/>
  <c r="L299" i="2"/>
  <c r="BC75" i="60"/>
  <c r="BE75" i="60"/>
  <c r="BD59" i="80"/>
  <c r="BF59" i="80"/>
  <c r="BC106" i="61"/>
  <c r="BD106" i="61"/>
  <c r="K255" i="2"/>
  <c r="D196" i="2"/>
  <c r="E196" i="2"/>
  <c r="BD51" i="1"/>
  <c r="BF51" i="1"/>
  <c r="L251" i="2"/>
  <c r="C251" i="2"/>
  <c r="K251" i="2"/>
  <c r="BD91" i="1"/>
  <c r="BE91" i="1"/>
  <c r="BC87" i="47"/>
  <c r="BC87" i="61"/>
  <c r="BE87" i="61"/>
  <c r="C311" i="2"/>
  <c r="BC114" i="47"/>
  <c r="BC114" i="60"/>
  <c r="BD114" i="60"/>
  <c r="AU49" i="66"/>
  <c r="AW49" i="66"/>
  <c r="AU58" i="73"/>
  <c r="AW58" i="73"/>
  <c r="AU46" i="76"/>
  <c r="BD58" i="67"/>
  <c r="BE58" i="67"/>
  <c r="BD58" i="70"/>
  <c r="BF58" i="70"/>
  <c r="BD44" i="75"/>
  <c r="AU27" i="71"/>
  <c r="E229" i="2"/>
  <c r="K229" i="2"/>
  <c r="K301" i="2"/>
  <c r="D301" i="2"/>
  <c r="K240" i="2"/>
  <c r="BC103" i="47"/>
  <c r="L229" i="2"/>
  <c r="L330" i="2"/>
  <c r="L242" i="2"/>
  <c r="AU91" i="64"/>
  <c r="AW91" i="64"/>
  <c r="C242" i="2"/>
  <c r="AU91" i="60"/>
  <c r="D242" i="2"/>
  <c r="AU49" i="60"/>
  <c r="AU52" i="47"/>
  <c r="AV52" i="47"/>
  <c r="AU62" i="61"/>
  <c r="AU62" i="64"/>
  <c r="AU61" i="1"/>
  <c r="C304" i="2"/>
  <c r="D304" i="2"/>
  <c r="L304" i="2"/>
  <c r="E304" i="2"/>
  <c r="BC80" i="61"/>
  <c r="BC85" i="47"/>
  <c r="BC85" i="64"/>
  <c r="AU60" i="68"/>
  <c r="BC109" i="64"/>
  <c r="BD109" i="64"/>
  <c r="BC109" i="61"/>
  <c r="BC109" i="47"/>
  <c r="BC109" i="60"/>
  <c r="BD109" i="60"/>
  <c r="AU16" i="69"/>
  <c r="D212" i="2"/>
  <c r="K212" i="2"/>
  <c r="E212" i="2"/>
  <c r="AW9" i="38"/>
  <c r="BJ47" i="80"/>
  <c r="BJ46" i="73"/>
  <c r="BJ36" i="66"/>
  <c r="AZ54" i="64"/>
  <c r="BA54" i="64"/>
  <c r="BD11" i="64"/>
  <c r="BH11" i="64"/>
  <c r="BI11" i="64"/>
  <c r="BJ92" i="74"/>
  <c r="BK92" i="74"/>
  <c r="BF92" i="74"/>
  <c r="BF89" i="1"/>
  <c r="BE44" i="66"/>
  <c r="BH72" i="61"/>
  <c r="BI72" i="61"/>
  <c r="AV37" i="69"/>
  <c r="BE121" i="64"/>
  <c r="BE76" i="66"/>
  <c r="AW40" i="73"/>
  <c r="BD95" i="61"/>
  <c r="AZ44" i="60"/>
  <c r="BA44" i="60"/>
  <c r="BD73" i="61"/>
  <c r="AW66" i="47"/>
  <c r="BD97" i="61"/>
  <c r="BE80" i="73"/>
  <c r="BE25" i="1"/>
  <c r="AV60" i="60"/>
  <c r="BE92" i="66"/>
  <c r="AW71" i="61"/>
  <c r="BF92" i="73"/>
  <c r="BE104" i="1"/>
  <c r="AV44" i="60"/>
  <c r="BE97" i="61"/>
  <c r="AW27" i="68"/>
  <c r="AZ60" i="60"/>
  <c r="BA60" i="60"/>
  <c r="BH29" i="47"/>
  <c r="BI29" i="47"/>
  <c r="BD29" i="47"/>
  <c r="AW53" i="64"/>
  <c r="AZ7" i="38"/>
  <c r="BA7" i="38"/>
  <c r="AV83" i="60"/>
  <c r="AW88" i="64"/>
  <c r="BF58" i="67"/>
  <c r="BD84" i="47"/>
  <c r="AV7" i="38"/>
  <c r="BE47" i="80"/>
  <c r="BE70" i="73"/>
  <c r="BF102" i="1"/>
  <c r="BF68" i="74"/>
  <c r="BF70" i="69"/>
  <c r="BE37" i="67"/>
  <c r="BF44" i="66"/>
  <c r="BE76" i="60"/>
  <c r="J449" i="2"/>
  <c r="D334" i="2"/>
  <c r="BD84" i="60"/>
  <c r="BD101" i="64"/>
  <c r="BE88" i="47"/>
  <c r="BF51" i="80"/>
  <c r="AZ44" i="61"/>
  <c r="BA44" i="61"/>
  <c r="AV67" i="74"/>
  <c r="AV45" i="69"/>
  <c r="BH101" i="64"/>
  <c r="BI101" i="64"/>
  <c r="BJ92" i="73"/>
  <c r="BJ104" i="1"/>
  <c r="BE123" i="64"/>
  <c r="BE25" i="69"/>
  <c r="AV51" i="47"/>
  <c r="BH88" i="60"/>
  <c r="BI88" i="60"/>
  <c r="AW53" i="60"/>
  <c r="BE95" i="60"/>
  <c r="AV15" i="69"/>
  <c r="AW31" i="67"/>
  <c r="BF74" i="69"/>
  <c r="BD85" i="47"/>
  <c r="BD116" i="60"/>
  <c r="BD72" i="61"/>
  <c r="AZ33" i="47"/>
  <c r="BA33" i="47"/>
  <c r="BE106" i="60"/>
  <c r="AW25" i="67"/>
  <c r="AV68" i="1"/>
  <c r="BD79" i="64"/>
  <c r="AW33" i="47"/>
  <c r="BF108" i="1"/>
  <c r="AV49" i="66"/>
  <c r="AW42" i="64"/>
  <c r="AV78" i="64"/>
  <c r="BE110" i="61"/>
  <c r="AW53" i="61"/>
  <c r="BE92" i="70"/>
  <c r="AZ140" i="74"/>
  <c r="AZ142" i="74"/>
  <c r="AZ134" i="73"/>
  <c r="AZ136" i="73"/>
  <c r="BI142" i="74"/>
  <c r="BH93" i="64"/>
  <c r="BI93" i="64"/>
  <c r="AW62" i="47"/>
  <c r="AW57" i="64"/>
  <c r="BF92" i="1"/>
  <c r="BE67" i="60"/>
  <c r="BE114" i="61"/>
  <c r="BH72" i="64"/>
  <c r="BI72" i="64"/>
  <c r="BF90" i="69"/>
  <c r="BE80" i="47"/>
  <c r="AZ53" i="61"/>
  <c r="BA53" i="61"/>
  <c r="BJ79" i="67"/>
  <c r="BE82" i="73"/>
  <c r="BD92" i="60"/>
  <c r="BD89" i="47"/>
  <c r="BH97" i="64"/>
  <c r="BI97" i="64"/>
  <c r="BD72" i="64"/>
  <c r="BH97" i="60"/>
  <c r="BI97" i="60"/>
  <c r="BD20" i="60"/>
  <c r="BE117" i="67"/>
  <c r="BJ92" i="1"/>
  <c r="BE88" i="60"/>
  <c r="AV61" i="74"/>
  <c r="BD97" i="64"/>
  <c r="BE64" i="1"/>
  <c r="BH20" i="60"/>
  <c r="BI20" i="60"/>
  <c r="BE97" i="60"/>
  <c r="BF110" i="67"/>
  <c r="BF62" i="1"/>
  <c r="BF47" i="80"/>
  <c r="BE113" i="73"/>
  <c r="BF113" i="73"/>
  <c r="AV63" i="66"/>
  <c r="AW63" i="66"/>
  <c r="BD101" i="47"/>
  <c r="BH101" i="47"/>
  <c r="BI101" i="47"/>
  <c r="BE101" i="47"/>
  <c r="BD21" i="76"/>
  <c r="BF21" i="76"/>
  <c r="BD21" i="71"/>
  <c r="BD25" i="70"/>
  <c r="BF25" i="70"/>
  <c r="L48" i="2"/>
  <c r="BD21" i="75"/>
  <c r="BE21" i="75"/>
  <c r="BD21" i="66"/>
  <c r="BD25" i="67"/>
  <c r="BF25" i="67"/>
  <c r="BD25" i="74"/>
  <c r="BF25" i="74"/>
  <c r="BD21" i="69"/>
  <c r="AU25" i="74"/>
  <c r="AU25" i="73"/>
  <c r="AW25" i="73"/>
  <c r="AU25" i="70"/>
  <c r="AW25" i="70"/>
  <c r="BD38" i="70"/>
  <c r="BE38" i="70"/>
  <c r="BD38" i="73"/>
  <c r="BF38" i="73"/>
  <c r="C234" i="2"/>
  <c r="BD42" i="73"/>
  <c r="BE42" i="73"/>
  <c r="BD34" i="66"/>
  <c r="BD34" i="71"/>
  <c r="BD32" i="76"/>
  <c r="BE32" i="76"/>
  <c r="BD32" i="69"/>
  <c r="D239" i="2"/>
  <c r="AU15" i="77"/>
  <c r="AU32" i="73"/>
  <c r="AV32" i="73"/>
  <c r="AU26" i="66"/>
  <c r="AW26" i="66"/>
  <c r="E239" i="2"/>
  <c r="AU24" i="76"/>
  <c r="AU32" i="70"/>
  <c r="AW32" i="70"/>
  <c r="AU24" i="68"/>
  <c r="AV24" i="68"/>
  <c r="AU24" i="75"/>
  <c r="AU26" i="71"/>
  <c r="AU32" i="67"/>
  <c r="AV32" i="67"/>
  <c r="E294" i="2"/>
  <c r="BC70" i="64"/>
  <c r="BD64" i="76"/>
  <c r="BF64" i="76"/>
  <c r="BD82" i="70"/>
  <c r="BF82" i="70"/>
  <c r="BD68" i="66"/>
  <c r="BE68" i="66"/>
  <c r="BC70" i="47"/>
  <c r="BC70" i="60"/>
  <c r="BD64" i="75"/>
  <c r="BE64" i="75"/>
  <c r="BD68" i="71"/>
  <c r="BF68" i="71"/>
  <c r="BD82" i="67"/>
  <c r="BC70" i="61"/>
  <c r="BD82" i="74"/>
  <c r="BF82" i="74"/>
  <c r="BD64" i="69"/>
  <c r="BF64" i="69"/>
  <c r="C299" i="2"/>
  <c r="E299" i="2"/>
  <c r="AU56" i="73"/>
  <c r="AU47" i="66"/>
  <c r="AW47" i="66"/>
  <c r="BC75" i="64"/>
  <c r="K299" i="2"/>
  <c r="AU56" i="74"/>
  <c r="BA56" i="74"/>
  <c r="BB56" i="74"/>
  <c r="AU44" i="69"/>
  <c r="AU56" i="1"/>
  <c r="BA56" i="1"/>
  <c r="BB56" i="1"/>
  <c r="AU44" i="76"/>
  <c r="AU47" i="71"/>
  <c r="AU44" i="68"/>
  <c r="AW44" i="68"/>
  <c r="AU48" i="75"/>
  <c r="AW48" i="75"/>
  <c r="AU48" i="68"/>
  <c r="AU60" i="1"/>
  <c r="E303" i="2"/>
  <c r="AU60" i="73"/>
  <c r="AW60" i="73"/>
  <c r="AU51" i="66"/>
  <c r="AV51" i="66"/>
  <c r="K303" i="2"/>
  <c r="L303" i="2"/>
  <c r="AU33" i="77"/>
  <c r="AW33" i="77"/>
  <c r="AU60" i="70"/>
  <c r="AV60" i="70"/>
  <c r="AU60" i="67"/>
  <c r="AV60" i="67"/>
  <c r="BD71" i="66"/>
  <c r="BJ71" i="66"/>
  <c r="BD87" i="73"/>
  <c r="BJ87" i="73"/>
  <c r="BC83" i="64"/>
  <c r="BD87" i="70"/>
  <c r="BE87" i="70"/>
  <c r="BD69" i="75"/>
  <c r="BE69" i="75"/>
  <c r="BD75" i="71"/>
  <c r="BE75" i="71"/>
  <c r="BD75" i="66"/>
  <c r="BF75" i="66"/>
  <c r="BD91" i="74"/>
  <c r="BF91" i="74"/>
  <c r="BD70" i="68"/>
  <c r="BE70" i="68"/>
  <c r="L311" i="2"/>
  <c r="E311" i="2"/>
  <c r="BD44" i="77"/>
  <c r="BF44" i="77"/>
  <c r="BD91" i="73"/>
  <c r="BE91" i="73"/>
  <c r="BD91" i="67"/>
  <c r="BJ91" i="67"/>
  <c r="BC91" i="60"/>
  <c r="BD73" i="76"/>
  <c r="BF73" i="76"/>
  <c r="BD95" i="74"/>
  <c r="BF95" i="74"/>
  <c r="BD73" i="69"/>
  <c r="BF73" i="69"/>
  <c r="BD48" i="77"/>
  <c r="BD95" i="70"/>
  <c r="BF95" i="70"/>
  <c r="BD74" i="68"/>
  <c r="BE74" i="68"/>
  <c r="BC91" i="61"/>
  <c r="BE91" i="61"/>
  <c r="BD73" i="75"/>
  <c r="BD79" i="71"/>
  <c r="BE79" i="71"/>
  <c r="BD95" i="67"/>
  <c r="BF95" i="67"/>
  <c r="D319" i="2"/>
  <c r="BD77" i="76"/>
  <c r="BD77" i="69"/>
  <c r="BE77" i="69"/>
  <c r="BC95" i="47"/>
  <c r="BE95" i="47"/>
  <c r="BD99" i="74"/>
  <c r="BE99" i="74"/>
  <c r="BD78" i="68"/>
  <c r="L319" i="2"/>
  <c r="K319" i="2"/>
  <c r="BD99" i="73"/>
  <c r="BF99" i="73"/>
  <c r="BD83" i="66"/>
  <c r="BE83" i="66"/>
  <c r="L324" i="2"/>
  <c r="BD82" i="76"/>
  <c r="BE82" i="76"/>
  <c r="AU65" i="74"/>
  <c r="BA65" i="74"/>
  <c r="AU65" i="70"/>
  <c r="AU53" i="68"/>
  <c r="AV53" i="68"/>
  <c r="BC100" i="47"/>
  <c r="AU37" i="77"/>
  <c r="BD104" i="74"/>
  <c r="BJ104" i="74"/>
  <c r="BD88" i="71"/>
  <c r="BF88" i="71"/>
  <c r="AU53" i="69"/>
  <c r="AV53" i="69"/>
  <c r="AU65" i="1"/>
  <c r="AW65" i="1"/>
  <c r="BD82" i="75"/>
  <c r="BD104" i="73"/>
  <c r="BF104" i="73"/>
  <c r="BD88" i="66"/>
  <c r="BF88" i="66"/>
  <c r="BD104" i="67"/>
  <c r="BJ104" i="67"/>
  <c r="AU60" i="66"/>
  <c r="AV60" i="66"/>
  <c r="BC105" i="61"/>
  <c r="BC105" i="47"/>
  <c r="L329" i="2"/>
  <c r="D329" i="2"/>
  <c r="AU56" i="76"/>
  <c r="AV56" i="76"/>
  <c r="AU70" i="70"/>
  <c r="AW70" i="70"/>
  <c r="C329" i="2"/>
  <c r="AU56" i="75"/>
  <c r="AU60" i="71"/>
  <c r="AU70" i="67"/>
  <c r="BC105" i="60"/>
  <c r="BD105" i="60"/>
  <c r="AU70" i="1"/>
  <c r="AV70" i="1"/>
  <c r="AU56" i="68"/>
  <c r="AW56" i="68"/>
  <c r="AU70" i="73"/>
  <c r="AV70" i="73"/>
  <c r="K333" i="2"/>
  <c r="AU74" i="1"/>
  <c r="AU60" i="75"/>
  <c r="AU74" i="70"/>
  <c r="AW74" i="70"/>
  <c r="AU74" i="74"/>
  <c r="AV74" i="74"/>
  <c r="AU74" i="67"/>
  <c r="AV74" i="67"/>
  <c r="E333" i="2"/>
  <c r="AU74" i="73"/>
  <c r="AW74" i="73"/>
  <c r="BD109" i="67"/>
  <c r="BC113" i="60"/>
  <c r="BD113" i="60"/>
  <c r="BD91" i="71"/>
  <c r="BF91" i="71"/>
  <c r="BC113" i="64"/>
  <c r="BD109" i="1"/>
  <c r="BE109" i="1"/>
  <c r="BD109" i="74"/>
  <c r="BD91" i="66"/>
  <c r="BF91" i="66"/>
  <c r="BC113" i="47"/>
  <c r="BC113" i="61"/>
  <c r="BE113" i="61"/>
  <c r="BD109" i="73"/>
  <c r="D341" i="2"/>
  <c r="BD87" i="75"/>
  <c r="BE87" i="75"/>
  <c r="BD95" i="71"/>
  <c r="BF95" i="71"/>
  <c r="BD113" i="67"/>
  <c r="BC117" i="61"/>
  <c r="BD58" i="77"/>
  <c r="BF58" i="77"/>
  <c r="BD113" i="70"/>
  <c r="BE113" i="70"/>
  <c r="BD87" i="69"/>
  <c r="BC117" i="47"/>
  <c r="BD117" i="47"/>
  <c r="BD113" i="74"/>
  <c r="BE113" i="74"/>
  <c r="BD95" i="66"/>
  <c r="BD88" i="68"/>
  <c r="C345" i="2"/>
  <c r="BD117" i="74"/>
  <c r="BD99" i="66"/>
  <c r="BE99" i="66"/>
  <c r="BD117" i="1"/>
  <c r="BC121" i="61"/>
  <c r="BD62" i="77"/>
  <c r="BE62" i="77"/>
  <c r="BD117" i="73"/>
  <c r="D345" i="2"/>
  <c r="BC121" i="47"/>
  <c r="L345" i="2"/>
  <c r="BD91" i="76"/>
  <c r="BF91" i="76"/>
  <c r="BD117" i="70"/>
  <c r="BD92" i="68"/>
  <c r="BD91" i="69"/>
  <c r="BE91" i="69"/>
  <c r="BD95" i="75"/>
  <c r="BF95" i="75"/>
  <c r="BD103" i="71"/>
  <c r="BD121" i="67"/>
  <c r="BE121" i="67"/>
  <c r="BD95" i="76"/>
  <c r="BE95" i="76"/>
  <c r="BD121" i="70"/>
  <c r="BD103" i="66"/>
  <c r="BD121" i="1"/>
  <c r="BF121" i="1"/>
  <c r="K349" i="2"/>
  <c r="BD121" i="73"/>
  <c r="BF121" i="73"/>
  <c r="BD96" i="68"/>
  <c r="BD29" i="75"/>
  <c r="BF29" i="75"/>
  <c r="L215" i="2"/>
  <c r="AU19" i="75"/>
  <c r="AV19" i="75"/>
  <c r="BD29" i="76"/>
  <c r="BF29" i="76"/>
  <c r="BD29" i="69"/>
  <c r="BF29" i="69"/>
  <c r="AU16" i="75"/>
  <c r="BD26" i="69"/>
  <c r="BF26" i="69"/>
  <c r="AU16" i="76"/>
  <c r="AW57" i="61"/>
  <c r="AW45" i="1"/>
  <c r="AW57" i="60"/>
  <c r="BD87" i="61"/>
  <c r="BF102" i="74"/>
  <c r="BD116" i="47"/>
  <c r="AV66" i="47"/>
  <c r="BF54" i="69"/>
  <c r="BE54" i="69"/>
  <c r="E234" i="2"/>
  <c r="AV10" i="38"/>
  <c r="AW10" i="38"/>
  <c r="AW77" i="61"/>
  <c r="AZ77" i="61"/>
  <c r="BA77" i="61"/>
  <c r="F13" i="61"/>
  <c r="AV77" i="61"/>
  <c r="AV8" i="64"/>
  <c r="AW8" i="64"/>
  <c r="BE26" i="60"/>
  <c r="BD26" i="60"/>
  <c r="BH26" i="60"/>
  <c r="BI26" i="60"/>
  <c r="AW57" i="47"/>
  <c r="AV57" i="47"/>
  <c r="BE102" i="66"/>
  <c r="AW52" i="47"/>
  <c r="BE44" i="47"/>
  <c r="AW70" i="47"/>
  <c r="AZ70" i="47"/>
  <c r="BA70" i="47"/>
  <c r="BE72" i="60"/>
  <c r="BD72" i="60"/>
  <c r="BH72" i="60"/>
  <c r="BI72" i="60"/>
  <c r="BD101" i="60"/>
  <c r="BE101" i="60"/>
  <c r="BH101" i="60"/>
  <c r="BI101" i="60"/>
  <c r="BD72" i="47"/>
  <c r="BH72" i="47"/>
  <c r="BI72" i="47"/>
  <c r="AV60" i="64"/>
  <c r="AZ60" i="64"/>
  <c r="BA60" i="64"/>
  <c r="AW60" i="64"/>
  <c r="BE124" i="61"/>
  <c r="BD124" i="61"/>
  <c r="BE94" i="71"/>
  <c r="AW67" i="70"/>
  <c r="I388" i="2"/>
  <c r="BH87" i="61"/>
  <c r="BI87" i="61"/>
  <c r="BJ77" i="81"/>
  <c r="AV46" i="47"/>
  <c r="BE119" i="61"/>
  <c r="BF90" i="68"/>
  <c r="BE90" i="68"/>
  <c r="BE106" i="67"/>
  <c r="BF106" i="67"/>
  <c r="BE67" i="61"/>
  <c r="BD67" i="61"/>
  <c r="BE61" i="1"/>
  <c r="BF61" i="1"/>
  <c r="AW97" i="64"/>
  <c r="AV97" i="64"/>
  <c r="AV40" i="74"/>
  <c r="AW40" i="74"/>
  <c r="BD108" i="64"/>
  <c r="BE108" i="64"/>
  <c r="AV46" i="64"/>
  <c r="AW46" i="64"/>
  <c r="BJ62" i="74"/>
  <c r="BK62" i="74"/>
  <c r="BE62" i="74"/>
  <c r="AZ54" i="47"/>
  <c r="BA54" i="47"/>
  <c r="AW54" i="47"/>
  <c r="AV54" i="47"/>
  <c r="BD45" i="1"/>
  <c r="BD45" i="67"/>
  <c r="BE45" i="67"/>
  <c r="K245" i="2"/>
  <c r="BD45" i="74"/>
  <c r="E245" i="2"/>
  <c r="BD45" i="73"/>
  <c r="BD53" i="1"/>
  <c r="E253" i="2"/>
  <c r="D253" i="2"/>
  <c r="BD39" i="76"/>
  <c r="BF39" i="76"/>
  <c r="BD53" i="70"/>
  <c r="BF53" i="70"/>
  <c r="BD43" i="66"/>
  <c r="BD53" i="74"/>
  <c r="BE53" i="74"/>
  <c r="BD39" i="69"/>
  <c r="BF39" i="69"/>
  <c r="C253" i="2"/>
  <c r="BD25" i="77"/>
  <c r="BD53" i="73"/>
  <c r="BF53" i="73"/>
  <c r="BD53" i="67"/>
  <c r="BE53" i="67"/>
  <c r="AU31" i="76"/>
  <c r="AW31" i="76"/>
  <c r="AU39" i="70"/>
  <c r="AW39" i="70"/>
  <c r="AU33" i="66"/>
  <c r="AU31" i="75"/>
  <c r="AW31" i="75"/>
  <c r="AU39" i="73"/>
  <c r="AW39" i="73"/>
  <c r="AU31" i="68"/>
  <c r="AU39" i="74"/>
  <c r="AV39" i="74"/>
  <c r="AU31" i="69"/>
  <c r="BD69" i="74"/>
  <c r="BE69" i="74"/>
  <c r="BD55" i="69"/>
  <c r="BE55" i="69"/>
  <c r="D274" i="2"/>
  <c r="BD69" i="73"/>
  <c r="BE69" i="73"/>
  <c r="BD69" i="67"/>
  <c r="BE69" i="67"/>
  <c r="AU58" i="64"/>
  <c r="C274" i="2"/>
  <c r="K274" i="2"/>
  <c r="BD55" i="76"/>
  <c r="BF55" i="76"/>
  <c r="BD69" i="70"/>
  <c r="BE69" i="70"/>
  <c r="AV46" i="71"/>
  <c r="AW46" i="71"/>
  <c r="E241" i="2"/>
  <c r="C435" i="2"/>
  <c r="BA40" i="66"/>
  <c r="AW58" i="74"/>
  <c r="C245" i="2"/>
  <c r="BD82" i="78"/>
  <c r="BE82" i="78"/>
  <c r="BD70" i="78"/>
  <c r="BF70" i="78"/>
  <c r="BD32" i="82"/>
  <c r="BF32" i="82"/>
  <c r="BD48" i="82"/>
  <c r="BJ48" i="82"/>
  <c r="BD54" i="81"/>
  <c r="BE54" i="81"/>
  <c r="AU35" i="81"/>
  <c r="AU24" i="82"/>
  <c r="BD66" i="78"/>
  <c r="E257" i="2"/>
  <c r="D279" i="2"/>
  <c r="AU46" i="1"/>
  <c r="AW46" i="1"/>
  <c r="E435" i="2"/>
  <c r="AU46" i="60"/>
  <c r="C262" i="2"/>
  <c r="C257" i="2"/>
  <c r="AV46" i="66"/>
  <c r="BD62" i="66"/>
  <c r="BE62" i="66"/>
  <c r="AU39" i="67"/>
  <c r="AV39" i="67"/>
  <c r="BD47" i="75"/>
  <c r="BE47" i="75"/>
  <c r="L253" i="2"/>
  <c r="L241" i="2"/>
  <c r="AU90" i="64"/>
  <c r="AV90" i="64"/>
  <c r="AU26" i="75"/>
  <c r="AU28" i="71"/>
  <c r="AU26" i="68"/>
  <c r="AW26" i="68"/>
  <c r="AU90" i="60"/>
  <c r="AU34" i="74"/>
  <c r="AU26" i="69"/>
  <c r="AW26" i="69"/>
  <c r="AU17" i="77"/>
  <c r="AV17" i="77"/>
  <c r="AU34" i="73"/>
  <c r="AV34" i="73"/>
  <c r="AU34" i="67"/>
  <c r="E249" i="2"/>
  <c r="C249" i="2"/>
  <c r="D249" i="2"/>
  <c r="BD35" i="76"/>
  <c r="BF35" i="76"/>
  <c r="BD49" i="70"/>
  <c r="BE49" i="70"/>
  <c r="BD39" i="66"/>
  <c r="L249" i="2"/>
  <c r="BD49" i="74"/>
  <c r="BD35" i="69"/>
  <c r="BE35" i="69"/>
  <c r="BD49" i="1"/>
  <c r="BF49" i="1"/>
  <c r="BD49" i="73"/>
  <c r="BF49" i="73"/>
  <c r="BD49" i="67"/>
  <c r="L257" i="2"/>
  <c r="BD29" i="77"/>
  <c r="BE29" i="77"/>
  <c r="BD57" i="74"/>
  <c r="BE57" i="74"/>
  <c r="BD44" i="68"/>
  <c r="BD43" i="76"/>
  <c r="BD47" i="71"/>
  <c r="BE47" i="71"/>
  <c r="BD47" i="66"/>
  <c r="BF47" i="66"/>
  <c r="BD43" i="75"/>
  <c r="BD57" i="70"/>
  <c r="BE57" i="70"/>
  <c r="BD43" i="69"/>
  <c r="BF43" i="69"/>
  <c r="K266" i="2"/>
  <c r="BD61" i="74"/>
  <c r="BD48" i="68"/>
  <c r="BD47" i="76"/>
  <c r="BE47" i="76"/>
  <c r="BD61" i="73"/>
  <c r="BD51" i="66"/>
  <c r="BE51" i="66"/>
  <c r="AU50" i="61"/>
  <c r="AV50" i="61"/>
  <c r="AU50" i="60"/>
  <c r="E266" i="2"/>
  <c r="BD31" i="77"/>
  <c r="BE31" i="77"/>
  <c r="BD51" i="71"/>
  <c r="BE51" i="71"/>
  <c r="BD47" i="69"/>
  <c r="L270" i="2"/>
  <c r="K270" i="2"/>
  <c r="BD51" i="75"/>
  <c r="BJ51" i="75"/>
  <c r="BD55" i="71"/>
  <c r="BF55" i="71"/>
  <c r="BD65" i="67"/>
  <c r="BE65" i="67"/>
  <c r="BD65" i="73"/>
  <c r="BJ65" i="73"/>
  <c r="BK65" i="73"/>
  <c r="BD51" i="69"/>
  <c r="BE51" i="69"/>
  <c r="BD35" i="77"/>
  <c r="BF35" i="77"/>
  <c r="BD65" i="74"/>
  <c r="BJ65" i="74"/>
  <c r="BD55" i="66"/>
  <c r="BD60" i="75"/>
  <c r="BE60" i="75"/>
  <c r="BD74" i="74"/>
  <c r="BE74" i="74"/>
  <c r="AU39" i="71"/>
  <c r="AV39" i="71"/>
  <c r="BD61" i="68"/>
  <c r="BE61" i="68"/>
  <c r="BD74" i="67"/>
  <c r="AU63" i="47"/>
  <c r="BD40" i="77"/>
  <c r="BE40" i="77"/>
  <c r="AU38" i="75"/>
  <c r="AU46" i="74"/>
  <c r="AW46" i="74"/>
  <c r="BD74" i="70"/>
  <c r="BF74" i="70"/>
  <c r="AU39" i="66"/>
  <c r="AU46" i="67"/>
  <c r="AV46" i="67"/>
  <c r="AU38" i="76"/>
  <c r="AW38" i="76"/>
  <c r="AU26" i="77"/>
  <c r="AV26" i="77"/>
  <c r="AU46" i="73"/>
  <c r="AV46" i="73"/>
  <c r="AU46" i="70"/>
  <c r="BD60" i="69"/>
  <c r="BE60" i="69"/>
  <c r="AU38" i="68"/>
  <c r="AW38" i="68"/>
  <c r="AU67" i="60"/>
  <c r="AU67" i="64"/>
  <c r="F433" i="2"/>
  <c r="F435" i="2"/>
  <c r="I435" i="2"/>
  <c r="AU97" i="61"/>
  <c r="AV97" i="61"/>
  <c r="BA39" i="75"/>
  <c r="BB39" i="75"/>
  <c r="K283" i="2"/>
  <c r="BD52" i="82"/>
  <c r="BF52" i="82"/>
  <c r="BD58" i="80"/>
  <c r="BE58" i="80"/>
  <c r="BD62" i="78"/>
  <c r="BE62" i="78"/>
  <c r="BD78" i="78"/>
  <c r="BJ78" i="78"/>
  <c r="BD74" i="78"/>
  <c r="BE74" i="78"/>
  <c r="AU45" i="78"/>
  <c r="AU30" i="81"/>
  <c r="AV30" i="81"/>
  <c r="BD46" i="81"/>
  <c r="K257" i="2"/>
  <c r="D241" i="2"/>
  <c r="C279" i="2"/>
  <c r="L279" i="2"/>
  <c r="K435" i="2"/>
  <c r="AU54" i="60"/>
  <c r="BD65" i="1"/>
  <c r="BF65" i="1"/>
  <c r="L262" i="2"/>
  <c r="AU39" i="1"/>
  <c r="BD57" i="1"/>
  <c r="BF57" i="1"/>
  <c r="BF93" i="1"/>
  <c r="BE93" i="1"/>
  <c r="BD56" i="68"/>
  <c r="AU38" i="69"/>
  <c r="AW38" i="69"/>
  <c r="BD52" i="68"/>
  <c r="AU33" i="71"/>
  <c r="AW33" i="71"/>
  <c r="BD40" i="68"/>
  <c r="AU28" i="66"/>
  <c r="AV28" i="66"/>
  <c r="BD36" i="68"/>
  <c r="BF36" i="68"/>
  <c r="L266" i="2"/>
  <c r="D266" i="2"/>
  <c r="E270" i="2"/>
  <c r="E262" i="2"/>
  <c r="K253" i="2"/>
  <c r="BJ41" i="74"/>
  <c r="BJ41" i="67"/>
  <c r="BD62" i="81"/>
  <c r="BE62" i="81"/>
  <c r="BD50" i="81"/>
  <c r="BE50" i="81"/>
  <c r="BD50" i="80"/>
  <c r="BD58" i="78"/>
  <c r="BE58" i="78"/>
  <c r="BD66" i="80"/>
  <c r="BJ66" i="80"/>
  <c r="BD62" i="80"/>
  <c r="AU38" i="80"/>
  <c r="AV38" i="80"/>
  <c r="AU40" i="78"/>
  <c r="BD54" i="80"/>
  <c r="C270" i="2"/>
  <c r="D257" i="2"/>
  <c r="E279" i="2"/>
  <c r="AU54" i="61"/>
  <c r="AW54" i="61"/>
  <c r="AU50" i="64"/>
  <c r="AV50" i="64"/>
  <c r="K262" i="2"/>
  <c r="AU46" i="61"/>
  <c r="BD55" i="75"/>
  <c r="BE55" i="75"/>
  <c r="BD62" i="71"/>
  <c r="BE62" i="71"/>
  <c r="BD65" i="70"/>
  <c r="AU21" i="77"/>
  <c r="AW21" i="77"/>
  <c r="BD61" i="67"/>
  <c r="BE61" i="67"/>
  <c r="BD43" i="71"/>
  <c r="BF43" i="71"/>
  <c r="AU34" i="70"/>
  <c r="BD39" i="71"/>
  <c r="D270" i="2"/>
  <c r="AU58" i="61"/>
  <c r="AV58" i="61"/>
  <c r="BD86" i="71"/>
  <c r="BE86" i="71"/>
  <c r="BD102" i="73"/>
  <c r="BF102" i="73"/>
  <c r="AU35" i="77"/>
  <c r="AV35" i="77"/>
  <c r="BD119" i="73"/>
  <c r="BD64" i="77"/>
  <c r="BD111" i="73"/>
  <c r="BE111" i="73"/>
  <c r="BD80" i="69"/>
  <c r="BE80" i="69"/>
  <c r="BD97" i="66"/>
  <c r="BF97" i="66"/>
  <c r="AU63" i="67"/>
  <c r="BD119" i="1"/>
  <c r="BF119" i="1"/>
  <c r="BD97" i="71"/>
  <c r="BE97" i="71"/>
  <c r="BD89" i="75"/>
  <c r="BE89" i="75"/>
  <c r="AU18" i="76"/>
  <c r="AU14" i="76"/>
  <c r="AW14" i="76"/>
  <c r="AU58" i="1"/>
  <c r="AU55" i="67"/>
  <c r="AW55" i="67"/>
  <c r="AU55" i="73"/>
  <c r="AW55" i="73"/>
  <c r="BD66" i="71"/>
  <c r="BF66" i="71"/>
  <c r="BD81" i="66"/>
  <c r="BF81" i="66"/>
  <c r="BD50" i="77"/>
  <c r="BE50" i="77"/>
  <c r="AU43" i="66"/>
  <c r="BD89" i="74"/>
  <c r="BE89" i="74"/>
  <c r="BD93" i="67"/>
  <c r="BE93" i="67"/>
  <c r="BD71" i="76"/>
  <c r="BF71" i="76"/>
  <c r="AU58" i="70"/>
  <c r="BD115" i="1"/>
  <c r="C343" i="2"/>
  <c r="L347" i="2"/>
  <c r="D343" i="2"/>
  <c r="L309" i="2"/>
  <c r="E309" i="2"/>
  <c r="L214" i="2"/>
  <c r="BC77" i="47"/>
  <c r="BC115" i="47"/>
  <c r="BC123" i="60"/>
  <c r="G317" i="2"/>
  <c r="H317" i="2"/>
  <c r="BD93" i="69"/>
  <c r="BE93" i="69"/>
  <c r="AU63" i="70"/>
  <c r="AV63" i="70"/>
  <c r="BD80" i="75"/>
  <c r="BE80" i="75"/>
  <c r="BD89" i="69"/>
  <c r="BD119" i="67"/>
  <c r="BD119" i="74"/>
  <c r="BE119" i="74"/>
  <c r="BD111" i="70"/>
  <c r="BF111" i="70"/>
  <c r="BD85" i="76"/>
  <c r="BD115" i="70"/>
  <c r="BE115" i="70"/>
  <c r="BD89" i="76"/>
  <c r="BD28" i="76"/>
  <c r="BE28" i="76"/>
  <c r="BD24" i="76"/>
  <c r="AU55" i="70"/>
  <c r="AW55" i="70"/>
  <c r="BD80" i="70"/>
  <c r="BF80" i="70"/>
  <c r="BD81" i="71"/>
  <c r="BE81" i="71"/>
  <c r="BD75" i="75"/>
  <c r="AU51" i="70"/>
  <c r="AV51" i="70"/>
  <c r="BD68" i="68"/>
  <c r="BD72" i="68"/>
  <c r="BE72" i="68"/>
  <c r="BD85" i="67"/>
  <c r="K347" i="2"/>
  <c r="L339" i="2"/>
  <c r="C339" i="2"/>
  <c r="E210" i="2"/>
  <c r="BC81" i="61"/>
  <c r="BC115" i="60"/>
  <c r="BE115" i="60"/>
  <c r="AV51" i="1"/>
  <c r="G270" i="2"/>
  <c r="H270" i="2"/>
  <c r="BD86" i="68"/>
  <c r="BE86" i="68"/>
  <c r="AU63" i="74"/>
  <c r="AV63" i="74"/>
  <c r="BD80" i="76"/>
  <c r="AU14" i="69"/>
  <c r="BD85" i="69"/>
  <c r="BE85" i="69"/>
  <c r="BD101" i="71"/>
  <c r="BD93" i="75"/>
  <c r="BF93" i="75"/>
  <c r="BD93" i="71"/>
  <c r="BF93" i="71"/>
  <c r="BD85" i="75"/>
  <c r="BD111" i="67"/>
  <c r="BF111" i="67"/>
  <c r="BD115" i="73"/>
  <c r="BF115" i="73"/>
  <c r="BD60" i="77"/>
  <c r="BE60" i="77"/>
  <c r="BD111" i="1"/>
  <c r="BE111" i="1"/>
  <c r="AU14" i="75"/>
  <c r="BD85" i="1"/>
  <c r="BD66" i="66"/>
  <c r="BD80" i="74"/>
  <c r="BD75" i="69"/>
  <c r="BD97" i="70"/>
  <c r="BF97" i="70"/>
  <c r="AU51" i="74"/>
  <c r="BD89" i="67"/>
  <c r="BD85" i="74"/>
  <c r="BE85" i="74"/>
  <c r="K343" i="2"/>
  <c r="BD103" i="64"/>
  <c r="BE109" i="60"/>
  <c r="AV83" i="64"/>
  <c r="AV23" i="68"/>
  <c r="AW32" i="68"/>
  <c r="BE105" i="64"/>
  <c r="BD120" i="47"/>
  <c r="BJ71" i="68"/>
  <c r="BF79" i="67"/>
  <c r="BE110" i="47"/>
  <c r="AZ53" i="60"/>
  <c r="BA53" i="60"/>
  <c r="AY98" i="64"/>
  <c r="BJ64" i="1"/>
  <c r="AW45" i="74"/>
  <c r="BA27" i="75"/>
  <c r="BB27" i="75"/>
  <c r="BJ130" i="73"/>
  <c r="BJ70" i="69"/>
  <c r="BA25" i="82"/>
  <c r="BB25" i="82"/>
  <c r="BH88" i="47"/>
  <c r="BI88" i="47"/>
  <c r="AV71" i="1"/>
  <c r="BE81" i="60"/>
  <c r="AZ53" i="64"/>
  <c r="BA53" i="64"/>
  <c r="H98" i="7"/>
  <c r="H889" i="7"/>
  <c r="H1002" i="7"/>
  <c r="H75" i="7"/>
  <c r="H633" i="7"/>
  <c r="H991" i="7"/>
  <c r="AV91" i="64"/>
  <c r="BE41" i="67"/>
  <c r="BE109" i="64"/>
  <c r="BF41" i="67"/>
  <c r="BJ76" i="66"/>
  <c r="BA27" i="68"/>
  <c r="BB27" i="68"/>
  <c r="BJ64" i="67"/>
  <c r="BE80" i="80"/>
  <c r="BJ92" i="70"/>
  <c r="BK92" i="70"/>
  <c r="AV43" i="81"/>
  <c r="BD116" i="64"/>
  <c r="BJ67" i="81"/>
  <c r="BK67" i="81"/>
  <c r="BJ45" i="77"/>
  <c r="BE87" i="68"/>
  <c r="BE112" i="67"/>
  <c r="BJ64" i="70"/>
  <c r="H42" i="7"/>
  <c r="H230" i="7"/>
  <c r="H614" i="7"/>
  <c r="H453" i="7"/>
  <c r="C241" i="2"/>
  <c r="BE77" i="61"/>
  <c r="BE80" i="64"/>
  <c r="BD80" i="64"/>
  <c r="AU98" i="64"/>
  <c r="L436" i="2"/>
  <c r="E436" i="2"/>
  <c r="K436" i="2"/>
  <c r="D436" i="2"/>
  <c r="AU98" i="61"/>
  <c r="H314" i="7"/>
  <c r="H396" i="7"/>
  <c r="BF112" i="1"/>
  <c r="BE112" i="1"/>
  <c r="BF63" i="1"/>
  <c r="BE63" i="1"/>
  <c r="BD108" i="47"/>
  <c r="BE108" i="47"/>
  <c r="BE120" i="67"/>
  <c r="BF120" i="67"/>
  <c r="BE79" i="66"/>
  <c r="BF79" i="66"/>
  <c r="AV55" i="74"/>
  <c r="AW55" i="74"/>
  <c r="AW50" i="74"/>
  <c r="AV50" i="74"/>
  <c r="BF97" i="74"/>
  <c r="BE97" i="74"/>
  <c r="BF80" i="71"/>
  <c r="BE80" i="71"/>
  <c r="AW54" i="73"/>
  <c r="AV54" i="73"/>
  <c r="AW38" i="66"/>
  <c r="AV38" i="66"/>
  <c r="BE61" i="66"/>
  <c r="BF61" i="66"/>
  <c r="BF54" i="66"/>
  <c r="BJ54" i="66"/>
  <c r="BF35" i="75"/>
  <c r="BE35" i="75"/>
  <c r="H508" i="7"/>
  <c r="H793" i="7"/>
  <c r="H904" i="7"/>
  <c r="H696" i="7"/>
  <c r="H250" i="7"/>
  <c r="H672" i="7"/>
  <c r="H153" i="7"/>
  <c r="H133" i="7"/>
  <c r="H983" i="7"/>
  <c r="H752" i="7"/>
  <c r="H93" i="7"/>
  <c r="H999" i="7"/>
  <c r="H897" i="7"/>
  <c r="H626" i="7"/>
  <c r="H812" i="7"/>
  <c r="H950" i="7"/>
  <c r="H24" i="7"/>
  <c r="H66" i="7"/>
  <c r="H190" i="7"/>
  <c r="AW88" i="60"/>
  <c r="AV88" i="60"/>
  <c r="H587" i="7"/>
  <c r="H585" i="7"/>
  <c r="H583" i="7"/>
  <c r="H989" i="7"/>
  <c r="H570" i="7"/>
  <c r="H135" i="7"/>
  <c r="H965" i="7"/>
  <c r="H817" i="7"/>
  <c r="H311" i="7"/>
  <c r="H226" i="7"/>
  <c r="H67" i="7"/>
  <c r="H1008" i="7"/>
  <c r="H107" i="7"/>
  <c r="H272" i="7"/>
  <c r="H318" i="7"/>
  <c r="H17" i="7"/>
  <c r="H224" i="7"/>
  <c r="H518" i="7"/>
  <c r="H866" i="7"/>
  <c r="H1021" i="7"/>
  <c r="H802" i="7"/>
  <c r="H676" i="7"/>
  <c r="H963" i="7"/>
  <c r="H369" i="7"/>
  <c r="H86" i="7"/>
  <c r="H18" i="7"/>
  <c r="H352" i="7"/>
  <c r="H926" i="7"/>
  <c r="H514" i="7"/>
  <c r="H321" i="7"/>
  <c r="H952" i="7"/>
  <c r="H26" i="7"/>
  <c r="H360" i="7"/>
  <c r="H55" i="7"/>
  <c r="H74" i="7"/>
  <c r="H270" i="7"/>
  <c r="H1012" i="7"/>
  <c r="H613" i="7"/>
  <c r="H652" i="7"/>
  <c r="H605" i="7"/>
  <c r="H282" i="7"/>
  <c r="H917" i="7"/>
  <c r="H16" i="7"/>
  <c r="H576" i="7"/>
  <c r="H247" i="7"/>
  <c r="H865" i="7"/>
  <c r="H46" i="7"/>
  <c r="H41" i="7"/>
  <c r="H604" i="7"/>
  <c r="H148" i="7"/>
  <c r="H89" i="7"/>
  <c r="H859" i="7"/>
  <c r="H879" i="7"/>
  <c r="H205" i="7"/>
  <c r="H501" i="7"/>
  <c r="H431" i="7"/>
  <c r="H920" i="7"/>
  <c r="H166" i="7"/>
  <c r="H748" i="7"/>
  <c r="H689" i="7"/>
  <c r="H197" i="7"/>
  <c r="H972" i="7"/>
  <c r="H123" i="7"/>
  <c r="H472" i="7"/>
  <c r="H154" i="7"/>
  <c r="H258" i="7"/>
  <c r="H577" i="7"/>
  <c r="H951" i="7"/>
  <c r="H529" i="7"/>
  <c r="H439" i="7"/>
  <c r="H558" i="7"/>
  <c r="H687" i="7"/>
  <c r="H750" i="7"/>
  <c r="H968" i="7"/>
  <c r="H669" i="7"/>
  <c r="H455" i="7"/>
  <c r="H566" i="7"/>
  <c r="H235" i="7"/>
  <c r="H334" i="7"/>
  <c r="H326" i="7"/>
  <c r="H584" i="7"/>
  <c r="H586" i="7"/>
  <c r="H295" i="7"/>
  <c r="H861" i="7"/>
  <c r="H96" i="7"/>
  <c r="H331" i="7"/>
  <c r="H961" i="7"/>
  <c r="H809" i="7"/>
  <c r="H692" i="7"/>
  <c r="H924" i="7"/>
  <c r="H157" i="7"/>
  <c r="H186" i="7"/>
  <c r="H241" i="7"/>
  <c r="H325" i="7"/>
  <c r="H779" i="7"/>
  <c r="H351" i="7"/>
  <c r="H392" i="7"/>
  <c r="H762" i="7"/>
  <c r="H756" i="7"/>
  <c r="H450" i="7"/>
  <c r="H232" i="7"/>
  <c r="H249" i="7"/>
  <c r="H735" i="7"/>
  <c r="H407" i="7"/>
  <c r="H284" i="7"/>
  <c r="H876" i="7"/>
  <c r="H405" i="7"/>
  <c r="H27" i="7"/>
  <c r="H928" i="7"/>
  <c r="H647" i="7"/>
  <c r="H290" i="7"/>
  <c r="H415" i="7"/>
  <c r="H646" i="7"/>
  <c r="H377" i="7"/>
  <c r="H43" i="7"/>
  <c r="H609" i="7"/>
  <c r="H776" i="7"/>
  <c r="H829" i="7"/>
  <c r="H934" i="7"/>
  <c r="H181" i="7"/>
  <c r="H356" i="7"/>
  <c r="H704" i="7"/>
  <c r="H723" i="7"/>
  <c r="H819" i="7"/>
  <c r="H940" i="7"/>
  <c r="H411" i="7"/>
  <c r="H699" i="7"/>
  <c r="H679" i="7"/>
  <c r="H533" i="7"/>
  <c r="H988" i="7"/>
  <c r="H195" i="7"/>
  <c r="H628" i="7"/>
  <c r="H333" i="7"/>
  <c r="H768" i="7"/>
  <c r="H990" i="7"/>
  <c r="H398" i="7"/>
  <c r="H773" i="7"/>
  <c r="H852" i="7"/>
  <c r="H223" i="7"/>
  <c r="H767" i="7"/>
  <c r="H259" i="7"/>
  <c r="H702" i="7"/>
  <c r="H368" i="7"/>
  <c r="H818" i="7"/>
  <c r="H376" i="7"/>
  <c r="H418" i="7"/>
  <c r="H1025" i="7"/>
  <c r="H826" i="7"/>
  <c r="H803" i="7"/>
  <c r="H389" i="7"/>
  <c r="H202" i="7"/>
  <c r="H778" i="7"/>
  <c r="H335" i="7"/>
  <c r="H899" i="7"/>
  <c r="H624" i="7"/>
  <c r="H930" i="7"/>
  <c r="H580" i="7"/>
  <c r="H69" i="7"/>
  <c r="H56" i="7"/>
  <c r="H204" i="7"/>
  <c r="H31" i="7"/>
  <c r="H494" i="7"/>
  <c r="H132" i="7"/>
  <c r="H980" i="7"/>
  <c r="H487" i="7"/>
  <c r="H815" i="7"/>
  <c r="H948" i="7"/>
  <c r="H238" i="7"/>
  <c r="H182" i="7"/>
  <c r="H201" i="7"/>
  <c r="H874" i="7"/>
  <c r="H650" i="7"/>
  <c r="H155" i="7"/>
  <c r="H599" i="7"/>
  <c r="H11" i="7"/>
  <c r="H880" i="7"/>
  <c r="H138" i="7"/>
  <c r="H1007" i="7"/>
  <c r="H464" i="7"/>
  <c r="H648" i="7"/>
  <c r="H888" i="7"/>
  <c r="H191" i="7"/>
  <c r="H163" i="7"/>
  <c r="H165" i="7"/>
  <c r="H161" i="7"/>
  <c r="H217" i="7"/>
  <c r="H981" i="7"/>
  <c r="H188" i="7"/>
  <c r="H275" i="7"/>
  <c r="H108" i="7"/>
  <c r="H642" i="7"/>
  <c r="H1015" i="7"/>
  <c r="H705" i="7"/>
  <c r="H210" i="7"/>
  <c r="H216" i="7"/>
  <c r="H283" i="7"/>
  <c r="H19" i="7"/>
  <c r="H78" i="7"/>
  <c r="H390" i="7"/>
  <c r="H697" i="7"/>
  <c r="H887" i="7"/>
  <c r="H870" i="7"/>
  <c r="H883" i="7"/>
  <c r="H706" i="7"/>
  <c r="H53" i="7"/>
  <c r="H1004" i="7"/>
  <c r="H446" i="7"/>
  <c r="H644" i="7"/>
  <c r="H763" i="7"/>
  <c r="H949" i="7"/>
  <c r="H127" i="7"/>
  <c r="H1020" i="7"/>
  <c r="H945" i="7"/>
  <c r="H70" i="7"/>
  <c r="H151" i="7"/>
  <c r="H273" i="7"/>
  <c r="H969" i="7"/>
  <c r="H257" i="7"/>
  <c r="H964" i="7"/>
  <c r="H675" i="7"/>
  <c r="H129" i="7"/>
  <c r="H490" i="7"/>
  <c r="H725" i="7"/>
  <c r="H12" i="7"/>
  <c r="H380" i="7"/>
  <c r="H300" i="7"/>
  <c r="H708" i="7"/>
  <c r="H700" i="7"/>
  <c r="H666" i="7"/>
  <c r="H349" i="7"/>
  <c r="H404" i="7"/>
  <c r="H933" i="7"/>
  <c r="H724" i="7"/>
  <c r="H473" i="7"/>
  <c r="H506" i="7"/>
  <c r="H913" i="7"/>
  <c r="H276" i="7"/>
  <c r="H485" i="7"/>
  <c r="H462" i="7"/>
  <c r="H634" i="7"/>
  <c r="H361" i="7"/>
  <c r="H780" i="7"/>
  <c r="H525" i="7"/>
  <c r="H313" i="7"/>
  <c r="H502" i="7"/>
  <c r="H511" i="7"/>
  <c r="H278" i="7"/>
  <c r="H111" i="7"/>
  <c r="H596" i="7"/>
  <c r="H221" i="7"/>
  <c r="H49" i="7"/>
  <c r="H549" i="7"/>
  <c r="H971" i="7"/>
  <c r="H102" i="7"/>
  <c r="H1026" i="7"/>
  <c r="H99" i="7"/>
  <c r="H563" i="7"/>
  <c r="H770" i="7"/>
  <c r="H94" i="7"/>
  <c r="H106" i="7"/>
  <c r="H857" i="7"/>
  <c r="H792" i="7"/>
  <c r="H330" i="7"/>
  <c r="H457" i="7"/>
  <c r="H551" i="7"/>
  <c r="H370" i="7"/>
  <c r="H412" i="7"/>
  <c r="H787" i="7"/>
  <c r="H118" i="7"/>
  <c r="H277" i="7"/>
  <c r="H337" i="7"/>
  <c r="H421" i="7"/>
  <c r="H271" i="7"/>
  <c r="H714" i="7"/>
  <c r="H317" i="7"/>
  <c r="H1024" i="7"/>
  <c r="H622" i="7"/>
  <c r="H150" i="7"/>
  <c r="H367" i="7"/>
  <c r="H260" i="7"/>
  <c r="H484" i="7"/>
  <c r="H61" i="7"/>
  <c r="H419" i="7"/>
  <c r="H274" i="7"/>
  <c r="H937" i="7"/>
  <c r="H115" i="7"/>
  <c r="H388" i="7"/>
  <c r="H363" i="7"/>
  <c r="H627" i="7"/>
  <c r="H1005" i="7"/>
  <c r="H440" i="7"/>
  <c r="H703" i="7"/>
  <c r="H854" i="7"/>
  <c r="H616" i="7"/>
  <c r="H315" i="7"/>
  <c r="H15" i="7"/>
  <c r="H68" i="7"/>
  <c r="H761" i="7"/>
  <c r="H544" i="7"/>
  <c r="H413" i="7"/>
  <c r="H678" i="7"/>
  <c r="H403" i="7"/>
  <c r="H449" i="7"/>
  <c r="H23" i="7"/>
  <c r="H359" i="7"/>
  <c r="H656" i="7"/>
  <c r="H707" i="7"/>
  <c r="H908" i="7"/>
  <c r="H805" i="7"/>
  <c r="H785" i="7"/>
  <c r="H470" i="7"/>
  <c r="H828" i="7"/>
  <c r="H902" i="7"/>
  <c r="H813" i="7"/>
  <c r="H77" i="7"/>
  <c r="H35" i="7"/>
  <c r="H117" i="7"/>
  <c r="H346" i="7"/>
  <c r="H189" i="7"/>
  <c r="H863" i="7"/>
  <c r="H119" i="7"/>
  <c r="H187" i="7"/>
  <c r="H681" i="7"/>
  <c r="H309" i="7"/>
  <c r="H921" i="7"/>
  <c r="H267" i="7"/>
  <c r="H941" i="7"/>
  <c r="H621" i="7"/>
  <c r="H906" i="7"/>
  <c r="H954" i="7"/>
  <c r="H997" i="7"/>
  <c r="H571" i="7"/>
  <c r="H510" i="7"/>
  <c r="H800" i="7"/>
  <c r="H465" i="7"/>
  <c r="H176" i="7"/>
  <c r="H364" i="7"/>
  <c r="H112" i="7"/>
  <c r="H234" i="7"/>
  <c r="H955" i="7"/>
  <c r="H134" i="7"/>
  <c r="H406" i="7"/>
  <c r="H1029" i="7"/>
  <c r="H987" i="7"/>
  <c r="H771" i="7"/>
  <c r="H603" i="7"/>
  <c r="H442" i="7"/>
  <c r="H617" i="7"/>
  <c r="H526" i="7"/>
  <c r="H88" i="7"/>
  <c r="H264" i="7"/>
  <c r="H51" i="7"/>
  <c r="H801" i="7"/>
  <c r="H875" i="7"/>
  <c r="H483" i="7"/>
  <c r="H39" i="7"/>
  <c r="H436" i="7"/>
  <c r="H184" i="7"/>
  <c r="H220" i="7"/>
  <c r="H338" i="7"/>
  <c r="H766" i="7"/>
  <c r="H427" i="7"/>
  <c r="H37" i="7"/>
  <c r="H460" i="7"/>
  <c r="H171" i="7"/>
  <c r="H222" i="7"/>
  <c r="H71" i="7"/>
  <c r="H643" i="7"/>
  <c r="H978" i="7"/>
  <c r="H701" i="7"/>
  <c r="H294" i="7"/>
  <c r="H256" i="7"/>
  <c r="H469" i="7"/>
  <c r="H565" i="7"/>
  <c r="H322" i="7"/>
  <c r="H64" i="7"/>
  <c r="H732" i="7"/>
  <c r="H862" i="7"/>
  <c r="H423" i="7"/>
  <c r="H661" i="7"/>
  <c r="H28" i="7"/>
  <c r="H992" i="7"/>
  <c r="H131" i="7"/>
  <c r="H900" i="7"/>
  <c r="H837" i="7"/>
  <c r="H479" i="7"/>
  <c r="H54" i="7"/>
  <c r="H833" i="7"/>
  <c r="H100" i="7"/>
  <c r="H227" i="7"/>
  <c r="H521" i="7"/>
  <c r="H645" i="7"/>
  <c r="H255" i="7"/>
  <c r="H173" i="7"/>
  <c r="H629" i="7"/>
  <c r="H476" i="7"/>
  <c r="H208" i="7"/>
  <c r="H575" i="7"/>
  <c r="H905" i="7"/>
  <c r="H919" i="7"/>
  <c r="H966" i="7"/>
  <c r="H231" i="7"/>
  <c r="H387" i="7"/>
  <c r="H630" i="7"/>
  <c r="H790" i="7"/>
  <c r="H139" i="7"/>
  <c r="H668" i="7"/>
  <c r="H146" i="7"/>
  <c r="H974" i="7"/>
  <c r="H83" i="7"/>
  <c r="H478" i="7"/>
  <c r="H736" i="7"/>
  <c r="H281" i="7"/>
  <c r="H429" i="7"/>
  <c r="H1032" i="7"/>
  <c r="H655" i="7"/>
  <c r="H373" i="7"/>
  <c r="H350" i="7"/>
  <c r="H611" i="7"/>
  <c r="H540" i="7"/>
  <c r="H336" i="7"/>
  <c r="H463" i="7"/>
  <c r="H564" i="7"/>
  <c r="H79" i="7"/>
  <c r="H956" i="7"/>
  <c r="H895" i="7"/>
  <c r="H328" i="7"/>
  <c r="H200" i="7"/>
  <c r="H401" i="7"/>
  <c r="H503" i="7"/>
  <c r="H923" i="7"/>
  <c r="H665" i="7"/>
  <c r="H796" i="7"/>
  <c r="H847" i="7"/>
  <c r="H747" i="7"/>
  <c r="H944" i="7"/>
  <c r="H882" i="7"/>
  <c r="H535" i="7"/>
  <c r="H931" i="7"/>
  <c r="H797" i="7"/>
  <c r="H452" i="7"/>
  <c r="H798" i="7"/>
  <c r="H1000" i="7"/>
  <c r="H694" i="7"/>
  <c r="H528" i="7"/>
  <c r="H327" i="7"/>
  <c r="H740" i="7"/>
  <c r="H709" i="7"/>
  <c r="H466" i="7"/>
  <c r="H640" i="7"/>
  <c r="H125" i="7"/>
  <c r="H180" i="7"/>
  <c r="H591" i="7"/>
  <c r="H869" i="7"/>
  <c r="H746" i="7"/>
  <c r="H1031" i="7"/>
  <c r="H400" i="7"/>
  <c r="H34" i="7"/>
  <c r="H841" i="7"/>
  <c r="H791" i="7"/>
  <c r="H491" i="7"/>
  <c r="H958" i="7"/>
  <c r="H345" i="7"/>
  <c r="H497" i="7"/>
  <c r="H25" i="7"/>
  <c r="H759" i="7"/>
  <c r="H239" i="7"/>
  <c r="H654" i="7"/>
  <c r="H531" i="7"/>
  <c r="H486" i="7"/>
  <c r="H850" i="7"/>
  <c r="H545" i="7"/>
  <c r="H36" i="7"/>
  <c r="H890" i="7"/>
  <c r="H994" i="7"/>
  <c r="H495" i="7"/>
  <c r="H116" i="7"/>
  <c r="H755" i="7"/>
  <c r="H804" i="7"/>
  <c r="H307" i="7"/>
  <c r="H560" i="7"/>
  <c r="H593" i="7"/>
  <c r="H304" i="7"/>
  <c r="H402" i="7"/>
  <c r="H912" i="7"/>
  <c r="H381" i="7"/>
  <c r="H658" i="7"/>
  <c r="H845" i="7"/>
  <c r="H48" i="7"/>
  <c r="H244" i="7"/>
  <c r="H615" i="7"/>
  <c r="H567" i="7"/>
  <c r="H731" i="7"/>
  <c r="H632" i="7"/>
  <c r="H601" i="7"/>
  <c r="H641" i="7"/>
  <c r="H831" i="7"/>
  <c r="H308" i="7"/>
  <c r="H498" i="7"/>
  <c r="H667" i="7"/>
  <c r="H637" i="7"/>
  <c r="H185" i="7"/>
  <c r="H590" i="7"/>
  <c r="H437" i="7"/>
  <c r="H635" i="7"/>
  <c r="H885" i="7"/>
  <c r="H848" i="7"/>
  <c r="H175" i="7"/>
  <c r="H492" i="7"/>
  <c r="H777" i="7"/>
  <c r="H680" i="7"/>
  <c r="H594" i="7"/>
  <c r="H60" i="7"/>
  <c r="H128" i="7"/>
  <c r="H867" i="7"/>
  <c r="H110" i="7"/>
  <c r="H179" i="7"/>
  <c r="H1017" i="7"/>
  <c r="H493" i="7"/>
  <c r="H306" i="7"/>
  <c r="H266" i="7"/>
  <c r="H303" i="7"/>
  <c r="H851" i="7"/>
  <c r="H152" i="7"/>
  <c r="H543" i="7"/>
  <c r="H562" i="7"/>
  <c r="H653" i="7"/>
  <c r="H178" i="7"/>
  <c r="H58" i="7"/>
  <c r="H842" i="7"/>
  <c r="H619" i="7"/>
  <c r="H726" i="7"/>
  <c r="H939" i="7"/>
  <c r="H825" i="7"/>
  <c r="H140" i="7"/>
  <c r="H279" i="7"/>
  <c r="H504" i="7"/>
  <c r="H320" i="7"/>
  <c r="H891" i="7"/>
  <c r="H38" i="7"/>
  <c r="H935" i="7"/>
  <c r="H509" i="7"/>
  <c r="H371" i="7"/>
  <c r="H977" i="7"/>
  <c r="H44" i="7"/>
  <c r="H730" i="7"/>
  <c r="H979" i="7"/>
  <c r="H534" i="7"/>
  <c r="H749" i="7"/>
  <c r="H76" i="7"/>
  <c r="H871" i="7"/>
  <c r="H319" i="7"/>
  <c r="H855" i="7"/>
  <c r="H324" i="7"/>
  <c r="H383" i="7"/>
  <c r="H45" i="7"/>
  <c r="H126" i="7"/>
  <c r="H246" i="7"/>
  <c r="H214" i="7"/>
  <c r="H219" i="7"/>
  <c r="H240" i="7"/>
  <c r="H372" i="7"/>
  <c r="H158" i="7"/>
  <c r="H348" i="7"/>
  <c r="H824" i="7"/>
  <c r="H32" i="7"/>
  <c r="H80" i="7"/>
  <c r="H993" i="7"/>
  <c r="H823" i="7"/>
  <c r="H229" i="7"/>
  <c r="H745" i="7"/>
  <c r="H354" i="7"/>
  <c r="H410" i="7"/>
  <c r="H856" i="7"/>
  <c r="H884" i="7"/>
  <c r="H693" i="7"/>
  <c r="H849" i="7"/>
  <c r="H426" i="7"/>
  <c r="H199" i="7"/>
  <c r="H417" i="7"/>
  <c r="H673" i="7"/>
  <c r="H685" i="7"/>
  <c r="H542" i="7"/>
  <c r="H1013" i="7"/>
  <c r="H932" i="7"/>
  <c r="H957" i="7"/>
  <c r="H193" i="7"/>
  <c r="H130" i="7"/>
  <c r="H901" i="7"/>
  <c r="H73" i="7"/>
  <c r="H600" i="7"/>
  <c r="H595" i="7"/>
  <c r="H973" i="7"/>
  <c r="H811" i="7"/>
  <c r="H985" i="7"/>
  <c r="H499" i="7"/>
  <c r="H438" i="7"/>
  <c r="H344" i="7"/>
  <c r="H925" i="7"/>
  <c r="H677" i="7"/>
  <c r="H62" i="7"/>
  <c r="H786" i="7"/>
  <c r="H881" i="7"/>
  <c r="H822" i="7"/>
  <c r="H458" i="7"/>
  <c r="H682" i="7"/>
  <c r="H211" i="7"/>
  <c r="H447" i="7"/>
  <c r="H742" i="7"/>
  <c r="H168" i="7"/>
  <c r="H33" i="7"/>
  <c r="H248" i="7"/>
  <c r="H827" i="7"/>
  <c r="H527" i="7"/>
  <c r="H233" i="7"/>
  <c r="H243" i="7"/>
  <c r="H468" i="7"/>
  <c r="H237" i="7"/>
  <c r="H263" i="7"/>
  <c r="H147" i="7"/>
  <c r="H507" i="7"/>
  <c r="H341" i="7"/>
  <c r="H738" i="7"/>
  <c r="H547" i="7"/>
  <c r="H13" i="7"/>
  <c r="H568" i="7"/>
  <c r="H754" i="7"/>
  <c r="H329" i="7"/>
  <c r="H760" i="7"/>
  <c r="H886" i="7"/>
  <c r="H530" i="7"/>
  <c r="H943" i="7"/>
  <c r="H342" i="7"/>
  <c r="H261" i="7"/>
  <c r="H638" i="7"/>
  <c r="H143" i="7"/>
  <c r="H574" i="7"/>
  <c r="H87" i="7"/>
  <c r="H1003" i="7"/>
  <c r="H914" i="7"/>
  <c r="H496" i="7"/>
  <c r="H482" i="7"/>
  <c r="H782" i="7"/>
  <c r="H557" i="7"/>
  <c r="H20" i="7"/>
  <c r="H515" i="7"/>
  <c r="H608" i="7"/>
  <c r="H821" i="7"/>
  <c r="H873" i="7"/>
  <c r="H298" i="7"/>
  <c r="H425" i="7"/>
  <c r="H448" i="7"/>
  <c r="H620" i="7"/>
  <c r="H664" i="7"/>
  <c r="H744" i="7"/>
  <c r="H212" i="7"/>
  <c r="H1016" i="7"/>
  <c r="H105" i="7"/>
  <c r="H196" i="7"/>
  <c r="H297" i="7"/>
  <c r="H1010" i="7"/>
  <c r="H929" i="7"/>
  <c r="H1014" i="7"/>
  <c r="H1022" i="7"/>
  <c r="H795" i="7"/>
  <c r="H299" i="7"/>
  <c r="H830" i="7"/>
  <c r="H375" i="7"/>
  <c r="H953" i="7"/>
  <c r="H512" i="7"/>
  <c r="H743" i="7"/>
  <c r="H569" i="7"/>
  <c r="H461" i="7"/>
  <c r="H844" i="7"/>
  <c r="H789" i="7"/>
  <c r="H986" i="7"/>
  <c r="H358" i="7"/>
  <c r="H728" i="7"/>
  <c r="H114" i="7"/>
  <c r="H194" i="7"/>
  <c r="H395" i="7"/>
  <c r="H343" i="7"/>
  <c r="H287" i="7"/>
  <c r="H236" i="7"/>
  <c r="H1018" i="7"/>
  <c r="H280" i="7"/>
  <c r="H288" i="7"/>
  <c r="H1011" i="7"/>
  <c r="H936" i="7"/>
  <c r="H213" i="7"/>
  <c r="H84" i="7"/>
  <c r="H636" i="7"/>
  <c r="H72" i="7"/>
  <c r="H835" i="7"/>
  <c r="H420" i="7"/>
  <c r="H474" i="7"/>
  <c r="H292" i="7"/>
  <c r="H686" i="7"/>
  <c r="H539" i="7"/>
  <c r="H101" i="7"/>
  <c r="H513" i="7"/>
  <c r="H422" i="7"/>
  <c r="H142" i="7"/>
  <c r="H846" i="7"/>
  <c r="H959" i="7"/>
  <c r="H480" i="7"/>
  <c r="H394" i="7"/>
  <c r="H984" i="7"/>
  <c r="H788" i="7"/>
  <c r="H136" i="7"/>
  <c r="H794" i="7"/>
  <c r="H769" i="7"/>
  <c r="H519" i="7"/>
  <c r="H843" i="7"/>
  <c r="H962" i="7"/>
  <c r="H836" i="7"/>
  <c r="H524" i="7"/>
  <c r="H674" i="7"/>
  <c r="H868" i="7"/>
  <c r="H81" i="7"/>
  <c r="H589" i="7"/>
  <c r="H927" i="7"/>
  <c r="H456" i="7"/>
  <c r="H430" i="7"/>
  <c r="H198" i="7"/>
  <c r="H561" i="7"/>
  <c r="H967" i="7"/>
  <c r="H1027" i="7"/>
  <c r="H160" i="7"/>
  <c r="H982" i="7"/>
  <c r="H206" i="7"/>
  <c r="H477" i="7"/>
  <c r="H711" i="7"/>
  <c r="H391" i="7"/>
  <c r="H1023" i="7"/>
  <c r="H269" i="7"/>
  <c r="H386" i="7"/>
  <c r="H660" i="7"/>
  <c r="H839" i="7"/>
  <c r="H265" i="7"/>
  <c r="H546" i="7"/>
  <c r="H90" i="7"/>
  <c r="H305" i="7"/>
  <c r="H365" i="7"/>
  <c r="H918" i="7"/>
  <c r="H909" i="7"/>
  <c r="H340" i="7"/>
  <c r="H65" i="7"/>
  <c r="H252" i="7"/>
  <c r="H357" i="7"/>
  <c r="H85" i="7"/>
  <c r="H774" i="7"/>
  <c r="H947" i="7"/>
  <c r="H781" i="7"/>
  <c r="H218" i="7"/>
  <c r="H872" i="7"/>
  <c r="H408" i="7"/>
  <c r="H144" i="7"/>
  <c r="H579" i="7"/>
  <c r="H618" i="7"/>
  <c r="H911" i="7"/>
  <c r="H915" i="7"/>
  <c r="H698" i="7"/>
  <c r="H553" i="7"/>
  <c r="H316" i="7"/>
  <c r="H428" i="7"/>
  <c r="H975" i="7"/>
  <c r="H397" i="7"/>
  <c r="H695" i="7"/>
  <c r="H784" i="7"/>
  <c r="H683" i="7"/>
  <c r="H858" i="7"/>
  <c r="H444" i="7"/>
  <c r="H59" i="7"/>
  <c r="H739" i="7"/>
  <c r="H832" i="7"/>
  <c r="H916" i="7"/>
  <c r="H268" i="7"/>
  <c r="H21" i="7"/>
  <c r="H998" i="7"/>
  <c r="H894" i="7"/>
  <c r="H532" i="7"/>
  <c r="H385" i="7"/>
  <c r="H414" i="7"/>
  <c r="H451" i="7"/>
  <c r="H670" i="7"/>
  <c r="H122" i="7"/>
  <c r="H203" i="7"/>
  <c r="H864" i="7"/>
  <c r="H907" i="7"/>
  <c r="H254" i="7"/>
  <c r="H710" i="7"/>
  <c r="H500" i="7"/>
  <c r="H366" i="7"/>
  <c r="H903" i="7"/>
  <c r="H52" i="7"/>
  <c r="H729" i="7"/>
  <c r="H424" i="7"/>
  <c r="H302" i="7"/>
  <c r="H92" i="7"/>
  <c r="H192" i="7"/>
  <c r="H578" i="7"/>
  <c r="H1009" i="7"/>
  <c r="H612" i="7"/>
  <c r="H40" i="7"/>
  <c r="H597" i="7"/>
  <c r="H892" i="7"/>
  <c r="H63" i="7"/>
  <c r="H121" i="7"/>
  <c r="H758" i="7"/>
  <c r="H995" i="7"/>
  <c r="H141" i="7"/>
  <c r="H662" i="7"/>
  <c r="H1019" i="7"/>
  <c r="H631" i="7"/>
  <c r="H242" i="7"/>
  <c r="H753" i="7"/>
  <c r="H149" i="7"/>
  <c r="H783" i="7"/>
  <c r="H47" i="7"/>
  <c r="H159" i="7"/>
  <c r="H355" i="7"/>
  <c r="H996" i="7"/>
  <c r="H765" i="7"/>
  <c r="H552" i="7"/>
  <c r="H651" i="7"/>
  <c r="H379" i="7"/>
  <c r="H938" i="7"/>
  <c r="H124" i="7"/>
  <c r="H942" i="7"/>
  <c r="H293" i="7"/>
  <c r="H799" i="7"/>
  <c r="H1030" i="7"/>
  <c r="H712" i="7"/>
  <c r="H896" i="7"/>
  <c r="H691" i="7"/>
  <c r="H610" i="7"/>
  <c r="H109" i="7"/>
  <c r="H607" i="7"/>
  <c r="H30" i="7"/>
  <c r="H137" i="7"/>
  <c r="H156" i="7"/>
  <c r="H592" i="7"/>
  <c r="H663" i="7"/>
  <c r="H741" i="7"/>
  <c r="H209" i="7"/>
  <c r="H737" i="7"/>
  <c r="H435" i="7"/>
  <c r="H537" i="7"/>
  <c r="H727" i="7"/>
  <c r="H555" i="7"/>
  <c r="H559" i="7"/>
  <c r="H120" i="7"/>
  <c r="H95" i="7"/>
  <c r="H505" i="7"/>
  <c r="H764" i="7"/>
  <c r="H1001" i="7"/>
  <c r="H922" i="7"/>
  <c r="H625" i="7"/>
  <c r="H523" i="7"/>
  <c r="H170" i="7"/>
  <c r="H810" i="7"/>
  <c r="H113" i="7"/>
  <c r="H347" i="7"/>
  <c r="H183" i="7"/>
  <c r="H806" i="7"/>
  <c r="H606" i="7"/>
  <c r="H362" i="7"/>
  <c r="H838" i="7"/>
  <c r="H572" i="7"/>
  <c r="H301" i="7"/>
  <c r="H657" i="7"/>
  <c r="H339" i="7"/>
  <c r="H374" i="7"/>
  <c r="H467" i="7"/>
  <c r="H538" i="7"/>
  <c r="H97" i="7"/>
  <c r="H734" i="7"/>
  <c r="H481" i="7"/>
  <c r="H434" i="7"/>
  <c r="H976" i="7"/>
  <c r="H602" i="7"/>
  <c r="H893" i="7"/>
  <c r="H177" i="7"/>
  <c r="H471" i="7"/>
  <c r="H172" i="7"/>
  <c r="BD93" i="64"/>
  <c r="H853" i="7"/>
  <c r="H384" i="7"/>
  <c r="H29" i="7"/>
  <c r="BE88" i="64"/>
  <c r="BD88" i="64"/>
  <c r="BE50" i="1"/>
  <c r="BF50" i="1"/>
  <c r="BE123" i="61"/>
  <c r="BD119" i="47"/>
  <c r="BE119" i="47"/>
  <c r="AV66" i="61"/>
  <c r="AW66" i="61"/>
  <c r="AW42" i="61"/>
  <c r="BE114" i="60"/>
  <c r="C436" i="2"/>
  <c r="H174" i="7"/>
  <c r="H145" i="7"/>
  <c r="H520" i="7"/>
  <c r="H310" i="7"/>
  <c r="H286" i="7"/>
  <c r="H382" i="7"/>
  <c r="BE75" i="1"/>
  <c r="BF75" i="1"/>
  <c r="BF37" i="68"/>
  <c r="BE37" i="68"/>
  <c r="BE33" i="66"/>
  <c r="BF33" i="66"/>
  <c r="BE92" i="64"/>
  <c r="BD123" i="61"/>
  <c r="BE79" i="81"/>
  <c r="BF79" i="81"/>
  <c r="BF43" i="81"/>
  <c r="BE43" i="81"/>
  <c r="BE54" i="66"/>
  <c r="BF95" i="73"/>
  <c r="G326" i="2"/>
  <c r="H326" i="2"/>
  <c r="BA67" i="70"/>
  <c r="BB67" i="70"/>
  <c r="H245" i="7"/>
  <c r="H1006" i="7"/>
  <c r="H946" i="7"/>
  <c r="H910" i="7"/>
  <c r="H573" i="7"/>
  <c r="H393" i="7"/>
  <c r="H751" i="7"/>
  <c r="H814" i="7"/>
  <c r="H807" i="7"/>
  <c r="H970" i="7"/>
  <c r="H772" i="7"/>
  <c r="H289" i="7"/>
  <c r="H550" i="7"/>
  <c r="H164" i="7"/>
  <c r="H91" i="7"/>
  <c r="H285" i="7"/>
  <c r="H671" i="7"/>
  <c r="H332" i="7"/>
  <c r="H207" i="7"/>
  <c r="H757" i="7"/>
  <c r="H860" i="7"/>
  <c r="H816" i="7"/>
  <c r="BE89" i="61"/>
  <c r="BD89" i="61"/>
  <c r="AW26" i="1"/>
  <c r="BD77" i="61"/>
  <c r="AV46" i="68"/>
  <c r="H169" i="7"/>
  <c r="H409" i="7"/>
  <c r="H433" i="7"/>
  <c r="H253" i="7"/>
  <c r="H1033" i="7"/>
  <c r="H441" i="7"/>
  <c r="AW71" i="47"/>
  <c r="BE33" i="68"/>
  <c r="BE24" i="69"/>
  <c r="H323" i="7"/>
  <c r="H103" i="7"/>
  <c r="H554" i="7"/>
  <c r="H517" i="7"/>
  <c r="H459" i="7"/>
  <c r="H878" i="7"/>
  <c r="H399" i="7"/>
  <c r="H82" i="7"/>
  <c r="H14" i="7"/>
  <c r="H877" i="7"/>
  <c r="H104" i="7"/>
  <c r="H251" i="7"/>
  <c r="H690" i="7"/>
  <c r="H167" i="7"/>
  <c r="H516" i="7"/>
  <c r="H22" i="7"/>
  <c r="H733" i="7"/>
  <c r="H443" i="7"/>
  <c r="H215" i="7"/>
  <c r="H808" i="7"/>
  <c r="H432" i="7"/>
  <c r="BE57" i="81"/>
  <c r="BA53" i="75"/>
  <c r="BJ54" i="1"/>
  <c r="BJ79" i="70"/>
  <c r="BJ54" i="71"/>
  <c r="BC112" i="47"/>
  <c r="BC112" i="64"/>
  <c r="BC112" i="61"/>
  <c r="BE112" i="61"/>
  <c r="K339" i="2"/>
  <c r="BD93" i="66"/>
  <c r="BE93" i="66"/>
  <c r="BC115" i="64"/>
  <c r="BC115" i="61"/>
  <c r="K337" i="2"/>
  <c r="E337" i="2"/>
  <c r="AV38" i="82"/>
  <c r="AW38" i="82"/>
  <c r="AW36" i="82"/>
  <c r="AV59" i="47"/>
  <c r="AW14" i="82"/>
  <c r="AV14" i="82"/>
  <c r="BF80" i="81"/>
  <c r="BE100" i="61"/>
  <c r="BD100" i="61"/>
  <c r="AV42" i="69"/>
  <c r="BA42" i="69"/>
  <c r="BB42" i="69"/>
  <c r="BE106" i="61"/>
  <c r="BE28" i="82"/>
  <c r="BE106" i="64"/>
  <c r="AV36" i="82"/>
  <c r="BE59" i="1"/>
  <c r="BF59" i="1"/>
  <c r="AW42" i="77"/>
  <c r="AV42" i="77"/>
  <c r="AV65" i="74"/>
  <c r="BE93" i="73"/>
  <c r="BF93" i="73"/>
  <c r="AV33" i="77"/>
  <c r="D227" i="2"/>
  <c r="AU77" i="64"/>
  <c r="AU26" i="70"/>
  <c r="AV26" i="70"/>
  <c r="L227" i="2"/>
  <c r="K227" i="2"/>
  <c r="AU26" i="74"/>
  <c r="AU21" i="66"/>
  <c r="AU26" i="73"/>
  <c r="AV26" i="73"/>
  <c r="AU26" i="67"/>
  <c r="AU21" i="71"/>
  <c r="E227" i="2"/>
  <c r="K231" i="2"/>
  <c r="BD39" i="74"/>
  <c r="BD31" i="66"/>
  <c r="AU84" i="64"/>
  <c r="AU84" i="60"/>
  <c r="AW84" i="60"/>
  <c r="L231" i="2"/>
  <c r="BD31" i="71"/>
  <c r="BD39" i="67"/>
  <c r="BF39" i="67"/>
  <c r="E231" i="2"/>
  <c r="BD39" i="70"/>
  <c r="BD39" i="1"/>
  <c r="C231" i="2"/>
  <c r="E236" i="2"/>
  <c r="AU29" i="74"/>
  <c r="AU25" i="81"/>
  <c r="C236" i="2"/>
  <c r="AU29" i="73"/>
  <c r="K236" i="2"/>
  <c r="AU29" i="67"/>
  <c r="D236" i="2"/>
  <c r="AU29" i="1"/>
  <c r="AW29" i="1"/>
  <c r="AU35" i="78"/>
  <c r="AU29" i="70"/>
  <c r="L236" i="2"/>
  <c r="AU33" i="73"/>
  <c r="AW33" i="73"/>
  <c r="AU25" i="69"/>
  <c r="AV25" i="69"/>
  <c r="AU33" i="70"/>
  <c r="AU33" i="74"/>
  <c r="AW33" i="74"/>
  <c r="AU33" i="1"/>
  <c r="AU89" i="60"/>
  <c r="AU32" i="80"/>
  <c r="AU25" i="68"/>
  <c r="AV25" i="68"/>
  <c r="D240" i="2"/>
  <c r="AU27" i="66"/>
  <c r="E240" i="2"/>
  <c r="AU89" i="64"/>
  <c r="AU25" i="76"/>
  <c r="AU23" i="82"/>
  <c r="AU29" i="81"/>
  <c r="AU16" i="77"/>
  <c r="AW16" i="77"/>
  <c r="AU25" i="75"/>
  <c r="AW25" i="75"/>
  <c r="D243" i="2"/>
  <c r="AU36" i="70"/>
  <c r="AU28" i="69"/>
  <c r="AU42" i="78"/>
  <c r="AU28" i="76"/>
  <c r="AW28" i="76"/>
  <c r="AU36" i="73"/>
  <c r="AV36" i="73"/>
  <c r="AU36" i="67"/>
  <c r="K243" i="2"/>
  <c r="AU28" i="75"/>
  <c r="AW28" i="75"/>
  <c r="AU30" i="71"/>
  <c r="AV30" i="71"/>
  <c r="AU28" i="68"/>
  <c r="AU30" i="66"/>
  <c r="AV30" i="66"/>
  <c r="C243" i="2"/>
  <c r="AU92" i="60"/>
  <c r="AU26" i="82"/>
  <c r="AV26" i="82"/>
  <c r="AU35" i="80"/>
  <c r="AV35" i="80"/>
  <c r="L243" i="2"/>
  <c r="AU36" i="1"/>
  <c r="C247" i="2"/>
  <c r="BD47" i="73"/>
  <c r="BF47" i="73"/>
  <c r="BD47" i="67"/>
  <c r="E247" i="2"/>
  <c r="BD47" i="70"/>
  <c r="BD47" i="1"/>
  <c r="BE47" i="1"/>
  <c r="L247" i="2"/>
  <c r="BD37" i="71"/>
  <c r="BD60" i="78"/>
  <c r="BJ60" i="78"/>
  <c r="BD47" i="74"/>
  <c r="BF47" i="74"/>
  <c r="K247" i="2"/>
  <c r="BD37" i="66"/>
  <c r="BJ37" i="66"/>
  <c r="D247" i="2"/>
  <c r="BD40" i="81"/>
  <c r="BF40" i="81"/>
  <c r="BD51" i="70"/>
  <c r="BE51" i="70"/>
  <c r="BD23" i="77"/>
  <c r="BF23" i="77"/>
  <c r="BD51" i="67"/>
  <c r="BD38" i="68"/>
  <c r="BE38" i="68"/>
  <c r="BD37" i="75"/>
  <c r="BE37" i="75"/>
  <c r="BD64" i="78"/>
  <c r="BF64" i="78"/>
  <c r="BD34" i="82"/>
  <c r="BE34" i="82"/>
  <c r="BD51" i="73"/>
  <c r="BD44" i="81"/>
  <c r="D251" i="2"/>
  <c r="BD41" i="76"/>
  <c r="BE41" i="76"/>
  <c r="BD55" i="70"/>
  <c r="BF55" i="70"/>
  <c r="BD41" i="69"/>
  <c r="BE41" i="69"/>
  <c r="BD27" i="77"/>
  <c r="BD45" i="71"/>
  <c r="BE45" i="71"/>
  <c r="BD41" i="75"/>
  <c r="BE41" i="75"/>
  <c r="BD42" i="68"/>
  <c r="BD55" i="74"/>
  <c r="BD55" i="67"/>
  <c r="BD68" i="78"/>
  <c r="D255" i="2"/>
  <c r="BD55" i="73"/>
  <c r="BE55" i="73"/>
  <c r="BD48" i="81"/>
  <c r="BD55" i="1"/>
  <c r="BE55" i="1"/>
  <c r="C255" i="2"/>
  <c r="BD45" i="66"/>
  <c r="BD56" i="80"/>
  <c r="BE56" i="80"/>
  <c r="E255" i="2"/>
  <c r="D259" i="2"/>
  <c r="E259" i="2"/>
  <c r="C259" i="2"/>
  <c r="L259" i="2"/>
  <c r="BD59" i="73"/>
  <c r="BD45" i="69"/>
  <c r="AU43" i="47"/>
  <c r="BD59" i="74"/>
  <c r="BF59" i="74"/>
  <c r="BD59" i="67"/>
  <c r="AU43" i="61"/>
  <c r="BD45" i="76"/>
  <c r="BF45" i="76"/>
  <c r="BD49" i="71"/>
  <c r="BD46" i="68"/>
  <c r="BD45" i="75"/>
  <c r="AU43" i="64"/>
  <c r="BD59" i="70"/>
  <c r="BD42" i="82"/>
  <c r="BD49" i="66"/>
  <c r="BD52" i="81"/>
  <c r="BF52" i="81"/>
  <c r="AU41" i="73"/>
  <c r="AW41" i="73"/>
  <c r="D264" i="2"/>
  <c r="AU35" i="71"/>
  <c r="AU48" i="61"/>
  <c r="AU47" i="78"/>
  <c r="AV47" i="78"/>
  <c r="AU33" i="76"/>
  <c r="AU48" i="64"/>
  <c r="AU41" i="67"/>
  <c r="AW41" i="67"/>
  <c r="K264" i="2"/>
  <c r="AU33" i="69"/>
  <c r="AU40" i="80"/>
  <c r="C264" i="2"/>
  <c r="AU31" i="82"/>
  <c r="AW31" i="82"/>
  <c r="AU48" i="47"/>
  <c r="BD49" i="76"/>
  <c r="BD63" i="73"/>
  <c r="BD50" i="68"/>
  <c r="BE50" i="68"/>
  <c r="BD63" i="74"/>
  <c r="BD63" i="67"/>
  <c r="BF63" i="67"/>
  <c r="AU52" i="64"/>
  <c r="C268" i="2"/>
  <c r="BD76" i="78"/>
  <c r="BD63" i="70"/>
  <c r="BF63" i="70"/>
  <c r="BD53" i="66"/>
  <c r="AU52" i="60"/>
  <c r="BD33" i="77"/>
  <c r="BD53" i="71"/>
  <c r="L268" i="2"/>
  <c r="BD56" i="81"/>
  <c r="BE56" i="81"/>
  <c r="BD49" i="75"/>
  <c r="E268" i="2"/>
  <c r="BD46" i="82"/>
  <c r="BE46" i="82"/>
  <c r="BD49" i="69"/>
  <c r="BE49" i="69"/>
  <c r="D268" i="2"/>
  <c r="K268" i="2"/>
  <c r="BD64" i="80"/>
  <c r="AU52" i="61"/>
  <c r="BD52" i="75"/>
  <c r="BD49" i="82"/>
  <c r="BD56" i="71"/>
  <c r="BE56" i="71"/>
  <c r="AU55" i="47"/>
  <c r="AV55" i="47"/>
  <c r="BD36" i="77"/>
  <c r="BE36" i="77"/>
  <c r="BD56" i="66"/>
  <c r="AU55" i="64"/>
  <c r="AV55" i="64"/>
  <c r="BD67" i="80"/>
  <c r="BD52" i="69"/>
  <c r="K271" i="2"/>
  <c r="BD66" i="70"/>
  <c r="BD66" i="74"/>
  <c r="BF66" i="74"/>
  <c r="BD53" i="68"/>
  <c r="BE53" i="68"/>
  <c r="C271" i="2"/>
  <c r="BD59" i="81"/>
  <c r="BF59" i="81"/>
  <c r="BD52" i="76"/>
  <c r="BD66" i="1"/>
  <c r="BF66" i="1"/>
  <c r="AU55" i="60"/>
  <c r="BD66" i="67"/>
  <c r="E271" i="2"/>
  <c r="BD66" i="73"/>
  <c r="AU59" i="64"/>
  <c r="D275" i="2"/>
  <c r="E275" i="2"/>
  <c r="L275" i="2"/>
  <c r="BD83" i="78"/>
  <c r="BE83" i="78"/>
  <c r="BD70" i="70"/>
  <c r="BE70" i="70"/>
  <c r="BD56" i="75"/>
  <c r="BF56" i="75"/>
  <c r="BD56" i="76"/>
  <c r="BD70" i="1"/>
  <c r="BD57" i="68"/>
  <c r="BE57" i="68"/>
  <c r="AU59" i="60"/>
  <c r="K275" i="2"/>
  <c r="BD53" i="82"/>
  <c r="AU59" i="61"/>
  <c r="BD56" i="69"/>
  <c r="BE56" i="69"/>
  <c r="G280" i="2"/>
  <c r="H280" i="2"/>
  <c r="BD75" i="67"/>
  <c r="L280" i="2"/>
  <c r="BD75" i="74"/>
  <c r="BJ75" i="74"/>
  <c r="E280" i="2"/>
  <c r="AU47" i="73"/>
  <c r="D280" i="2"/>
  <c r="AU47" i="74"/>
  <c r="AW47" i="74"/>
  <c r="AU39" i="69"/>
  <c r="AV39" i="69"/>
  <c r="AU64" i="47"/>
  <c r="AU39" i="76"/>
  <c r="BA39" i="76"/>
  <c r="AU64" i="64"/>
  <c r="AW64" i="64"/>
  <c r="AU40" i="71"/>
  <c r="AV40" i="71"/>
  <c r="AU64" i="61"/>
  <c r="AV64" i="61"/>
  <c r="AU47" i="70"/>
  <c r="BA47" i="70"/>
  <c r="AU64" i="60"/>
  <c r="AZ64" i="60"/>
  <c r="BA64" i="60"/>
  <c r="BD63" i="71"/>
  <c r="BE63" i="71"/>
  <c r="BD75" i="70"/>
  <c r="BE75" i="70"/>
  <c r="BD75" i="73"/>
  <c r="BJ75" i="73"/>
  <c r="BD61" i="76"/>
  <c r="BE61" i="76"/>
  <c r="AU39" i="68"/>
  <c r="AU27" i="77"/>
  <c r="AW27" i="77"/>
  <c r="BD63" i="66"/>
  <c r="BE63" i="66"/>
  <c r="AU47" i="1"/>
  <c r="AV47" i="1"/>
  <c r="BD61" i="69"/>
  <c r="BE61" i="69"/>
  <c r="C280" i="2"/>
  <c r="D284" i="2"/>
  <c r="AU68" i="61"/>
  <c r="C284" i="2"/>
  <c r="K284" i="2"/>
  <c r="AU68" i="47"/>
  <c r="AW68" i="47"/>
  <c r="AU68" i="64"/>
  <c r="E284" i="2"/>
  <c r="AU44" i="66"/>
  <c r="AU52" i="74"/>
  <c r="C289" i="2"/>
  <c r="BC65" i="61"/>
  <c r="AU42" i="68"/>
  <c r="AW42" i="68"/>
  <c r="AU52" i="70"/>
  <c r="AV52" i="70"/>
  <c r="BC65" i="60"/>
  <c r="BD65" i="60"/>
  <c r="E289" i="2"/>
  <c r="AU42" i="75"/>
  <c r="AV42" i="75"/>
  <c r="L289" i="2"/>
  <c r="AU44" i="71"/>
  <c r="BC65" i="64"/>
  <c r="AU52" i="73"/>
  <c r="K289" i="2"/>
  <c r="AU42" i="76"/>
  <c r="BA42" i="76"/>
  <c r="AW46" i="81"/>
  <c r="G289" i="2"/>
  <c r="H289" i="2"/>
  <c r="BF57" i="67"/>
  <c r="BE57" i="67"/>
  <c r="BE96" i="60"/>
  <c r="BD96" i="60"/>
  <c r="BE81" i="64"/>
  <c r="BD81" i="64"/>
  <c r="BH20" i="64"/>
  <c r="BI20" i="64"/>
  <c r="BD20" i="64"/>
  <c r="BH56" i="47"/>
  <c r="BI56" i="47"/>
  <c r="BD56" i="47"/>
  <c r="AV89" i="47"/>
  <c r="AW89" i="47"/>
  <c r="AZ89" i="47"/>
  <c r="BA89" i="47"/>
  <c r="BE69" i="81"/>
  <c r="BF100" i="1"/>
  <c r="BE100" i="1"/>
  <c r="AV8" i="38"/>
  <c r="AW8" i="38"/>
  <c r="BE63" i="61"/>
  <c r="BH63" i="61"/>
  <c r="BI63" i="61"/>
  <c r="BD63" i="61"/>
  <c r="BE91" i="68"/>
  <c r="BE50" i="67"/>
  <c r="BF50" i="67"/>
  <c r="BF99" i="1"/>
  <c r="BE99" i="1"/>
  <c r="BE83" i="71"/>
  <c r="BF83" i="71"/>
  <c r="AV18" i="60"/>
  <c r="AW18" i="60"/>
  <c r="AU71" i="74"/>
  <c r="AU57" i="69"/>
  <c r="AW57" i="69"/>
  <c r="AU61" i="66"/>
  <c r="AV61" i="66"/>
  <c r="D349" i="2"/>
  <c r="L349" i="2"/>
  <c r="C349" i="2"/>
  <c r="AW71" i="70"/>
  <c r="BE112" i="73"/>
  <c r="BD80" i="1"/>
  <c r="BC68" i="64"/>
  <c r="BE68" i="64"/>
  <c r="BC68" i="60"/>
  <c r="BE68" i="60"/>
  <c r="BC68" i="61"/>
  <c r="L292" i="2"/>
  <c r="BC74" i="64"/>
  <c r="L298" i="2"/>
  <c r="D298" i="2"/>
  <c r="K298" i="2"/>
  <c r="E301" i="2"/>
  <c r="AU58" i="67"/>
  <c r="AU31" i="77"/>
  <c r="AW31" i="77"/>
  <c r="AU46" i="69"/>
  <c r="AV46" i="69"/>
  <c r="D305" i="2"/>
  <c r="K305" i="2"/>
  <c r="BD85" i="73"/>
  <c r="BF85" i="73"/>
  <c r="BC81" i="47"/>
  <c r="BD85" i="70"/>
  <c r="BD67" i="76"/>
  <c r="BD73" i="71"/>
  <c r="BD73" i="66"/>
  <c r="BD67" i="75"/>
  <c r="BF67" i="75"/>
  <c r="BD89" i="70"/>
  <c r="BE89" i="70"/>
  <c r="BD67" i="69"/>
  <c r="K313" i="2"/>
  <c r="BC89" i="60"/>
  <c r="BD71" i="75"/>
  <c r="BE71" i="75"/>
  <c r="BD77" i="71"/>
  <c r="BD71" i="69"/>
  <c r="L313" i="2"/>
  <c r="C313" i="2"/>
  <c r="BD46" i="77"/>
  <c r="BF46" i="77"/>
  <c r="BD93" i="70"/>
  <c r="BD77" i="66"/>
  <c r="BC93" i="47"/>
  <c r="BH93" i="47"/>
  <c r="BI93" i="47"/>
  <c r="C317" i="2"/>
  <c r="E317" i="2"/>
  <c r="BD97" i="73"/>
  <c r="BD76" i="68"/>
  <c r="BJ76" i="68"/>
  <c r="BD97" i="67"/>
  <c r="BJ97" i="67"/>
  <c r="B219" i="2"/>
  <c r="L219" i="2"/>
  <c r="BF104" i="69"/>
  <c r="BF133" i="70"/>
  <c r="AZ73" i="77"/>
  <c r="AZ72" i="77"/>
  <c r="BE53" i="77"/>
  <c r="BF53" i="77"/>
  <c r="BE32" i="77"/>
  <c r="BE26" i="77"/>
  <c r="BF22" i="77"/>
  <c r="BF45" i="77"/>
  <c r="AV18" i="77"/>
  <c r="BA18" i="77"/>
  <c r="BF61" i="77"/>
  <c r="BH9" i="82"/>
  <c r="BH6" i="82"/>
  <c r="BH7" i="82"/>
  <c r="BH5" i="82"/>
  <c r="BE58" i="82"/>
  <c r="BH58" i="82"/>
  <c r="BJ57" i="82"/>
  <c r="BK57" i="82"/>
  <c r="BE29" i="82"/>
  <c r="BF58" i="82"/>
  <c r="AW22" i="82"/>
  <c r="BH45" i="82"/>
  <c r="BH31" i="82"/>
  <c r="BH37" i="82"/>
  <c r="BF62" i="82"/>
  <c r="AW21" i="82"/>
  <c r="BF40" i="82"/>
  <c r="AV25" i="82"/>
  <c r="BE44" i="82"/>
  <c r="BE57" i="82"/>
  <c r="AV30" i="82"/>
  <c r="BH63" i="82"/>
  <c r="AW34" i="82"/>
  <c r="AV39" i="82"/>
  <c r="BE59" i="82"/>
  <c r="AW25" i="82"/>
  <c r="BH56" i="82"/>
  <c r="BH60" i="82"/>
  <c r="AV36" i="81"/>
  <c r="BH68" i="81"/>
  <c r="BJ57" i="81"/>
  <c r="BH50" i="81"/>
  <c r="BI50" i="81"/>
  <c r="AS257" i="2"/>
  <c r="BJ69" i="81"/>
  <c r="BK69" i="81"/>
  <c r="BE76" i="81"/>
  <c r="BE80" i="81"/>
  <c r="BE65" i="81"/>
  <c r="BE75" i="81"/>
  <c r="BE38" i="81"/>
  <c r="BE77" i="81"/>
  <c r="BH40" i="81"/>
  <c r="BI40" i="81"/>
  <c r="AS247" i="2"/>
  <c r="AV28" i="81"/>
  <c r="AV31" i="81"/>
  <c r="BH43" i="81"/>
  <c r="BI43" i="81"/>
  <c r="AS250" i="2"/>
  <c r="BH65" i="78"/>
  <c r="BI65" i="78"/>
  <c r="AO252" i="2"/>
  <c r="BH66" i="78"/>
  <c r="BH81" i="80"/>
  <c r="BH73" i="80"/>
  <c r="BI73" i="80"/>
  <c r="AQ309" i="2"/>
  <c r="BH63" i="80"/>
  <c r="BI63" i="80"/>
  <c r="AQ267" i="2"/>
  <c r="BH51" i="80"/>
  <c r="BI51" i="80"/>
  <c r="AQ250" i="2"/>
  <c r="BH47" i="80"/>
  <c r="BF77" i="80"/>
  <c r="AW39" i="80"/>
  <c r="BE59" i="80"/>
  <c r="BJ75" i="80"/>
  <c r="BH94" i="78"/>
  <c r="BH88" i="78"/>
  <c r="BH92" i="78"/>
  <c r="BJ87" i="78"/>
  <c r="BF97" i="78"/>
  <c r="BE99" i="78"/>
  <c r="BE85" i="78"/>
  <c r="BE89" i="78"/>
  <c r="BE97" i="78"/>
  <c r="BF89" i="78"/>
  <c r="BE87" i="78"/>
  <c r="AW46" i="78"/>
  <c r="BE67" i="78"/>
  <c r="BF67" i="78"/>
  <c r="BF93" i="78"/>
  <c r="BE45" i="78"/>
  <c r="BH38" i="75"/>
  <c r="AZ114" i="75"/>
  <c r="AZ115" i="75"/>
  <c r="BH40" i="75"/>
  <c r="BE90" i="75"/>
  <c r="BF31" i="75"/>
  <c r="U79" i="75"/>
  <c r="AG80" i="75"/>
  <c r="BE50" i="75"/>
  <c r="BF54" i="75"/>
  <c r="BJ50" i="75"/>
  <c r="BF94" i="75"/>
  <c r="AW19" i="75"/>
  <c r="Q79" i="75"/>
  <c r="O79" i="75"/>
  <c r="AC79" i="75"/>
  <c r="BE48" i="75"/>
  <c r="BJ31" i="75"/>
  <c r="S79" i="75"/>
  <c r="AW59" i="75"/>
  <c r="BE74" i="75"/>
  <c r="BE36" i="75"/>
  <c r="BE25" i="75"/>
  <c r="BF39" i="75"/>
  <c r="AW27" i="75"/>
  <c r="AW44" i="75"/>
  <c r="BE64" i="74"/>
  <c r="BA67" i="74"/>
  <c r="BJ64" i="74"/>
  <c r="O80" i="74"/>
  <c r="U80" i="74"/>
  <c r="S79" i="74"/>
  <c r="AW35" i="74"/>
  <c r="Q80" i="74"/>
  <c r="BF38" i="74"/>
  <c r="AW57" i="74"/>
  <c r="BF121" i="74"/>
  <c r="AE79" i="74"/>
  <c r="BF50" i="74"/>
  <c r="BA35" i="74"/>
  <c r="BB35" i="74"/>
  <c r="BJ97" i="74"/>
  <c r="BE25" i="74"/>
  <c r="AI80" i="74"/>
  <c r="BH39" i="76"/>
  <c r="BH18" i="76"/>
  <c r="AZ109" i="76"/>
  <c r="BI108" i="76"/>
  <c r="BH78" i="76"/>
  <c r="BH45" i="76"/>
  <c r="BI45" i="76"/>
  <c r="AG259" i="2"/>
  <c r="AU104" i="76"/>
  <c r="BF86" i="76"/>
  <c r="AV60" i="76"/>
  <c r="AV23" i="76"/>
  <c r="BF48" i="76"/>
  <c r="AI79" i="76"/>
  <c r="O80" i="76"/>
  <c r="AW27" i="76"/>
  <c r="O79" i="76"/>
  <c r="AI80" i="76"/>
  <c r="BA27" i="76"/>
  <c r="BF40" i="76"/>
  <c r="AA81" i="76"/>
  <c r="AV26" i="76"/>
  <c r="BF54" i="76"/>
  <c r="BF75" i="76"/>
  <c r="S79" i="76"/>
  <c r="S80" i="76"/>
  <c r="AE81" i="76"/>
  <c r="BF74" i="76"/>
  <c r="BF82" i="76"/>
  <c r="AE79" i="76"/>
  <c r="AW26" i="76"/>
  <c r="AV45" i="76"/>
  <c r="BJ75" i="76"/>
  <c r="AW57" i="76"/>
  <c r="AV19" i="76"/>
  <c r="BF94" i="76"/>
  <c r="BE87" i="76"/>
  <c r="W80" i="76"/>
  <c r="BJ82" i="76"/>
  <c r="BK82" i="76"/>
  <c r="BE26" i="76"/>
  <c r="BF84" i="76"/>
  <c r="BH85" i="73"/>
  <c r="BI85" i="73"/>
  <c r="AE305" i="2"/>
  <c r="BH37" i="73"/>
  <c r="BH96" i="73"/>
  <c r="BI96" i="73"/>
  <c r="AE316" i="2"/>
  <c r="BH121" i="73"/>
  <c r="AA80" i="73"/>
  <c r="BF106" i="73"/>
  <c r="BE50" i="73"/>
  <c r="BF46" i="73"/>
  <c r="BE46" i="73"/>
  <c r="BF54" i="73"/>
  <c r="AV58" i="73"/>
  <c r="S80" i="73"/>
  <c r="BF62" i="73"/>
  <c r="AI81" i="73"/>
  <c r="AC80" i="73"/>
  <c r="AV61" i="73"/>
  <c r="AV31" i="73"/>
  <c r="BF89" i="73"/>
  <c r="BF39" i="73"/>
  <c r="BF116" i="73"/>
  <c r="O81" i="71"/>
  <c r="BE102" i="71"/>
  <c r="BH91" i="71"/>
  <c r="BI91" i="71"/>
  <c r="AC337" i="2"/>
  <c r="AV52" i="71"/>
  <c r="BH44" i="71"/>
  <c r="BI44" i="71"/>
  <c r="AC254" i="2"/>
  <c r="AW34" i="71"/>
  <c r="AV64" i="71"/>
  <c r="BI116" i="71"/>
  <c r="AZ116" i="71"/>
  <c r="AZ118" i="71"/>
  <c r="AZ117" i="71"/>
  <c r="BH74" i="71"/>
  <c r="BI74" i="71"/>
  <c r="AC310" i="2"/>
  <c r="BH84" i="71"/>
  <c r="BI84" i="71"/>
  <c r="AC320" i="2"/>
  <c r="BJ52" i="71"/>
  <c r="AA80" i="71"/>
  <c r="BH38" i="71"/>
  <c r="BI38" i="71"/>
  <c r="AC248" i="2"/>
  <c r="AE81" i="71"/>
  <c r="BF36" i="71"/>
  <c r="AV49" i="71"/>
  <c r="AW49" i="71"/>
  <c r="W81" i="71"/>
  <c r="BE36" i="71"/>
  <c r="BE40" i="71"/>
  <c r="AW58" i="71"/>
  <c r="BF84" i="71"/>
  <c r="AZ44" i="71"/>
  <c r="AB289" i="2"/>
  <c r="AV38" i="71"/>
  <c r="BI61" i="71"/>
  <c r="AC278" i="2"/>
  <c r="AG81" i="71"/>
  <c r="AZ35" i="71"/>
  <c r="AB264" i="2"/>
  <c r="AZ50" i="71"/>
  <c r="AB302" i="2"/>
  <c r="BD71" i="64"/>
  <c r="BE71" i="64"/>
  <c r="BF96" i="1"/>
  <c r="BE96" i="1"/>
  <c r="BE120" i="1"/>
  <c r="BF120" i="1"/>
  <c r="AV40" i="47"/>
  <c r="AZ40" i="47"/>
  <c r="BA40" i="47"/>
  <c r="AW40" i="47"/>
  <c r="BE77" i="60"/>
  <c r="BJ46" i="1"/>
  <c r="BK46" i="1"/>
  <c r="C314" i="2"/>
  <c r="BF75" i="80"/>
  <c r="BF63" i="78"/>
  <c r="BE121" i="60"/>
  <c r="BF68" i="1"/>
  <c r="BE92" i="47"/>
  <c r="BD92" i="47"/>
  <c r="AV50" i="47"/>
  <c r="BF25" i="73"/>
  <c r="BE25" i="73"/>
  <c r="BH44" i="61"/>
  <c r="BI44" i="61"/>
  <c r="BE44" i="61"/>
  <c r="AV40" i="61"/>
  <c r="AZ40" i="61"/>
  <c r="BA40" i="61"/>
  <c r="AW40" i="61"/>
  <c r="K281" i="2"/>
  <c r="AZ91" i="64"/>
  <c r="BA91" i="64"/>
  <c r="AW46" i="47"/>
  <c r="BE44" i="76"/>
  <c r="AZ51" i="61"/>
  <c r="BA51" i="61"/>
  <c r="BF52" i="71"/>
  <c r="BF48" i="75"/>
  <c r="BF37" i="74"/>
  <c r="BJ33" i="66"/>
  <c r="BF46" i="67"/>
  <c r="BE46" i="1"/>
  <c r="BE52" i="66"/>
  <c r="AW55" i="61"/>
  <c r="AV25" i="1"/>
  <c r="BE48" i="71"/>
  <c r="BE130" i="73"/>
  <c r="AV78" i="60"/>
  <c r="AV25" i="66"/>
  <c r="AV27" i="75"/>
  <c r="BJ46" i="67"/>
  <c r="BF40" i="75"/>
  <c r="AW34" i="66"/>
  <c r="BE98" i="60"/>
  <c r="AU89" i="75"/>
  <c r="BF73" i="81"/>
  <c r="BA31" i="81"/>
  <c r="BB31" i="81"/>
  <c r="AV19" i="82"/>
  <c r="BE47" i="82"/>
  <c r="BJ47" i="82"/>
  <c r="AV44" i="81"/>
  <c r="AW29" i="82"/>
  <c r="AW51" i="78"/>
  <c r="AV51" i="78"/>
  <c r="BD89" i="64"/>
  <c r="BE89" i="64"/>
  <c r="BF100" i="74"/>
  <c r="BE100" i="74"/>
  <c r="BF84" i="69"/>
  <c r="BE84" i="69"/>
  <c r="BF110" i="74"/>
  <c r="BE110" i="74"/>
  <c r="BH97" i="47"/>
  <c r="BI97" i="47"/>
  <c r="BD97" i="47"/>
  <c r="BE97" i="47"/>
  <c r="AW44" i="64"/>
  <c r="AV44" i="64"/>
  <c r="AZ44" i="64"/>
  <c r="BA44" i="64"/>
  <c r="BD74" i="61"/>
  <c r="BE74" i="61"/>
  <c r="AV70" i="64"/>
  <c r="AW70" i="64"/>
  <c r="AZ70" i="64"/>
  <c r="BA70" i="64"/>
  <c r="BF100" i="78"/>
  <c r="BE100" i="78"/>
  <c r="BH20" i="47"/>
  <c r="BI20" i="47"/>
  <c r="BE20" i="47"/>
  <c r="BF32" i="75"/>
  <c r="BD98" i="60"/>
  <c r="K221" i="2"/>
  <c r="BF52" i="66"/>
  <c r="BA54" i="66"/>
  <c r="BB54" i="66"/>
  <c r="BE102" i="74"/>
  <c r="BE26" i="82"/>
  <c r="BE68" i="1"/>
  <c r="AW54" i="1"/>
  <c r="BH100" i="61"/>
  <c r="BI100" i="61"/>
  <c r="BE52" i="80"/>
  <c r="BF52" i="80"/>
  <c r="BF108" i="73"/>
  <c r="BE108" i="73"/>
  <c r="AV15" i="75"/>
  <c r="AW15" i="75"/>
  <c r="BE91" i="75"/>
  <c r="BF91" i="75"/>
  <c r="BE57" i="77"/>
  <c r="BF57" i="77"/>
  <c r="BF69" i="76"/>
  <c r="BJ69" i="76"/>
  <c r="BE69" i="76"/>
  <c r="BF96" i="74"/>
  <c r="BE96" i="74"/>
  <c r="BE70" i="75"/>
  <c r="BJ70" i="75"/>
  <c r="BF87" i="73"/>
  <c r="AV54" i="74"/>
  <c r="AW54" i="74"/>
  <c r="BF68" i="67"/>
  <c r="BE68" i="67"/>
  <c r="BE42" i="67"/>
  <c r="BF42" i="67"/>
  <c r="AV53" i="75"/>
  <c r="AW53" i="75"/>
  <c r="AV37" i="75"/>
  <c r="AW37" i="75"/>
  <c r="BF51" i="68"/>
  <c r="BJ51" i="68"/>
  <c r="BE50" i="76"/>
  <c r="BF50" i="76"/>
  <c r="AZ33" i="61"/>
  <c r="BA33" i="61"/>
  <c r="AW33" i="61"/>
  <c r="AV33" i="61"/>
  <c r="AV8" i="47"/>
  <c r="AW8" i="47"/>
  <c r="AZ8" i="47"/>
  <c r="BA8" i="47"/>
  <c r="BD84" i="64"/>
  <c r="BH101" i="61"/>
  <c r="BI101" i="61"/>
  <c r="BE101" i="61"/>
  <c r="BD101" i="61"/>
  <c r="BE66" i="1"/>
  <c r="E277" i="2"/>
  <c r="C277" i="2"/>
  <c r="G277" i="2"/>
  <c r="H277" i="2"/>
  <c r="E285" i="2"/>
  <c r="C285" i="2"/>
  <c r="AU69" i="60"/>
  <c r="BC69" i="61"/>
  <c r="BD69" i="61"/>
  <c r="D293" i="2"/>
  <c r="E293" i="2"/>
  <c r="BD81" i="67"/>
  <c r="K293" i="2"/>
  <c r="BD81" i="1"/>
  <c r="BD81" i="73"/>
  <c r="BD81" i="74"/>
  <c r="BC69" i="60"/>
  <c r="BD81" i="70"/>
  <c r="BE81" i="70"/>
  <c r="L293" i="2"/>
  <c r="BC69" i="64"/>
  <c r="BD67" i="71"/>
  <c r="BD65" i="69"/>
  <c r="BD65" i="75"/>
  <c r="D295" i="2"/>
  <c r="C295" i="2"/>
  <c r="BD66" i="68"/>
  <c r="BD69" i="66"/>
  <c r="BE69" i="66"/>
  <c r="BD83" i="67"/>
  <c r="BD83" i="1"/>
  <c r="BC71" i="47"/>
  <c r="L295" i="2"/>
  <c r="BD69" i="71"/>
  <c r="BD83" i="73"/>
  <c r="BF83" i="73"/>
  <c r="BD83" i="74"/>
  <c r="BC71" i="60"/>
  <c r="BC71" i="61"/>
  <c r="BE71" i="61"/>
  <c r="BD65" i="76"/>
  <c r="BF65" i="76"/>
  <c r="BC78" i="64"/>
  <c r="BD78" i="64"/>
  <c r="AU59" i="73"/>
  <c r="AU32" i="77"/>
  <c r="AW32" i="77"/>
  <c r="AU50" i="71"/>
  <c r="AW50" i="71"/>
  <c r="C302" i="2"/>
  <c r="K302" i="2"/>
  <c r="AU59" i="70"/>
  <c r="BC78" i="47"/>
  <c r="AU47" i="68"/>
  <c r="E302" i="2"/>
  <c r="BC78" i="60"/>
  <c r="AU47" i="69"/>
  <c r="BD86" i="74"/>
  <c r="BF86" i="74"/>
  <c r="E306" i="2"/>
  <c r="BC82" i="61"/>
  <c r="BD86" i="67"/>
  <c r="BD86" i="73"/>
  <c r="C306" i="2"/>
  <c r="BD69" i="68"/>
  <c r="BD90" i="70"/>
  <c r="BF90" i="70"/>
  <c r="BC86" i="60"/>
  <c r="C310" i="2"/>
  <c r="L310" i="2"/>
  <c r="BC86" i="47"/>
  <c r="BD74" i="66"/>
  <c r="E310" i="2"/>
  <c r="BC86" i="61"/>
  <c r="BD90" i="67"/>
  <c r="BD68" i="76"/>
  <c r="BF68" i="76"/>
  <c r="K310" i="2"/>
  <c r="D310" i="2"/>
  <c r="BD90" i="74"/>
  <c r="BF90" i="74"/>
  <c r="BD60" i="82"/>
  <c r="BE60" i="82"/>
  <c r="BD94" i="70"/>
  <c r="BD78" i="66"/>
  <c r="BC90" i="60"/>
  <c r="L314" i="2"/>
  <c r="BD72" i="69"/>
  <c r="BE72" i="69"/>
  <c r="BC90" i="61"/>
  <c r="BD72" i="75"/>
  <c r="D314" i="2"/>
  <c r="K314" i="2"/>
  <c r="BD94" i="74"/>
  <c r="BD73" i="68"/>
  <c r="BC90" i="64"/>
  <c r="BD90" i="64"/>
  <c r="C323" i="2"/>
  <c r="K323" i="2"/>
  <c r="BC111" i="47"/>
  <c r="BH111" i="47"/>
  <c r="BI111" i="47"/>
  <c r="L335" i="2"/>
  <c r="D335" i="2"/>
  <c r="BC111" i="64"/>
  <c r="BD88" i="75"/>
  <c r="BF88" i="75"/>
  <c r="BC118" i="60"/>
  <c r="BD118" i="60"/>
  <c r="BD114" i="1"/>
  <c r="BD96" i="71"/>
  <c r="D342" i="2"/>
  <c r="BC118" i="64"/>
  <c r="BC118" i="47"/>
  <c r="BD88" i="69"/>
  <c r="BE88" i="69"/>
  <c r="BD89" i="68"/>
  <c r="K342" i="2"/>
  <c r="AU76" i="73"/>
  <c r="AU62" i="75"/>
  <c r="AV62" i="75"/>
  <c r="AU76" i="1"/>
  <c r="AV76" i="1"/>
  <c r="BD105" i="71"/>
  <c r="BD123" i="74"/>
  <c r="L351" i="2"/>
  <c r="AU62" i="69"/>
  <c r="AU76" i="70"/>
  <c r="AV76" i="70"/>
  <c r="D351" i="2"/>
  <c r="AU17" i="69"/>
  <c r="AV17" i="69"/>
  <c r="C213" i="2"/>
  <c r="BD27" i="75"/>
  <c r="BF27" i="75"/>
  <c r="L213" i="2"/>
  <c r="AU17" i="75"/>
  <c r="D213" i="2"/>
  <c r="AU17" i="76"/>
  <c r="BD27" i="69"/>
  <c r="K213" i="2"/>
  <c r="E213" i="2"/>
  <c r="BD27" i="76"/>
  <c r="BE27" i="76"/>
  <c r="BD27" i="82"/>
  <c r="AU17" i="82"/>
  <c r="AW77" i="60"/>
  <c r="BE93" i="61"/>
  <c r="BE51" i="1"/>
  <c r="AW64" i="1"/>
  <c r="BE54" i="1"/>
  <c r="BF62" i="74"/>
  <c r="AV51" i="60"/>
  <c r="BE74" i="71"/>
  <c r="C221" i="2"/>
  <c r="BD108" i="75"/>
  <c r="AV15" i="76"/>
  <c r="BC59" i="47"/>
  <c r="BE59" i="47"/>
  <c r="BC122" i="47"/>
  <c r="BD94" i="1"/>
  <c r="BC99" i="64"/>
  <c r="BD99" i="64"/>
  <c r="BD90" i="73"/>
  <c r="BF90" i="73"/>
  <c r="AU59" i="74"/>
  <c r="AV59" i="74"/>
  <c r="L342" i="2"/>
  <c r="BD68" i="69"/>
  <c r="K306" i="2"/>
  <c r="C293" i="2"/>
  <c r="BD66" i="77"/>
  <c r="BD96" i="66"/>
  <c r="AU47" i="76"/>
  <c r="BE73" i="47"/>
  <c r="BD73" i="47"/>
  <c r="C27" i="2"/>
  <c r="AU7" i="60"/>
  <c r="E232" i="2"/>
  <c r="BD40" i="1"/>
  <c r="AU29" i="80"/>
  <c r="E237" i="2"/>
  <c r="D237" i="2"/>
  <c r="AU30" i="1"/>
  <c r="K237" i="2"/>
  <c r="AU72" i="73"/>
  <c r="AU62" i="71"/>
  <c r="K331" i="2"/>
  <c r="AU72" i="1"/>
  <c r="AV72" i="1"/>
  <c r="AU58" i="68"/>
  <c r="C331" i="2"/>
  <c r="AU62" i="66"/>
  <c r="BC107" i="47"/>
  <c r="BE107" i="47"/>
  <c r="BF45" i="68"/>
  <c r="AW47" i="47"/>
  <c r="BE48" i="76"/>
  <c r="AW51" i="60"/>
  <c r="BJ74" i="71"/>
  <c r="AU36" i="61"/>
  <c r="BD107" i="1"/>
  <c r="BE107" i="1"/>
  <c r="BC86" i="64"/>
  <c r="D302" i="2"/>
  <c r="BC69" i="47"/>
  <c r="BD97" i="76"/>
  <c r="BF97" i="76"/>
  <c r="AU41" i="77"/>
  <c r="BD94" i="73"/>
  <c r="AU50" i="66"/>
  <c r="L221" i="2"/>
  <c r="AU36" i="47"/>
  <c r="E221" i="2"/>
  <c r="AV44" i="47"/>
  <c r="AW44" i="47"/>
  <c r="AZ44" i="47"/>
  <c r="BA44" i="47"/>
  <c r="AU49" i="61"/>
  <c r="AV49" i="61"/>
  <c r="C265" i="2"/>
  <c r="AU49" i="47"/>
  <c r="BD63" i="77"/>
  <c r="BF63" i="77"/>
  <c r="L346" i="2"/>
  <c r="BC122" i="64"/>
  <c r="BD118" i="74"/>
  <c r="BD92" i="75"/>
  <c r="C346" i="2"/>
  <c r="E346" i="2"/>
  <c r="BD93" i="68"/>
  <c r="BD100" i="71"/>
  <c r="K346" i="2"/>
  <c r="BD23" i="75"/>
  <c r="BJ23" i="75"/>
  <c r="BK23" i="75"/>
  <c r="AU13" i="69"/>
  <c r="BA13" i="69"/>
  <c r="AU13" i="75"/>
  <c r="BA13" i="75"/>
  <c r="BD23" i="69"/>
  <c r="BE23" i="69"/>
  <c r="G209" i="2"/>
  <c r="H209" i="2"/>
  <c r="L209" i="2"/>
  <c r="AU13" i="76"/>
  <c r="BD23" i="76"/>
  <c r="BD23" i="82"/>
  <c r="AU13" i="82"/>
  <c r="B223" i="2"/>
  <c r="B222" i="2"/>
  <c r="BD109" i="75"/>
  <c r="B224" i="2"/>
  <c r="B220" i="2"/>
  <c r="B217" i="2"/>
  <c r="G217" i="2"/>
  <c r="H217" i="2"/>
  <c r="B218" i="2"/>
  <c r="BE90" i="47"/>
  <c r="AW39" i="68"/>
  <c r="BE36" i="69"/>
  <c r="BC59" i="61"/>
  <c r="D221" i="2"/>
  <c r="E265" i="2"/>
  <c r="BD134" i="74"/>
  <c r="BE134" i="74"/>
  <c r="L285" i="2"/>
  <c r="BC122" i="60"/>
  <c r="BC122" i="61"/>
  <c r="BD122" i="61"/>
  <c r="D331" i="2"/>
  <c r="BD68" i="75"/>
  <c r="K295" i="2"/>
  <c r="BD118" i="1"/>
  <c r="BD72" i="76"/>
  <c r="BD67" i="66"/>
  <c r="BJ92" i="78"/>
  <c r="BK92" i="78"/>
  <c r="BE92" i="78"/>
  <c r="AW52" i="78"/>
  <c r="AV52" i="78"/>
  <c r="BE63" i="81"/>
  <c r="BJ63" i="81"/>
  <c r="BF63" i="81"/>
  <c r="BF51" i="82"/>
  <c r="BE51" i="82"/>
  <c r="BE39" i="81"/>
  <c r="BF39" i="81"/>
  <c r="BJ39" i="81"/>
  <c r="AW23" i="82"/>
  <c r="AV23" i="82"/>
  <c r="BE123" i="47"/>
  <c r="BD123" i="47"/>
  <c r="BE119" i="60"/>
  <c r="BD119" i="60"/>
  <c r="AV35" i="82"/>
  <c r="AW35" i="82"/>
  <c r="BJ55" i="81"/>
  <c r="BF55" i="81"/>
  <c r="BF90" i="76"/>
  <c r="BE90" i="76"/>
  <c r="BF115" i="67"/>
  <c r="BE115" i="67"/>
  <c r="BF93" i="76"/>
  <c r="BE93" i="76"/>
  <c r="BE111" i="74"/>
  <c r="BF111" i="74"/>
  <c r="AV51" i="68"/>
  <c r="AW51" i="68"/>
  <c r="BE102" i="67"/>
  <c r="BF102" i="67"/>
  <c r="BE25" i="76"/>
  <c r="BF25" i="76"/>
  <c r="BF117" i="73"/>
  <c r="BF58" i="71"/>
  <c r="BE58" i="71"/>
  <c r="BE93" i="74"/>
  <c r="BF93" i="74"/>
  <c r="AW51" i="71"/>
  <c r="AV51" i="71"/>
  <c r="AW37" i="68"/>
  <c r="AV37" i="68"/>
  <c r="BE59" i="69"/>
  <c r="BF59" i="69"/>
  <c r="BE73" i="74"/>
  <c r="BF73" i="74"/>
  <c r="BF39" i="77"/>
  <c r="BE39" i="77"/>
  <c r="BE64" i="67"/>
  <c r="BF64" i="67"/>
  <c r="BF54" i="71"/>
  <c r="BE54" i="71"/>
  <c r="BF34" i="77"/>
  <c r="BE34" i="77"/>
  <c r="BJ34" i="77"/>
  <c r="AV48" i="80"/>
  <c r="AW32" i="76"/>
  <c r="AV28" i="75"/>
  <c r="BF41" i="73"/>
  <c r="BE41" i="73"/>
  <c r="BF96" i="73"/>
  <c r="BE96" i="73"/>
  <c r="BE63" i="47"/>
  <c r="BH63" i="47"/>
  <c r="BI63" i="47"/>
  <c r="BH29" i="61"/>
  <c r="BI29" i="61"/>
  <c r="BE29" i="61"/>
  <c r="BF94" i="68"/>
  <c r="BE94" i="68"/>
  <c r="BF79" i="68"/>
  <c r="BE79" i="68"/>
  <c r="BF88" i="73"/>
  <c r="BE88" i="73"/>
  <c r="AW50" i="1"/>
  <c r="AV50" i="1"/>
  <c r="AZ89" i="61"/>
  <c r="BA89" i="61"/>
  <c r="AW89" i="61"/>
  <c r="BE11" i="61"/>
  <c r="BD11" i="61"/>
  <c r="AW60" i="47"/>
  <c r="AZ60" i="47"/>
  <c r="BA60" i="47"/>
  <c r="BE105" i="60"/>
  <c r="BD113" i="61"/>
  <c r="AW86" i="64"/>
  <c r="AV86" i="64"/>
  <c r="AZ86" i="64"/>
  <c r="BA86" i="64"/>
  <c r="BE96" i="64"/>
  <c r="BD96" i="64"/>
  <c r="BE120" i="73"/>
  <c r="BF120" i="73"/>
  <c r="BE72" i="66"/>
  <c r="BF72" i="66"/>
  <c r="AV8" i="60"/>
  <c r="AZ8" i="60"/>
  <c r="BA8" i="60"/>
  <c r="AW8" i="60"/>
  <c r="L294" i="2"/>
  <c r="D294" i="2"/>
  <c r="BE82" i="80"/>
  <c r="BF82" i="80"/>
  <c r="BE68" i="81"/>
  <c r="BF68" i="81"/>
  <c r="AV42" i="81"/>
  <c r="AW42" i="81"/>
  <c r="AW41" i="81"/>
  <c r="AV41" i="81"/>
  <c r="BE81" i="78"/>
  <c r="AW44" i="78"/>
  <c r="AV44" i="78"/>
  <c r="BF101" i="66"/>
  <c r="AU16" i="38"/>
  <c r="BD96" i="47"/>
  <c r="BE96" i="47"/>
  <c r="BD118" i="61"/>
  <c r="BE118" i="61"/>
  <c r="AW70" i="60"/>
  <c r="AZ70" i="60"/>
  <c r="BA70" i="60"/>
  <c r="AW58" i="61"/>
  <c r="L27" i="2"/>
  <c r="AU7" i="64"/>
  <c r="AU7" i="47"/>
  <c r="BD15" i="77"/>
  <c r="D27" i="2"/>
  <c r="AU7" i="61"/>
  <c r="E27" i="2"/>
  <c r="E185" i="2"/>
  <c r="D185" i="2"/>
  <c r="C185" i="2"/>
  <c r="L185" i="2"/>
  <c r="K185" i="2"/>
  <c r="AU27" i="1"/>
  <c r="AU81" i="60"/>
  <c r="K228" i="2"/>
  <c r="AU21" i="76"/>
  <c r="AU27" i="67"/>
  <c r="AW27" i="67"/>
  <c r="AU21" i="75"/>
  <c r="AU22" i="71"/>
  <c r="AU22" i="66"/>
  <c r="L228" i="2"/>
  <c r="AU27" i="74"/>
  <c r="AW27" i="74"/>
  <c r="AU27" i="70"/>
  <c r="AU21" i="69"/>
  <c r="D228" i="2"/>
  <c r="AU27" i="73"/>
  <c r="AU21" i="68"/>
  <c r="C228" i="2"/>
  <c r="AU81" i="64"/>
  <c r="E228" i="2"/>
  <c r="E244" i="2"/>
  <c r="BD44" i="67"/>
  <c r="BD37" i="81"/>
  <c r="BD57" i="78"/>
  <c r="BD48" i="70"/>
  <c r="BD38" i="66"/>
  <c r="BD34" i="75"/>
  <c r="BD35" i="68"/>
  <c r="BD48" i="74"/>
  <c r="E248" i="2"/>
  <c r="BD48" i="73"/>
  <c r="BE48" i="73"/>
  <c r="D248" i="2"/>
  <c r="BD31" i="82"/>
  <c r="BD49" i="80"/>
  <c r="BD41" i="81"/>
  <c r="C252" i="2"/>
  <c r="BD38" i="76"/>
  <c r="BD42" i="71"/>
  <c r="BJ42" i="71"/>
  <c r="BD39" i="68"/>
  <c r="BJ39" i="68"/>
  <c r="D252" i="2"/>
  <c r="BD38" i="75"/>
  <c r="BD52" i="70"/>
  <c r="BJ52" i="70"/>
  <c r="BD42" i="66"/>
  <c r="E252" i="2"/>
  <c r="BD24" i="77"/>
  <c r="BD52" i="67"/>
  <c r="L252" i="2"/>
  <c r="BD52" i="74"/>
  <c r="BD52" i="73"/>
  <c r="BD52" i="1"/>
  <c r="BE52" i="1"/>
  <c r="BD38" i="69"/>
  <c r="BE38" i="69"/>
  <c r="BD35" i="82"/>
  <c r="BD53" i="80"/>
  <c r="BD45" i="81"/>
  <c r="E256" i="2"/>
  <c r="BD46" i="71"/>
  <c r="BD43" i="68"/>
  <c r="BD42" i="76"/>
  <c r="BD56" i="70"/>
  <c r="D256" i="2"/>
  <c r="K256" i="2"/>
  <c r="L256" i="2"/>
  <c r="BD28" i="77"/>
  <c r="BD42" i="69"/>
  <c r="BD56" i="73"/>
  <c r="C256" i="2"/>
  <c r="BD46" i="66"/>
  <c r="BD39" i="82"/>
  <c r="BD49" i="81"/>
  <c r="BD57" i="80"/>
  <c r="C261" i="2"/>
  <c r="AU45" i="64"/>
  <c r="AU45" i="60"/>
  <c r="AU30" i="76"/>
  <c r="AU38" i="70"/>
  <c r="AU38" i="67"/>
  <c r="L261" i="2"/>
  <c r="AU45" i="47"/>
  <c r="AU45" i="61"/>
  <c r="AU30" i="75"/>
  <c r="AU38" i="73"/>
  <c r="AU32" i="66"/>
  <c r="K261" i="2"/>
  <c r="E261" i="2"/>
  <c r="D261" i="2"/>
  <c r="AU38" i="74"/>
  <c r="AU32" i="71"/>
  <c r="AU30" i="69"/>
  <c r="AW30" i="69"/>
  <c r="AU20" i="77"/>
  <c r="AU34" i="81"/>
  <c r="AW34" i="81"/>
  <c r="AU28" i="82"/>
  <c r="AU37" i="80"/>
  <c r="AU49" i="64"/>
  <c r="K265" i="2"/>
  <c r="AU34" i="76"/>
  <c r="BA34" i="76"/>
  <c r="BB34" i="76"/>
  <c r="AU42" i="70"/>
  <c r="BA42" i="70"/>
  <c r="BB42" i="70"/>
  <c r="AU42" i="74"/>
  <c r="AU42" i="67"/>
  <c r="BA42" i="67"/>
  <c r="BB42" i="67"/>
  <c r="AU34" i="75"/>
  <c r="BA34" i="75"/>
  <c r="BB34" i="75"/>
  <c r="AU34" i="69"/>
  <c r="AU42" i="73"/>
  <c r="AU34" i="68"/>
  <c r="BA34" i="68"/>
  <c r="AU42" i="1"/>
  <c r="AU48" i="78"/>
  <c r="L265" i="2"/>
  <c r="AU38" i="81"/>
  <c r="D272" i="2"/>
  <c r="BD67" i="73"/>
  <c r="BD54" i="68"/>
  <c r="BF54" i="68"/>
  <c r="BD67" i="70"/>
  <c r="BD67" i="67"/>
  <c r="BF67" i="67"/>
  <c r="BD53" i="76"/>
  <c r="BE53" i="76"/>
  <c r="BD57" i="71"/>
  <c r="BD53" i="75"/>
  <c r="BD53" i="69"/>
  <c r="BD57" i="66"/>
  <c r="K272" i="2"/>
  <c r="AU56" i="47"/>
  <c r="BD67" i="1"/>
  <c r="L272" i="2"/>
  <c r="AU56" i="64"/>
  <c r="AU56" i="60"/>
  <c r="BD50" i="82"/>
  <c r="BF50" i="82"/>
  <c r="E272" i="2"/>
  <c r="BD68" i="80"/>
  <c r="C272" i="2"/>
  <c r="BD60" i="81"/>
  <c r="AU61" i="60"/>
  <c r="AZ61" i="60"/>
  <c r="BA61" i="60"/>
  <c r="AU24" i="77"/>
  <c r="AU36" i="75"/>
  <c r="AU44" i="74"/>
  <c r="AW44" i="74"/>
  <c r="AU44" i="70"/>
  <c r="BA44" i="70"/>
  <c r="BB44" i="70"/>
  <c r="BD60" i="66"/>
  <c r="AU37" i="66"/>
  <c r="BA37" i="66"/>
  <c r="BB37" i="66"/>
  <c r="AU61" i="64"/>
  <c r="AU44" i="1"/>
  <c r="BD38" i="77"/>
  <c r="AU44" i="73"/>
  <c r="AU37" i="71"/>
  <c r="BD72" i="67"/>
  <c r="BD58" i="69"/>
  <c r="BJ58" i="69"/>
  <c r="BK58" i="69"/>
  <c r="K277" i="2"/>
  <c r="AU61" i="47"/>
  <c r="BD58" i="75"/>
  <c r="BJ58" i="75"/>
  <c r="BK58" i="75"/>
  <c r="BD60" i="71"/>
  <c r="AU36" i="68"/>
  <c r="AU61" i="61"/>
  <c r="BD72" i="73"/>
  <c r="AU44" i="67"/>
  <c r="AU36" i="76"/>
  <c r="BD72" i="74"/>
  <c r="BD59" i="68"/>
  <c r="BJ59" i="68"/>
  <c r="AU36" i="69"/>
  <c r="BD72" i="1"/>
  <c r="BD58" i="76"/>
  <c r="BD72" i="70"/>
  <c r="L281" i="2"/>
  <c r="C281" i="2"/>
  <c r="AU65" i="64"/>
  <c r="AU48" i="1"/>
  <c r="BD62" i="76"/>
  <c r="BD62" i="75"/>
  <c r="AU48" i="73"/>
  <c r="AU41" i="71"/>
  <c r="AW41" i="71"/>
  <c r="BD62" i="69"/>
  <c r="AU41" i="66"/>
  <c r="AU65" i="60"/>
  <c r="AU40" i="76"/>
  <c r="AU40" i="75"/>
  <c r="AW40" i="75"/>
  <c r="AU48" i="74"/>
  <c r="AV48" i="74"/>
  <c r="AU48" i="70"/>
  <c r="BD76" i="67"/>
  <c r="BD63" i="68"/>
  <c r="BE63" i="68"/>
  <c r="AU65" i="47"/>
  <c r="AU65" i="61"/>
  <c r="BD76" i="1"/>
  <c r="BD76" i="73"/>
  <c r="AU40" i="69"/>
  <c r="BD76" i="74"/>
  <c r="BD64" i="66"/>
  <c r="BD42" i="77"/>
  <c r="BD64" i="71"/>
  <c r="AU48" i="67"/>
  <c r="AV48" i="67"/>
  <c r="AU40" i="68"/>
  <c r="AV40" i="68"/>
  <c r="AU28" i="77"/>
  <c r="BD76" i="70"/>
  <c r="AU69" i="47"/>
  <c r="AU69" i="64"/>
  <c r="AU69" i="61"/>
  <c r="K285" i="2"/>
  <c r="D285" i="2"/>
  <c r="BD78" i="1"/>
  <c r="BF78" i="1"/>
  <c r="BD78" i="74"/>
  <c r="E290" i="2"/>
  <c r="BC66" i="60"/>
  <c r="BC66" i="47"/>
  <c r="BD78" i="67"/>
  <c r="BF78" i="67"/>
  <c r="BC66" i="64"/>
  <c r="BC66" i="61"/>
  <c r="BD78" i="73"/>
  <c r="BD78" i="70"/>
  <c r="K290" i="2"/>
  <c r="D290" i="2"/>
  <c r="C290" i="2"/>
  <c r="BD83" i="70"/>
  <c r="E295" i="2"/>
  <c r="AU47" i="75"/>
  <c r="AU59" i="67"/>
  <c r="BC78" i="61"/>
  <c r="AU59" i="1"/>
  <c r="AU46" i="80"/>
  <c r="AW46" i="80"/>
  <c r="L302" i="2"/>
  <c r="AU55" i="78"/>
  <c r="AU37" i="82"/>
  <c r="BD86" i="1"/>
  <c r="BC82" i="60"/>
  <c r="BE82" i="60"/>
  <c r="BD86" i="70"/>
  <c r="BF86" i="70"/>
  <c r="BC82" i="64"/>
  <c r="BC82" i="47"/>
  <c r="L306" i="2"/>
  <c r="BD66" i="81"/>
  <c r="BF66" i="81"/>
  <c r="BD86" i="78"/>
  <c r="BF86" i="78"/>
  <c r="BD90" i="1"/>
  <c r="BD74" i="80"/>
  <c r="BD90" i="78"/>
  <c r="BF90" i="78"/>
  <c r="BD56" i="82"/>
  <c r="BD78" i="71"/>
  <c r="BE78" i="71"/>
  <c r="BD94" i="67"/>
  <c r="BD47" i="77"/>
  <c r="BD78" i="80"/>
  <c r="BD94" i="78"/>
  <c r="BD74" i="81"/>
  <c r="E318" i="2"/>
  <c r="BC94" i="47"/>
  <c r="BD94" i="47"/>
  <c r="BD76" i="75"/>
  <c r="BE76" i="75"/>
  <c r="BD82" i="71"/>
  <c r="BD82" i="66"/>
  <c r="BD98" i="1"/>
  <c r="C318" i="2"/>
  <c r="BD98" i="74"/>
  <c r="BD76" i="69"/>
  <c r="BC94" i="60"/>
  <c r="BE94" i="60"/>
  <c r="D318" i="2"/>
  <c r="BD51" i="77"/>
  <c r="BD98" i="73"/>
  <c r="BD77" i="68"/>
  <c r="BC94" i="64"/>
  <c r="BC94" i="61"/>
  <c r="BD98" i="67"/>
  <c r="L318" i="2"/>
  <c r="K318" i="2"/>
  <c r="BD76" i="76"/>
  <c r="BD98" i="70"/>
  <c r="BD64" i="82"/>
  <c r="BD98" i="78"/>
  <c r="BF98" i="78"/>
  <c r="BD78" i="81"/>
  <c r="BD81" i="76"/>
  <c r="AU64" i="74"/>
  <c r="AU64" i="70"/>
  <c r="AV64" i="70"/>
  <c r="BD103" i="67"/>
  <c r="AU64" i="67"/>
  <c r="AU36" i="77"/>
  <c r="BD81" i="75"/>
  <c r="BD87" i="71"/>
  <c r="BF87" i="71"/>
  <c r="AU55" i="66"/>
  <c r="BD81" i="69"/>
  <c r="AU52" i="76"/>
  <c r="AW52" i="76"/>
  <c r="BD103" i="74"/>
  <c r="AU55" i="71"/>
  <c r="BD87" i="66"/>
  <c r="AU52" i="69"/>
  <c r="AU52" i="75"/>
  <c r="AU52" i="68"/>
  <c r="BD103" i="73"/>
  <c r="BF103" i="73"/>
  <c r="BD82" i="68"/>
  <c r="AU64" i="73"/>
  <c r="AW64" i="73"/>
  <c r="BD103" i="1"/>
  <c r="BD103" i="70"/>
  <c r="L323" i="2"/>
  <c r="BC99" i="61"/>
  <c r="D323" i="2"/>
  <c r="E323" i="2"/>
  <c r="BC99" i="47"/>
  <c r="AU69" i="73"/>
  <c r="BC104" i="64"/>
  <c r="E328" i="2"/>
  <c r="C328" i="2"/>
  <c r="K328" i="2"/>
  <c r="L328" i="2"/>
  <c r="D328" i="2"/>
  <c r="AU69" i="1"/>
  <c r="AU69" i="74"/>
  <c r="AU59" i="71"/>
  <c r="AU55" i="76"/>
  <c r="AW55" i="76"/>
  <c r="AU69" i="67"/>
  <c r="BC104" i="47"/>
  <c r="BE104" i="47"/>
  <c r="AU55" i="75"/>
  <c r="BC104" i="61"/>
  <c r="AU69" i="70"/>
  <c r="AV69" i="70"/>
  <c r="AU55" i="68"/>
  <c r="AV55" i="68"/>
  <c r="AU55" i="69"/>
  <c r="AV55" i="69"/>
  <c r="BC104" i="60"/>
  <c r="AU59" i="66"/>
  <c r="AU58" i="76"/>
  <c r="AU58" i="69"/>
  <c r="AU72" i="70"/>
  <c r="AU72" i="67"/>
  <c r="AU72" i="74"/>
  <c r="BC107" i="64"/>
  <c r="AU58" i="75"/>
  <c r="L331" i="2"/>
  <c r="BC107" i="61"/>
  <c r="BD107" i="61"/>
  <c r="BD59" i="77"/>
  <c r="BD114" i="67"/>
  <c r="BD114" i="74"/>
  <c r="BF114" i="74"/>
  <c r="BD114" i="73"/>
  <c r="BD114" i="70"/>
  <c r="BF114" i="70"/>
  <c r="BD88" i="76"/>
  <c r="BD118" i="67"/>
  <c r="BD92" i="69"/>
  <c r="BD100" i="66"/>
  <c r="BE100" i="66"/>
  <c r="BD92" i="76"/>
  <c r="BD118" i="73"/>
  <c r="BD118" i="70"/>
  <c r="K351" i="2"/>
  <c r="BD97" i="75"/>
  <c r="BD123" i="70"/>
  <c r="BD123" i="1"/>
  <c r="BE123" i="1"/>
  <c r="AU76" i="74"/>
  <c r="AU66" i="66"/>
  <c r="BD123" i="73"/>
  <c r="BE123" i="73"/>
  <c r="BD105" i="66"/>
  <c r="BD97" i="69"/>
  <c r="BF97" i="69"/>
  <c r="AU76" i="67"/>
  <c r="AU44" i="77"/>
  <c r="AU62" i="68"/>
  <c r="AV62" i="68"/>
  <c r="AU62" i="76"/>
  <c r="BD98" i="68"/>
  <c r="E351" i="2"/>
  <c r="AU66" i="71"/>
  <c r="BD123" i="67"/>
  <c r="C351" i="2"/>
  <c r="BD70" i="81"/>
  <c r="AU32" i="82"/>
  <c r="BE76" i="78"/>
  <c r="BF76" i="78"/>
  <c r="BD65" i="78"/>
  <c r="AU45" i="81"/>
  <c r="AV45" i="81"/>
  <c r="BD69" i="78"/>
  <c r="E314" i="2"/>
  <c r="E331" i="2"/>
  <c r="D265" i="2"/>
  <c r="BC99" i="60"/>
  <c r="AU6" i="38"/>
  <c r="AW66" i="64"/>
  <c r="AV62" i="60"/>
  <c r="AW62" i="60"/>
  <c r="BD92" i="61"/>
  <c r="AW64" i="66"/>
  <c r="AV64" i="66"/>
  <c r="AU30" i="68"/>
  <c r="AV18" i="82"/>
  <c r="AW18" i="82"/>
  <c r="BF66" i="82"/>
  <c r="BF65" i="80"/>
  <c r="BJ65" i="80"/>
  <c r="BE65" i="80"/>
  <c r="BE63" i="80"/>
  <c r="BJ63" i="80"/>
  <c r="BF63" i="80"/>
  <c r="AV34" i="80"/>
  <c r="BA34" i="80"/>
  <c r="AV31" i="80"/>
  <c r="AW31" i="80"/>
  <c r="BF71" i="81"/>
  <c r="BJ71" i="81"/>
  <c r="BK71" i="81"/>
  <c r="BE71" i="81"/>
  <c r="AV40" i="81"/>
  <c r="AW40" i="81"/>
  <c r="BD80" i="78"/>
  <c r="BE61" i="82"/>
  <c r="BF61" i="82"/>
  <c r="BE55" i="82"/>
  <c r="BE67" i="81"/>
  <c r="BF67" i="81"/>
  <c r="AW47" i="80"/>
  <c r="AV47" i="80"/>
  <c r="AV45" i="80"/>
  <c r="AW45" i="80"/>
  <c r="AW33" i="80"/>
  <c r="AV33" i="80"/>
  <c r="AW30" i="80"/>
  <c r="AV30" i="80"/>
  <c r="BF25" i="81"/>
  <c r="BE25" i="81"/>
  <c r="BE65" i="82"/>
  <c r="BF65" i="82"/>
  <c r="BD61" i="78"/>
  <c r="AU56" i="61"/>
  <c r="BF81" i="78"/>
  <c r="BE72" i="78"/>
  <c r="BF72" i="78"/>
  <c r="BE38" i="82"/>
  <c r="BF48" i="80"/>
  <c r="BJ48" i="80"/>
  <c r="BK48" i="80"/>
  <c r="AU36" i="78"/>
  <c r="AW36" i="78"/>
  <c r="BJ72" i="81"/>
  <c r="BE72" i="81"/>
  <c r="BF59" i="78"/>
  <c r="BJ59" i="78"/>
  <c r="BK59" i="78"/>
  <c r="AU15" i="38"/>
  <c r="AU38" i="1"/>
  <c r="AW38" i="1"/>
  <c r="L290" i="2"/>
  <c r="BC107" i="60"/>
  <c r="BC111" i="61"/>
  <c r="BH111" i="61"/>
  <c r="BI111" i="61"/>
  <c r="AV54" i="64"/>
  <c r="AW54" i="64"/>
  <c r="AV70" i="60"/>
  <c r="BD54" i="77"/>
  <c r="BD67" i="74"/>
  <c r="BF75" i="71"/>
  <c r="AV61" i="67"/>
  <c r="AW61" i="67"/>
  <c r="AW49" i="76"/>
  <c r="AV49" i="76"/>
  <c r="BE74" i="73"/>
  <c r="BF74" i="73"/>
  <c r="BF60" i="76"/>
  <c r="BE60" i="76"/>
  <c r="BF84" i="66"/>
  <c r="BE84" i="66"/>
  <c r="BF90" i="66"/>
  <c r="BE90" i="66"/>
  <c r="BF117" i="74"/>
  <c r="BF55" i="69"/>
  <c r="BF69" i="74"/>
  <c r="BF108" i="74"/>
  <c r="BE108" i="74"/>
  <c r="BF106" i="74"/>
  <c r="BE106" i="74"/>
  <c r="AV54" i="71"/>
  <c r="AW54" i="71"/>
  <c r="BE95" i="69"/>
  <c r="BF95" i="69"/>
  <c r="AW23" i="69"/>
  <c r="AV23" i="69"/>
  <c r="AW73" i="74"/>
  <c r="AV73" i="74"/>
  <c r="BF104" i="67"/>
  <c r="BD28" i="47"/>
  <c r="BE28" i="47"/>
  <c r="BH28" i="47"/>
  <c r="BI28" i="47"/>
  <c r="BE51" i="68"/>
  <c r="BJ50" i="76"/>
  <c r="BK50" i="76"/>
  <c r="BE73" i="70"/>
  <c r="D433" i="2"/>
  <c r="AU95" i="64"/>
  <c r="AW95" i="64"/>
  <c r="AU95" i="61"/>
  <c r="C437" i="2"/>
  <c r="K437" i="2"/>
  <c r="L437" i="2"/>
  <c r="E437" i="2"/>
  <c r="D437" i="2"/>
  <c r="AU99" i="61"/>
  <c r="AU99" i="64"/>
  <c r="AV99" i="64"/>
  <c r="AU19" i="69"/>
  <c r="AW19" i="69"/>
  <c r="D215" i="2"/>
  <c r="K215" i="2"/>
  <c r="E215" i="2"/>
  <c r="C215" i="2"/>
  <c r="L212" i="2"/>
  <c r="BD26" i="75"/>
  <c r="BE26" i="75"/>
  <c r="BE109" i="66"/>
  <c r="D337" i="2"/>
  <c r="AZ55" i="67"/>
  <c r="T298" i="2"/>
  <c r="AZ6" i="68"/>
  <c r="V138" i="2"/>
  <c r="N138" i="2"/>
  <c r="F138" i="2"/>
  <c r="I138" i="2"/>
  <c r="AZ39" i="67"/>
  <c r="T262" i="2"/>
  <c r="AZ40" i="67"/>
  <c r="T263" i="2"/>
  <c r="AZ11" i="67"/>
  <c r="T112" i="2"/>
  <c r="AZ51" i="67"/>
  <c r="T288" i="2"/>
  <c r="BI32" i="67"/>
  <c r="U76" i="2"/>
  <c r="BI35" i="74"/>
  <c r="AI79" i="2"/>
  <c r="AZ68" i="67"/>
  <c r="T327" i="2"/>
  <c r="BI86" i="67"/>
  <c r="U306" i="2"/>
  <c r="AZ45" i="67"/>
  <c r="T278" i="2"/>
  <c r="BI87" i="67"/>
  <c r="U307" i="2"/>
  <c r="BF58" i="73"/>
  <c r="AW54" i="66"/>
  <c r="BF70" i="74"/>
  <c r="BF33" i="68"/>
  <c r="BJ32" i="77"/>
  <c r="BK32" i="77"/>
  <c r="BF41" i="74"/>
  <c r="BE41" i="74"/>
  <c r="BF84" i="80"/>
  <c r="BE84" i="80"/>
  <c r="BE72" i="80"/>
  <c r="BF72" i="80"/>
  <c r="AV57" i="78"/>
  <c r="AW57" i="78"/>
  <c r="AW53" i="78"/>
  <c r="AV53" i="78"/>
  <c r="BE77" i="78"/>
  <c r="BF77" i="78"/>
  <c r="BF75" i="78"/>
  <c r="BJ75" i="78"/>
  <c r="BK75" i="78"/>
  <c r="BE75" i="78"/>
  <c r="BF37" i="82"/>
  <c r="BF44" i="81"/>
  <c r="BE44" i="81"/>
  <c r="BE81" i="80"/>
  <c r="BJ81" i="80"/>
  <c r="BF81" i="80"/>
  <c r="BE25" i="82"/>
  <c r="BF25" i="82"/>
  <c r="BE33" i="82"/>
  <c r="BF33" i="82"/>
  <c r="AV39" i="78"/>
  <c r="AW39" i="78"/>
  <c r="AV34" i="1"/>
  <c r="AW34" i="1"/>
  <c r="BE108" i="61"/>
  <c r="BD108" i="61"/>
  <c r="BJ63" i="71"/>
  <c r="BF63" i="71"/>
  <c r="AV47" i="70"/>
  <c r="BF49" i="68"/>
  <c r="BJ49" i="68"/>
  <c r="D219" i="2"/>
  <c r="AV68" i="74"/>
  <c r="BD98" i="61"/>
  <c r="AV47" i="64"/>
  <c r="AW40" i="71"/>
  <c r="AV63" i="1"/>
  <c r="BJ70" i="74"/>
  <c r="BA40" i="71"/>
  <c r="BB40" i="71"/>
  <c r="BD93" i="61"/>
  <c r="AW68" i="73"/>
  <c r="BE98" i="61"/>
  <c r="BA63" i="1"/>
  <c r="BB63" i="1"/>
  <c r="BD75" i="60"/>
  <c r="D232" i="2"/>
  <c r="AU85" i="60"/>
  <c r="K232" i="2"/>
  <c r="BD40" i="74"/>
  <c r="BD32" i="66"/>
  <c r="C232" i="2"/>
  <c r="L232" i="2"/>
  <c r="BD40" i="67"/>
  <c r="BD40" i="73"/>
  <c r="AU85" i="64"/>
  <c r="BD32" i="71"/>
  <c r="BF32" i="71"/>
  <c r="BD40" i="70"/>
  <c r="L237" i="2"/>
  <c r="AU30" i="74"/>
  <c r="AU30" i="67"/>
  <c r="AU30" i="73"/>
  <c r="AW30" i="73"/>
  <c r="AU24" i="66"/>
  <c r="AW24" i="66"/>
  <c r="AU30" i="70"/>
  <c r="AW30" i="70"/>
  <c r="AU24" i="71"/>
  <c r="AU26" i="81"/>
  <c r="BD44" i="73"/>
  <c r="K244" i="2"/>
  <c r="L244" i="2"/>
  <c r="BD44" i="1"/>
  <c r="BF44" i="1"/>
  <c r="BD44" i="74"/>
  <c r="BE44" i="74"/>
  <c r="BD44" i="70"/>
  <c r="BJ44" i="70"/>
  <c r="BK44" i="70"/>
  <c r="AU93" i="60"/>
  <c r="AV93" i="60"/>
  <c r="D244" i="2"/>
  <c r="C244" i="2"/>
  <c r="AU93" i="64"/>
  <c r="BD107" i="70"/>
  <c r="BE107" i="70"/>
  <c r="G335" i="2"/>
  <c r="H335" i="2"/>
  <c r="BD107" i="73"/>
  <c r="C335" i="2"/>
  <c r="BD107" i="74"/>
  <c r="K335" i="2"/>
  <c r="E335" i="2"/>
  <c r="BD107" i="67"/>
  <c r="BC111" i="60"/>
  <c r="BD85" i="60"/>
  <c r="BE85" i="60"/>
  <c r="BD67" i="64"/>
  <c r="AW66" i="60"/>
  <c r="AV66" i="60"/>
  <c r="BE47" i="81"/>
  <c r="BE100" i="73"/>
  <c r="BF100" i="73"/>
  <c r="BF78" i="76"/>
  <c r="BF116" i="67"/>
  <c r="BE116" i="67"/>
  <c r="BF24" i="75"/>
  <c r="BE24" i="75"/>
  <c r="BF120" i="74"/>
  <c r="BE120" i="74"/>
  <c r="BE85" i="68"/>
  <c r="BF85" i="68"/>
  <c r="BE84" i="75"/>
  <c r="BF84" i="75"/>
  <c r="AW50" i="67"/>
  <c r="AV50" i="67"/>
  <c r="AW71" i="67"/>
  <c r="AV71" i="67"/>
  <c r="AW61" i="71"/>
  <c r="AV61" i="71"/>
  <c r="AW40" i="77"/>
  <c r="AV40" i="77"/>
  <c r="BE97" i="1"/>
  <c r="BJ97" i="1"/>
  <c r="BK97" i="1"/>
  <c r="AW52" i="66"/>
  <c r="AV52" i="66"/>
  <c r="AW49" i="75"/>
  <c r="AV49" i="75"/>
  <c r="AW57" i="70"/>
  <c r="AV57" i="70"/>
  <c r="BA57" i="70"/>
  <c r="BB57" i="70"/>
  <c r="AV45" i="75"/>
  <c r="AW45" i="75"/>
  <c r="AV51" i="67"/>
  <c r="AW51" i="67"/>
  <c r="BF62" i="71"/>
  <c r="BE76" i="61"/>
  <c r="BF57" i="73"/>
  <c r="BE57" i="73"/>
  <c r="BF106" i="1"/>
  <c r="BE106" i="1"/>
  <c r="BE115" i="74"/>
  <c r="AW56" i="70"/>
  <c r="AV56" i="70"/>
  <c r="BF82" i="1"/>
  <c r="BE82" i="1"/>
  <c r="BE63" i="74"/>
  <c r="BF63" i="74"/>
  <c r="AV39" i="73"/>
  <c r="BF47" i="76"/>
  <c r="AW58" i="67"/>
  <c r="BE73" i="67"/>
  <c r="BF73" i="67"/>
  <c r="BF73" i="73"/>
  <c r="BE73" i="73"/>
  <c r="AW37" i="76"/>
  <c r="AV37" i="76"/>
  <c r="BE64" i="70"/>
  <c r="BF64" i="70"/>
  <c r="AV33" i="74"/>
  <c r="BD117" i="60"/>
  <c r="BF116" i="74"/>
  <c r="BE116" i="74"/>
  <c r="BE95" i="75"/>
  <c r="BE59" i="73"/>
  <c r="BF59" i="73"/>
  <c r="AV24" i="69"/>
  <c r="AW24" i="69"/>
  <c r="AW54" i="70"/>
  <c r="AV54" i="70"/>
  <c r="BE79" i="70"/>
  <c r="BF79" i="70"/>
  <c r="BD80" i="60"/>
  <c r="BE80" i="60"/>
  <c r="BD119" i="64"/>
  <c r="BE119" i="64"/>
  <c r="C303" i="2"/>
  <c r="BC79" i="61"/>
  <c r="BC79" i="60"/>
  <c r="AU60" i="74"/>
  <c r="AU48" i="69"/>
  <c r="BC79" i="47"/>
  <c r="BD79" i="47"/>
  <c r="BD87" i="74"/>
  <c r="BD87" i="67"/>
  <c r="BJ87" i="67"/>
  <c r="BK87" i="67"/>
  <c r="BC83" i="61"/>
  <c r="BH83" i="61"/>
  <c r="BI83" i="61"/>
  <c r="BC83" i="47"/>
  <c r="D307" i="2"/>
  <c r="BC83" i="60"/>
  <c r="BE83" i="60"/>
  <c r="K311" i="2"/>
  <c r="BC87" i="60"/>
  <c r="BC87" i="64"/>
  <c r="BD87" i="64"/>
  <c r="E319" i="2"/>
  <c r="BD77" i="75"/>
  <c r="BD99" i="70"/>
  <c r="BD99" i="67"/>
  <c r="BC95" i="64"/>
  <c r="BC100" i="60"/>
  <c r="E324" i="2"/>
  <c r="BD55" i="77"/>
  <c r="AU53" i="76"/>
  <c r="BA53" i="76"/>
  <c r="BB53" i="76"/>
  <c r="AU65" i="73"/>
  <c r="AU56" i="71"/>
  <c r="BD83" i="68"/>
  <c r="AU65" i="67"/>
  <c r="AW65" i="67"/>
  <c r="AU56" i="66"/>
  <c r="C324" i="2"/>
  <c r="AU63" i="71"/>
  <c r="AU73" i="67"/>
  <c r="AW73" i="67"/>
  <c r="AW18" i="64"/>
  <c r="AZ18" i="64"/>
  <c r="BA18" i="64"/>
  <c r="AV18" i="64"/>
  <c r="BD69" i="1"/>
  <c r="E274" i="2"/>
  <c r="AU58" i="60"/>
  <c r="AU58" i="47"/>
  <c r="L274" i="2"/>
  <c r="AU63" i="60"/>
  <c r="AV63" i="60"/>
  <c r="BD74" i="1"/>
  <c r="AU63" i="61"/>
  <c r="AV63" i="61"/>
  <c r="AU63" i="64"/>
  <c r="E283" i="2"/>
  <c r="C283" i="2"/>
  <c r="AU67" i="61"/>
  <c r="AU67" i="47"/>
  <c r="AU57" i="1"/>
  <c r="AW57" i="1"/>
  <c r="BC76" i="64"/>
  <c r="C300" i="2"/>
  <c r="K300" i="2"/>
  <c r="BD98" i="66"/>
  <c r="BE98" i="66"/>
  <c r="BC120" i="60"/>
  <c r="BC120" i="61"/>
  <c r="BD116" i="1"/>
  <c r="BC120" i="64"/>
  <c r="BE120" i="64"/>
  <c r="D348" i="2"/>
  <c r="BC124" i="64"/>
  <c r="BE124" i="64"/>
  <c r="BC124" i="47"/>
  <c r="BE124" i="47"/>
  <c r="BC124" i="60"/>
  <c r="D210" i="2"/>
  <c r="K210" i="2"/>
  <c r="L210" i="2"/>
  <c r="C214" i="2"/>
  <c r="D214" i="2"/>
  <c r="AV134" i="70"/>
  <c r="BD41" i="71"/>
  <c r="BD37" i="69"/>
  <c r="BD60" i="80"/>
  <c r="K259" i="2"/>
  <c r="AU43" i="60"/>
  <c r="AU41" i="1"/>
  <c r="AU33" i="75"/>
  <c r="AU41" i="70"/>
  <c r="AU35" i="66"/>
  <c r="L264" i="2"/>
  <c r="AU41" i="74"/>
  <c r="AU33" i="68"/>
  <c r="AU48" i="60"/>
  <c r="AU55" i="1"/>
  <c r="BC74" i="47"/>
  <c r="E298" i="2"/>
  <c r="C298" i="2"/>
  <c r="BC74" i="60"/>
  <c r="BE74" i="60"/>
  <c r="BC114" i="64"/>
  <c r="E338" i="2"/>
  <c r="BC117" i="64"/>
  <c r="L341" i="2"/>
  <c r="C294" i="2"/>
  <c r="AV82" i="64"/>
  <c r="AV65" i="1"/>
  <c r="BF79" i="80"/>
  <c r="BJ77" i="78"/>
  <c r="BH119" i="60"/>
  <c r="BI119" i="60"/>
  <c r="BE73" i="64"/>
  <c r="BF76" i="71"/>
  <c r="BJ76" i="71"/>
  <c r="BF109" i="1"/>
  <c r="BE112" i="71"/>
  <c r="BJ112" i="71"/>
  <c r="L315" i="2"/>
  <c r="BC91" i="47"/>
  <c r="C315" i="2"/>
  <c r="E315" i="2"/>
  <c r="BD88" i="1"/>
  <c r="BE88" i="1"/>
  <c r="BC84" i="61"/>
  <c r="L312" i="2"/>
  <c r="BC88" i="61"/>
  <c r="BD100" i="67"/>
  <c r="BF100" i="67"/>
  <c r="BC96" i="61"/>
  <c r="BD115" i="60"/>
  <c r="AU43" i="71"/>
  <c r="BD48" i="67"/>
  <c r="BD56" i="67"/>
  <c r="BD56" i="74"/>
  <c r="BD42" i="75"/>
  <c r="E341" i="2"/>
  <c r="D245" i="2"/>
  <c r="BD56" i="1"/>
  <c r="L305" i="2"/>
  <c r="C305" i="2"/>
  <c r="BC91" i="64"/>
  <c r="D281" i="2"/>
  <c r="D283" i="2"/>
  <c r="AW130" i="67"/>
  <c r="BF105" i="69"/>
  <c r="BF110" i="66"/>
  <c r="BF127" i="67"/>
  <c r="AV103" i="68"/>
  <c r="AW112" i="66"/>
  <c r="AW128" i="67"/>
  <c r="AW131" i="67"/>
  <c r="AW101" i="69"/>
  <c r="BE134" i="70"/>
  <c r="AW42" i="47"/>
  <c r="AV42" i="47"/>
  <c r="BF44" i="69"/>
  <c r="BE44" i="69"/>
  <c r="BF98" i="71"/>
  <c r="BE98" i="71"/>
  <c r="AV39" i="77"/>
  <c r="AW39" i="77"/>
  <c r="AV51" i="76"/>
  <c r="AW51" i="76"/>
  <c r="BF99" i="71"/>
  <c r="BE99" i="71"/>
  <c r="AV18" i="75"/>
  <c r="AW18" i="75"/>
  <c r="AW36" i="74"/>
  <c r="AV36" i="74"/>
  <c r="AW29" i="74"/>
  <c r="AV29" i="74"/>
  <c r="AW57" i="68"/>
  <c r="AV57" i="68"/>
  <c r="AV71" i="73"/>
  <c r="AW71" i="73"/>
  <c r="AV57" i="67"/>
  <c r="AW57" i="67"/>
  <c r="BA57" i="67"/>
  <c r="AW48" i="71"/>
  <c r="AV48" i="71"/>
  <c r="AV30" i="77"/>
  <c r="AW30" i="77"/>
  <c r="AW51" i="73"/>
  <c r="AV51" i="73"/>
  <c r="BJ51" i="76"/>
  <c r="BE51" i="76"/>
  <c r="BF51" i="76"/>
  <c r="BF79" i="73"/>
  <c r="BJ79" i="73"/>
  <c r="BE79" i="73"/>
  <c r="BA51" i="75"/>
  <c r="AW51" i="75"/>
  <c r="BA51" i="76"/>
  <c r="BB51" i="76"/>
  <c r="BJ91" i="1"/>
  <c r="BF91" i="1"/>
  <c r="BF48" i="66"/>
  <c r="BE48" i="66"/>
  <c r="BD93" i="60"/>
  <c r="BH93" i="60"/>
  <c r="BI93" i="60"/>
  <c r="BE98" i="64"/>
  <c r="BH98" i="64"/>
  <c r="BI98" i="64"/>
  <c r="BD98" i="64"/>
  <c r="BH86" i="60"/>
  <c r="BI86" i="60"/>
  <c r="AV52" i="67"/>
  <c r="BA52" i="67"/>
  <c r="BB52" i="67"/>
  <c r="BA52" i="1"/>
  <c r="BB52" i="1"/>
  <c r="AW52" i="1"/>
  <c r="AW47" i="67"/>
  <c r="AV47" i="67"/>
  <c r="BF41" i="77"/>
  <c r="BJ41" i="77"/>
  <c r="BE41" i="77"/>
  <c r="AW40" i="66"/>
  <c r="AV40" i="66"/>
  <c r="AW39" i="75"/>
  <c r="AV39" i="75"/>
  <c r="BJ62" i="68"/>
  <c r="BF62" i="68"/>
  <c r="BJ61" i="75"/>
  <c r="BE61" i="75"/>
  <c r="BF61" i="75"/>
  <c r="BF33" i="71"/>
  <c r="BJ33" i="71"/>
  <c r="BK33" i="71"/>
  <c r="BJ31" i="76"/>
  <c r="BF31" i="76"/>
  <c r="BE31" i="76"/>
  <c r="BJ104" i="76"/>
  <c r="BE104" i="76"/>
  <c r="BE65" i="47"/>
  <c r="BH65" i="47"/>
  <c r="BI65" i="47"/>
  <c r="BF62" i="67"/>
  <c r="BJ62" i="67"/>
  <c r="BE62" i="67"/>
  <c r="AZ51" i="64"/>
  <c r="BA51" i="64"/>
  <c r="AV51" i="64"/>
  <c r="AW62" i="75"/>
  <c r="AV82" i="60"/>
  <c r="BD65" i="47"/>
  <c r="AV51" i="75"/>
  <c r="AW92" i="64"/>
  <c r="AV92" i="64"/>
  <c r="BE38" i="1"/>
  <c r="BF38" i="1"/>
  <c r="BF40" i="69"/>
  <c r="BE40" i="69"/>
  <c r="BE44" i="71"/>
  <c r="BF44" i="71"/>
  <c r="AW27" i="69"/>
  <c r="AV27" i="69"/>
  <c r="AV35" i="67"/>
  <c r="AW35" i="67"/>
  <c r="BA29" i="71"/>
  <c r="BB29" i="71"/>
  <c r="AV29" i="71"/>
  <c r="AW29" i="71"/>
  <c r="AV23" i="75"/>
  <c r="AW23" i="75"/>
  <c r="BJ31" i="69"/>
  <c r="BE31" i="69"/>
  <c r="AU91" i="74"/>
  <c r="L223" i="2"/>
  <c r="C223" i="2"/>
  <c r="BC61" i="47"/>
  <c r="AU38" i="47"/>
  <c r="E223" i="2"/>
  <c r="BD136" i="74"/>
  <c r="D223" i="2"/>
  <c r="AU38" i="61"/>
  <c r="BC61" i="61"/>
  <c r="BD109" i="61"/>
  <c r="BE109" i="61"/>
  <c r="BF48" i="69"/>
  <c r="BE48" i="69"/>
  <c r="BJ48" i="69"/>
  <c r="BE85" i="47"/>
  <c r="AW97" i="61"/>
  <c r="BJ70" i="67"/>
  <c r="BE70" i="67"/>
  <c r="BF70" i="67"/>
  <c r="BE65" i="64"/>
  <c r="BD65" i="64"/>
  <c r="BH65" i="64"/>
  <c r="BI65" i="64"/>
  <c r="AV32" i="75"/>
  <c r="AW32" i="75"/>
  <c r="AW16" i="82"/>
  <c r="AV16" i="82"/>
  <c r="BF96" i="78"/>
  <c r="BE96" i="78"/>
  <c r="BF88" i="78"/>
  <c r="BE88" i="78"/>
  <c r="AV47" i="81"/>
  <c r="AW47" i="81"/>
  <c r="BE73" i="80"/>
  <c r="BJ73" i="80"/>
  <c r="BK73" i="80"/>
  <c r="BF71" i="80"/>
  <c r="BJ71" i="80"/>
  <c r="AW56" i="78"/>
  <c r="AV56" i="78"/>
  <c r="AV54" i="78"/>
  <c r="AW54" i="78"/>
  <c r="AW37" i="78"/>
  <c r="AV37" i="78"/>
  <c r="AW35" i="78"/>
  <c r="AV35" i="78"/>
  <c r="BF21" i="82"/>
  <c r="BE21" i="82"/>
  <c r="BJ76" i="80"/>
  <c r="BF76" i="80"/>
  <c r="AW42" i="80"/>
  <c r="AV42" i="80"/>
  <c r="BE61" i="81"/>
  <c r="BF61" i="81"/>
  <c r="AW37" i="81"/>
  <c r="BF36" i="82"/>
  <c r="BE36" i="82"/>
  <c r="BF42" i="82"/>
  <c r="BE42" i="82"/>
  <c r="BJ56" i="80"/>
  <c r="BJ63" i="82"/>
  <c r="BK63" i="82"/>
  <c r="BF63" i="82"/>
  <c r="BE63" i="82"/>
  <c r="BE41" i="82"/>
  <c r="BF41" i="82"/>
  <c r="BJ55" i="80"/>
  <c r="BF55" i="80"/>
  <c r="BA41" i="78"/>
  <c r="AW41" i="78"/>
  <c r="AV41" i="78"/>
  <c r="AW38" i="78"/>
  <c r="AV38" i="78"/>
  <c r="AW50" i="78"/>
  <c r="AV50" i="78"/>
  <c r="BE99" i="47"/>
  <c r="BF86" i="71"/>
  <c r="BF86" i="75"/>
  <c r="BE86" i="75"/>
  <c r="BF71" i="71"/>
  <c r="BJ71" i="71"/>
  <c r="BE71" i="71"/>
  <c r="BF90" i="71"/>
  <c r="BE90" i="71"/>
  <c r="BE78" i="75"/>
  <c r="BF78" i="75"/>
  <c r="BE92" i="71"/>
  <c r="BF92" i="71"/>
  <c r="BF88" i="74"/>
  <c r="AV49" i="69"/>
  <c r="AW49" i="69"/>
  <c r="BF92" i="67"/>
  <c r="BJ92" i="67"/>
  <c r="BF70" i="76"/>
  <c r="BJ70" i="76"/>
  <c r="AV67" i="73"/>
  <c r="AW67" i="73"/>
  <c r="BF112" i="74"/>
  <c r="BE112" i="74"/>
  <c r="BE95" i="1"/>
  <c r="BF95" i="1"/>
  <c r="BF69" i="69"/>
  <c r="BJ69" i="69"/>
  <c r="BK69" i="69"/>
  <c r="BF49" i="75"/>
  <c r="BE49" i="75"/>
  <c r="BE55" i="68"/>
  <c r="AV73" i="1"/>
  <c r="AW73" i="1"/>
  <c r="BE76" i="69"/>
  <c r="AV48" i="76"/>
  <c r="AW48" i="76"/>
  <c r="AW25" i="77"/>
  <c r="AV25" i="77"/>
  <c r="AV30" i="73"/>
  <c r="BD11" i="60"/>
  <c r="BE11" i="60"/>
  <c r="BH11" i="60"/>
  <c r="BI11" i="60"/>
  <c r="BH26" i="64"/>
  <c r="BI26" i="64"/>
  <c r="BD26" i="64"/>
  <c r="D434" i="2"/>
  <c r="AU96" i="61"/>
  <c r="C434" i="2"/>
  <c r="K434" i="2"/>
  <c r="K248" i="2"/>
  <c r="BD34" i="76"/>
  <c r="BD38" i="71"/>
  <c r="BD34" i="69"/>
  <c r="E251" i="2"/>
  <c r="BD37" i="76"/>
  <c r="BD51" i="74"/>
  <c r="BD41" i="66"/>
  <c r="AU67" i="67"/>
  <c r="BA67" i="67"/>
  <c r="C326" i="2"/>
  <c r="E326" i="2"/>
  <c r="BC102" i="60"/>
  <c r="BC102" i="64"/>
  <c r="BC102" i="47"/>
  <c r="BH102" i="47"/>
  <c r="BI102" i="47"/>
  <c r="BC102" i="61"/>
  <c r="AU67" i="1"/>
  <c r="BC108" i="60"/>
  <c r="BD108" i="60"/>
  <c r="AU59" i="76"/>
  <c r="AU73" i="70"/>
  <c r="D332" i="2"/>
  <c r="AU73" i="73"/>
  <c r="AU59" i="69"/>
  <c r="AV59" i="69"/>
  <c r="AU59" i="68"/>
  <c r="E209" i="2"/>
  <c r="D209" i="2"/>
  <c r="C209" i="2"/>
  <c r="AW104" i="68"/>
  <c r="BE111" i="66"/>
  <c r="BF135" i="70"/>
  <c r="AW129" i="67"/>
  <c r="AW135" i="70"/>
  <c r="BF104" i="68"/>
  <c r="BF103" i="69"/>
  <c r="K209" i="2"/>
  <c r="AV85" i="61"/>
  <c r="AZ85" i="61"/>
  <c r="BA85" i="61"/>
  <c r="BD48" i="1"/>
  <c r="BE48" i="1"/>
  <c r="C248" i="2"/>
  <c r="BE26" i="64"/>
  <c r="AU96" i="64"/>
  <c r="K332" i="2"/>
  <c r="C212" i="2"/>
  <c r="L248" i="2"/>
  <c r="L434" i="2"/>
  <c r="L277" i="2"/>
  <c r="D277" i="2"/>
  <c r="K348" i="2"/>
  <c r="C348" i="2"/>
  <c r="L348" i="2"/>
  <c r="E348" i="2"/>
  <c r="K307" i="2"/>
  <c r="E307" i="2"/>
  <c r="BD108" i="67"/>
  <c r="D336" i="2"/>
  <c r="BE104" i="69"/>
  <c r="BF113" i="66"/>
  <c r="AV128" i="67"/>
  <c r="AW102" i="68"/>
  <c r="BF103" i="68"/>
  <c r="AW105" i="68"/>
  <c r="BF106" i="68"/>
  <c r="BF101" i="69"/>
  <c r="BF102" i="69"/>
  <c r="AW137" i="70"/>
  <c r="AW109" i="66"/>
  <c r="AW127" i="67"/>
  <c r="BF131" i="67"/>
  <c r="BF102" i="68"/>
  <c r="BF105" i="68"/>
  <c r="AW105" i="69"/>
  <c r="BI85" i="74"/>
  <c r="AI305" i="2"/>
  <c r="BI63" i="74"/>
  <c r="AI268" i="2"/>
  <c r="AZ56" i="74"/>
  <c r="AH299" i="2"/>
  <c r="BI39" i="74"/>
  <c r="AI231" i="2"/>
  <c r="AZ72" i="74"/>
  <c r="AH331" i="2"/>
  <c r="AZ68" i="74"/>
  <c r="AH327" i="2"/>
  <c r="AZ52" i="74"/>
  <c r="AH289" i="2"/>
  <c r="BI54" i="74"/>
  <c r="AI254" i="2"/>
  <c r="AZ90" i="74"/>
  <c r="AH222" i="2"/>
  <c r="AZ34" i="74"/>
  <c r="AH241" i="2"/>
  <c r="M545" i="7"/>
  <c r="M890" i="7"/>
  <c r="M592" i="7"/>
  <c r="M892" i="7"/>
  <c r="M104" i="7"/>
  <c r="M445" i="7"/>
  <c r="M511" i="7"/>
  <c r="M897" i="7"/>
  <c r="M369" i="7"/>
  <c r="M598" i="7"/>
  <c r="M723" i="7"/>
  <c r="M743" i="7"/>
  <c r="M387" i="7"/>
  <c r="M437" i="7"/>
  <c r="M406" i="7"/>
  <c r="M42" i="7"/>
  <c r="M626" i="7"/>
  <c r="M807" i="7"/>
  <c r="M305" i="7"/>
  <c r="M574" i="7"/>
  <c r="M501" i="7"/>
  <c r="M81" i="7"/>
  <c r="M510" i="7"/>
  <c r="M27" i="7"/>
  <c r="M200" i="7"/>
  <c r="M870" i="7"/>
  <c r="M800" i="7"/>
  <c r="M285" i="7"/>
  <c r="M593" i="7"/>
  <c r="M883" i="7"/>
  <c r="M139" i="7"/>
  <c r="M80" i="7"/>
  <c r="M933" i="7"/>
  <c r="M871" i="7"/>
  <c r="M65" i="7"/>
  <c r="M379" i="7"/>
  <c r="M120" i="7"/>
  <c r="M531" i="7"/>
  <c r="M441" i="7"/>
  <c r="M256" i="7"/>
  <c r="M875" i="7"/>
  <c r="M45" i="7"/>
  <c r="M482" i="7"/>
  <c r="M858" i="7"/>
  <c r="M629" i="7"/>
  <c r="M16" i="7"/>
  <c r="M226" i="7"/>
  <c r="G103" i="2"/>
  <c r="H103" i="2"/>
  <c r="M49" i="7"/>
  <c r="BA46" i="77"/>
  <c r="BB46" i="77"/>
  <c r="M1028" i="7"/>
  <c r="M17" i="7"/>
  <c r="M809" i="7"/>
  <c r="M521" i="7"/>
  <c r="M109" i="7"/>
  <c r="M989" i="7"/>
  <c r="M20" i="7"/>
  <c r="M316" i="7"/>
  <c r="M497" i="7"/>
  <c r="M601" i="7"/>
  <c r="BA21" i="82"/>
  <c r="BB21" i="82"/>
  <c r="M247" i="7"/>
  <c r="M939" i="7"/>
  <c r="M492" i="7"/>
  <c r="M748" i="7"/>
  <c r="M252" i="7"/>
  <c r="M168" i="7"/>
  <c r="M916" i="7"/>
  <c r="M232" i="7"/>
  <c r="M724" i="7"/>
  <c r="M787" i="7"/>
  <c r="M281" i="7"/>
  <c r="M284" i="7"/>
  <c r="M699" i="7"/>
  <c r="BH112" i="64"/>
  <c r="BI112" i="64"/>
  <c r="M394" i="7"/>
  <c r="M821" i="7"/>
  <c r="M507" i="7"/>
  <c r="M533" i="7"/>
  <c r="M150" i="7"/>
  <c r="M603" i="7"/>
  <c r="M1029" i="7"/>
  <c r="M217" i="7"/>
  <c r="M746" i="7"/>
  <c r="M470" i="7"/>
  <c r="M904" i="7"/>
  <c r="M398" i="7"/>
  <c r="M644" i="7"/>
  <c r="M165" i="7"/>
  <c r="M279" i="7"/>
  <c r="M622" i="7"/>
  <c r="M185" i="7"/>
  <c r="M77" i="7"/>
  <c r="M544" i="7"/>
  <c r="M765" i="7"/>
  <c r="M781" i="7"/>
  <c r="M343" i="7"/>
  <c r="M172" i="7"/>
  <c r="M513" i="7"/>
  <c r="M631" i="7"/>
  <c r="G268" i="2"/>
  <c r="H268" i="2"/>
  <c r="M91" i="7"/>
  <c r="M801" i="7"/>
  <c r="M479" i="7"/>
  <c r="M551" i="7"/>
  <c r="M186" i="7"/>
  <c r="M376" i="7"/>
  <c r="M537" i="7"/>
  <c r="M98" i="7"/>
  <c r="M303" i="7"/>
  <c r="M649" i="7"/>
  <c r="M149" i="7"/>
  <c r="M294" i="7"/>
  <c r="M350" i="7"/>
  <c r="M553" i="7"/>
  <c r="M86" i="7"/>
  <c r="M810" i="7"/>
  <c r="M209" i="7"/>
  <c r="M932" i="7"/>
  <c r="M58" i="7"/>
  <c r="M206" i="7"/>
  <c r="M613" i="7"/>
  <c r="BJ36" i="75"/>
  <c r="BK36" i="75"/>
  <c r="M694" i="7"/>
  <c r="M469" i="7"/>
  <c r="M29" i="7"/>
  <c r="M647" i="7"/>
  <c r="M439" i="7"/>
  <c r="M248" i="7"/>
  <c r="M95" i="7"/>
  <c r="M791" i="7"/>
  <c r="M742" i="7"/>
  <c r="M78" i="7"/>
  <c r="BJ22" i="68"/>
  <c r="BK22" i="68"/>
  <c r="M413" i="7"/>
  <c r="M704" i="7"/>
  <c r="M487" i="7"/>
  <c r="M14" i="7"/>
  <c r="M257" i="7"/>
  <c r="M536" i="7"/>
  <c r="M134" i="7"/>
  <c r="M97" i="7"/>
  <c r="M946" i="7"/>
  <c r="M637" i="7"/>
  <c r="M103" i="7"/>
  <c r="M291" i="7"/>
  <c r="BH85" i="61"/>
  <c r="BI85" i="61"/>
  <c r="M554" i="7"/>
  <c r="M458" i="7"/>
  <c r="M701" i="7"/>
  <c r="M404" i="7"/>
  <c r="M471" i="7"/>
  <c r="M665" i="7"/>
  <c r="BH78" i="61"/>
  <c r="BI78" i="61"/>
  <c r="M943" i="7"/>
  <c r="M73" i="7"/>
  <c r="M929" i="7"/>
  <c r="M836" i="7"/>
  <c r="M1022" i="7"/>
  <c r="M412" i="7"/>
  <c r="M803" i="7"/>
  <c r="M927" i="7"/>
  <c r="M889" i="7"/>
  <c r="M242" i="7"/>
  <c r="M494" i="7"/>
  <c r="M198" i="7"/>
  <c r="M390" i="7"/>
  <c r="M774" i="7"/>
  <c r="M328" i="7"/>
  <c r="M840" i="7"/>
  <c r="M333" i="7"/>
  <c r="M591" i="7"/>
  <c r="M228" i="7"/>
  <c r="M271" i="7"/>
  <c r="M472" i="7"/>
  <c r="M555" i="7"/>
  <c r="M887" i="7"/>
  <c r="M727" i="7"/>
  <c r="M895" i="7"/>
  <c r="M909" i="7"/>
  <c r="M691" i="7"/>
  <c r="M954" i="7"/>
  <c r="M547" i="7"/>
  <c r="M62" i="7"/>
  <c r="M238" i="7"/>
  <c r="M110" i="7"/>
  <c r="M868" i="7"/>
  <c r="M595" i="7"/>
  <c r="M280" i="7"/>
  <c r="M818" i="7"/>
  <c r="M906" i="7"/>
  <c r="M371" i="7"/>
  <c r="M87" i="7"/>
  <c r="M641" i="7"/>
  <c r="BJ59" i="69"/>
  <c r="M38" i="7"/>
  <c r="M96" i="7"/>
  <c r="M914" i="7"/>
  <c r="M100" i="7"/>
  <c r="M655" i="7"/>
  <c r="M656" i="7"/>
  <c r="M323" i="7"/>
  <c r="M421" i="7"/>
  <c r="M227" i="7"/>
  <c r="M753" i="7"/>
  <c r="M999" i="7"/>
  <c r="M383" i="7"/>
  <c r="M567" i="7"/>
  <c r="M171" i="7"/>
  <c r="M525" i="7"/>
  <c r="M642" i="7"/>
  <c r="BJ74" i="73"/>
  <c r="M556" i="7"/>
  <c r="M1031" i="7"/>
  <c r="M215" i="7"/>
  <c r="M682" i="7"/>
  <c r="BJ83" i="71"/>
  <c r="M788" i="7"/>
  <c r="M956" i="7"/>
  <c r="M223" i="7"/>
  <c r="M741" i="7"/>
  <c r="M1012" i="7"/>
  <c r="M831" i="7"/>
  <c r="M789" i="7"/>
  <c r="M558" i="7"/>
  <c r="M319" i="7"/>
  <c r="M813" i="7"/>
  <c r="M176" i="7"/>
  <c r="M740" i="7"/>
  <c r="M310" i="7"/>
  <c r="G134" i="2"/>
  <c r="H134" i="2"/>
  <c r="M414" i="7"/>
  <c r="M417" i="7"/>
  <c r="M183" i="7"/>
  <c r="M133" i="7"/>
  <c r="M213" i="7"/>
  <c r="M716" i="7"/>
  <c r="M811" i="7"/>
  <c r="M565" i="7"/>
  <c r="M431" i="7"/>
  <c r="M264" i="7"/>
  <c r="M856" i="7"/>
  <c r="M966" i="7"/>
  <c r="M167" i="7"/>
  <c r="M901" i="7"/>
  <c r="M512" i="7"/>
  <c r="M28" i="7"/>
  <c r="M345" i="7"/>
  <c r="M26" i="7"/>
  <c r="M23" i="7"/>
  <c r="M32" i="7"/>
  <c r="M919" i="7"/>
  <c r="M606" i="7"/>
  <c r="G243" i="2"/>
  <c r="H243" i="2"/>
  <c r="M952" i="7"/>
  <c r="M666" i="7"/>
  <c r="M847" i="7"/>
  <c r="M486" i="7"/>
  <c r="M250" i="7"/>
  <c r="M770" i="7"/>
  <c r="M669" i="7"/>
  <c r="M163" i="7"/>
  <c r="M312" i="7"/>
  <c r="M488" i="7"/>
  <c r="M201" i="7"/>
  <c r="M263" i="7"/>
  <c r="M205" i="7"/>
  <c r="M48" i="7"/>
  <c r="M693" i="7"/>
  <c r="M712" i="7"/>
  <c r="M612" i="7"/>
  <c r="BJ39" i="71"/>
  <c r="M778" i="7"/>
  <c r="M159" i="7"/>
  <c r="M64" i="7"/>
  <c r="M678" i="7"/>
  <c r="M960" i="7"/>
  <c r="M677" i="7"/>
  <c r="BJ72" i="69"/>
  <c r="M419" i="7"/>
  <c r="M526" i="7"/>
  <c r="M937" i="7"/>
  <c r="M550" i="7"/>
  <c r="M915" i="7"/>
  <c r="M13" i="7"/>
  <c r="M214" i="7"/>
  <c r="M116" i="7"/>
  <c r="M277" i="7"/>
  <c r="M347" i="7"/>
  <c r="M297" i="7"/>
  <c r="M251" i="7"/>
  <c r="M11" i="7"/>
  <c r="M767" i="7"/>
  <c r="M985" i="7"/>
  <c r="M309" i="7"/>
  <c r="M963" i="7"/>
  <c r="M571" i="7"/>
  <c r="M702" i="7"/>
  <c r="M124" i="7"/>
  <c r="M700" i="7"/>
  <c r="M233" i="7"/>
  <c r="M912" i="7"/>
  <c r="M170" i="7"/>
  <c r="M761" i="7"/>
  <c r="M540" i="7"/>
  <c r="M783" i="7"/>
  <c r="M127" i="7"/>
  <c r="M430" i="7"/>
  <c r="M621" i="7"/>
  <c r="BJ58" i="70"/>
  <c r="BK58" i="70"/>
  <c r="M143" i="7"/>
  <c r="M734" i="7"/>
  <c r="M707" i="7"/>
  <c r="BJ116" i="70"/>
  <c r="M660" i="7"/>
  <c r="M785" i="7"/>
  <c r="M118" i="7"/>
  <c r="M794" i="7"/>
  <c r="M759" i="7"/>
  <c r="M850" i="7"/>
  <c r="M832" i="7"/>
  <c r="M107" i="7"/>
  <c r="M938" i="7"/>
  <c r="M225" i="7"/>
  <c r="M907" i="7"/>
  <c r="M849" i="7"/>
  <c r="M184" i="7"/>
  <c r="M650" i="7"/>
  <c r="BA50" i="70"/>
  <c r="BB50" i="70"/>
  <c r="M668" i="7"/>
  <c r="M433" i="7"/>
  <c r="M138" i="7"/>
  <c r="G275" i="2"/>
  <c r="H275" i="2"/>
  <c r="M817" i="7"/>
  <c r="G252" i="2"/>
  <c r="H252" i="2"/>
  <c r="G307" i="2"/>
  <c r="H307" i="2"/>
  <c r="G254" i="2"/>
  <c r="H254" i="2"/>
  <c r="BJ44" i="1"/>
  <c r="G265" i="2"/>
  <c r="H265" i="2"/>
  <c r="BA67" i="73"/>
  <c r="BB67" i="73"/>
  <c r="M587" i="7"/>
  <c r="BJ105" i="69"/>
  <c r="M696" i="7"/>
  <c r="BA60" i="69"/>
  <c r="BB60" i="69"/>
  <c r="M265" i="7"/>
  <c r="M427" i="7"/>
  <c r="M838" i="7"/>
  <c r="M136" i="7"/>
  <c r="M211" i="7"/>
  <c r="M368" i="7"/>
  <c r="M287" i="7"/>
  <c r="M315" i="7"/>
  <c r="M420" i="7"/>
  <c r="M614" i="7"/>
  <c r="BJ51" i="70"/>
  <c r="M690" i="7"/>
  <c r="BA68" i="70"/>
  <c r="BB68" i="70"/>
  <c r="M514" i="7"/>
  <c r="M464" i="7"/>
  <c r="M797" i="7"/>
  <c r="M524" i="7"/>
  <c r="M750" i="7"/>
  <c r="M1002" i="7"/>
  <c r="M1011" i="7"/>
  <c r="M499" i="7"/>
  <c r="M837" i="7"/>
  <c r="M456" i="7"/>
  <c r="M180" i="7"/>
  <c r="M543" i="7"/>
  <c r="M326" i="7"/>
  <c r="M624" i="7"/>
  <c r="M199" i="7"/>
  <c r="M240" i="7"/>
  <c r="M182" i="7"/>
  <c r="M126" i="7"/>
  <c r="M731" i="7"/>
  <c r="M192" i="7"/>
  <c r="M262" i="7"/>
  <c r="M835" i="7"/>
  <c r="M848" i="7"/>
  <c r="M83" i="7"/>
  <c r="M275" i="7"/>
  <c r="M815" i="7"/>
  <c r="M243" i="7"/>
  <c r="M634" i="7"/>
  <c r="BJ52" i="69"/>
  <c r="M861" i="7"/>
  <c r="M113" i="7"/>
  <c r="M987" i="7"/>
  <c r="M327" i="7"/>
  <c r="M72" i="7"/>
  <c r="M730" i="7"/>
  <c r="M334" i="7"/>
  <c r="M602" i="7"/>
  <c r="M760" i="7"/>
  <c r="M76" i="7"/>
  <c r="M566" i="7"/>
  <c r="M806" i="7"/>
  <c r="M846" i="7"/>
  <c r="M667" i="7"/>
  <c r="BA61" i="70"/>
  <c r="BB61" i="70"/>
  <c r="M476" i="7"/>
  <c r="M59" i="7"/>
  <c r="M231" i="7"/>
  <c r="M749" i="7"/>
  <c r="M546" i="7"/>
  <c r="M899" i="7"/>
  <c r="M993" i="7"/>
  <c r="M246" i="7"/>
  <c r="M270" i="7"/>
  <c r="M434" i="7"/>
  <c r="M862" i="7"/>
  <c r="M784" i="7"/>
  <c r="M102" i="7"/>
  <c r="M290" i="7"/>
  <c r="M1003" i="7"/>
  <c r="M322" i="7"/>
  <c r="M353" i="7"/>
  <c r="M25" i="7"/>
  <c r="M325" i="7"/>
  <c r="M777" i="7"/>
  <c r="M528" i="7"/>
  <c r="M793" i="7"/>
  <c r="M196" i="7"/>
  <c r="M860" i="7"/>
  <c r="M709" i="7"/>
  <c r="M395" i="7"/>
  <c r="M178" i="7"/>
  <c r="M619" i="7"/>
  <c r="M825" i="7"/>
  <c r="M913" i="7"/>
  <c r="M384" i="7"/>
  <c r="M635" i="7"/>
  <c r="M318" i="7"/>
  <c r="M711" i="7"/>
  <c r="BJ95" i="68"/>
  <c r="BK95" i="68"/>
  <c r="M12" i="7"/>
  <c r="M57" i="7"/>
  <c r="M703" i="7"/>
  <c r="BJ86" i="69"/>
  <c r="M855" i="7"/>
  <c r="M679" i="7"/>
  <c r="BJ74" i="69"/>
  <c r="BK74" i="69"/>
  <c r="M911" i="7"/>
  <c r="M411" i="7"/>
  <c r="M105" i="7"/>
  <c r="M959" i="7"/>
  <c r="M705" i="7"/>
  <c r="M144" i="7"/>
  <c r="M37" i="7"/>
  <c r="M216" i="7"/>
  <c r="M203" i="7"/>
  <c r="M366" i="7"/>
  <c r="M53" i="7"/>
  <c r="M661" i="7"/>
  <c r="M208" i="7"/>
  <c r="M620" i="7"/>
  <c r="M970" i="7"/>
  <c r="M451" i="7"/>
  <c r="M34" i="7"/>
  <c r="M967" i="7"/>
  <c r="M653" i="7"/>
  <c r="M569" i="7"/>
  <c r="M780" i="7"/>
  <c r="M557" i="7"/>
  <c r="M108" i="7"/>
  <c r="M1008" i="7"/>
  <c r="M478" i="7"/>
  <c r="M945" i="7"/>
  <c r="M535" i="7"/>
  <c r="M385" i="7"/>
  <c r="M79" i="7"/>
  <c r="M772" i="7"/>
  <c r="M893" i="7"/>
  <c r="M435" i="7"/>
  <c r="M931" i="7"/>
  <c r="M260" i="7"/>
  <c r="M410" i="7"/>
  <c r="M1020" i="7"/>
  <c r="M224" i="7"/>
  <c r="M676" i="7"/>
  <c r="BJ77" i="66"/>
  <c r="M1006" i="7"/>
  <c r="M352" i="7"/>
  <c r="M878" i="7"/>
  <c r="M381" i="7"/>
  <c r="M454" i="7"/>
  <c r="M19" i="7"/>
  <c r="M965" i="7"/>
  <c r="M508" i="7"/>
  <c r="M374" i="7"/>
  <c r="M40" i="7"/>
  <c r="M732" i="7"/>
  <c r="M814" i="7"/>
  <c r="M575" i="7"/>
  <c r="AZ38" i="61"/>
  <c r="BA38" i="61"/>
  <c r="M876" i="7"/>
  <c r="M923" i="7"/>
  <c r="M658" i="7"/>
  <c r="BJ65" i="69"/>
  <c r="BK65" i="69"/>
  <c r="M1015" i="7"/>
  <c r="M1030" i="7"/>
  <c r="AZ96" i="61"/>
  <c r="BA96" i="61"/>
  <c r="M758" i="7"/>
  <c r="M881" i="7"/>
  <c r="M942" i="7"/>
  <c r="M695" i="7"/>
  <c r="M426" i="7"/>
  <c r="M498" i="7"/>
  <c r="M416" i="7"/>
  <c r="M457" i="7"/>
  <c r="M867" i="7"/>
  <c r="M584" i="7"/>
  <c r="M447" i="7"/>
  <c r="M244" i="7"/>
  <c r="M82" i="7"/>
  <c r="M255" i="7"/>
  <c r="M85" i="7"/>
  <c r="M195" i="7"/>
  <c r="M402" i="7"/>
  <c r="M798" i="7"/>
  <c r="M950" i="7"/>
  <c r="M842" i="7"/>
  <c r="M926" i="7"/>
  <c r="M166" i="7"/>
  <c r="M720" i="7"/>
  <c r="M135" i="7"/>
  <c r="M400" i="7"/>
  <c r="M148" i="7"/>
  <c r="M733" i="7"/>
  <c r="M443" i="7"/>
  <c r="M1033" i="7"/>
  <c r="M484" i="7"/>
  <c r="M399" i="7"/>
  <c r="M161" i="7"/>
  <c r="M991" i="7"/>
  <c r="M651" i="7"/>
  <c r="G288" i="2"/>
  <c r="H288" i="2"/>
  <c r="M1013" i="7"/>
  <c r="M880" i="7"/>
  <c r="M349" i="7"/>
  <c r="M841" i="7"/>
  <c r="M962" i="7"/>
  <c r="M229" i="7"/>
  <c r="M552" i="7"/>
  <c r="BJ26" i="69"/>
  <c r="BK26" i="69"/>
  <c r="M218" i="7"/>
  <c r="M43" i="7"/>
  <c r="M869" i="7"/>
  <c r="M1004" i="7"/>
  <c r="M560" i="7"/>
  <c r="M337" i="7"/>
  <c r="M562" i="7"/>
  <c r="M812" i="7"/>
  <c r="M738" i="7"/>
  <c r="M422" i="7"/>
  <c r="M293" i="7"/>
  <c r="M572" i="7"/>
  <c r="M594" i="7"/>
  <c r="BJ39" i="73"/>
  <c r="M344" i="7"/>
  <c r="M373" i="7"/>
  <c r="M1014" i="7"/>
  <c r="M324" i="7"/>
  <c r="M844" i="7"/>
  <c r="M979" i="7"/>
  <c r="M106" i="7"/>
  <c r="M754" i="7"/>
  <c r="M173" i="7"/>
  <c r="M261" i="7"/>
  <c r="M386" i="7"/>
  <c r="M202" i="7"/>
  <c r="M444" i="7"/>
  <c r="G185" i="2"/>
  <c r="H185" i="2"/>
  <c r="M181" i="7"/>
  <c r="M736" i="7"/>
  <c r="M752" i="7"/>
  <c r="M438" i="7"/>
  <c r="M518" i="7"/>
  <c r="M357" i="7"/>
  <c r="M340" i="7"/>
  <c r="M977" i="7"/>
  <c r="M684" i="7"/>
  <c r="M267" i="7"/>
  <c r="M101" i="7"/>
  <c r="M863" i="7"/>
  <c r="M282" i="7"/>
  <c r="M539" i="7"/>
  <c r="M888" i="7"/>
  <c r="M74" i="7"/>
  <c r="M449" i="7"/>
  <c r="M1018" i="7"/>
  <c r="M611" i="7"/>
  <c r="BJ48" i="70"/>
  <c r="M804" i="7"/>
  <c r="M588" i="7"/>
  <c r="BA54" i="71"/>
  <c r="BJ102" i="67"/>
  <c r="M579" i="7"/>
  <c r="BJ84" i="75"/>
  <c r="BK84" i="75"/>
  <c r="BJ104" i="70"/>
  <c r="BK104" i="70"/>
  <c r="M576" i="7"/>
  <c r="M580" i="7"/>
  <c r="M585" i="7"/>
  <c r="M589" i="7"/>
  <c r="M577" i="7"/>
  <c r="M581" i="7"/>
  <c r="M586" i="7"/>
  <c r="M590" i="7"/>
  <c r="BA26" i="70"/>
  <c r="BB26" i="70"/>
  <c r="M578" i="7"/>
  <c r="M583" i="7"/>
  <c r="BI74" i="76"/>
  <c r="AG316" i="2"/>
  <c r="AZ134" i="70"/>
  <c r="AZ73" i="70"/>
  <c r="Z332" i="2"/>
  <c r="BI26" i="68"/>
  <c r="W75" i="2"/>
  <c r="AZ129" i="67"/>
  <c r="AZ130" i="67"/>
  <c r="BI130" i="67"/>
  <c r="AZ135" i="70"/>
  <c r="AZ136" i="70"/>
  <c r="BI134" i="70"/>
  <c r="AZ33" i="67"/>
  <c r="T240" i="2"/>
  <c r="BF134" i="70"/>
  <c r="BE133" i="70"/>
  <c r="AV135" i="70"/>
  <c r="BF102" i="70"/>
  <c r="AW40" i="70"/>
  <c r="AW26" i="70"/>
  <c r="BF45" i="70"/>
  <c r="BF46" i="70"/>
  <c r="BA35" i="70"/>
  <c r="BB35" i="70"/>
  <c r="AV35" i="70"/>
  <c r="AW45" i="70"/>
  <c r="O81" i="70"/>
  <c r="AU93" i="70"/>
  <c r="BE88" i="70"/>
  <c r="BJ120" i="70"/>
  <c r="BJ102" i="70"/>
  <c r="BK102" i="70"/>
  <c r="BJ62" i="70"/>
  <c r="BF62" i="70"/>
  <c r="BE116" i="70"/>
  <c r="BE108" i="70"/>
  <c r="BE53" i="70"/>
  <c r="BE39" i="70"/>
  <c r="BF39" i="70"/>
  <c r="BE120" i="70"/>
  <c r="Q81" i="70"/>
  <c r="BF70" i="70"/>
  <c r="AV68" i="70"/>
  <c r="BE41" i="70"/>
  <c r="BJ50" i="70"/>
  <c r="AW61" i="70"/>
  <c r="BF110" i="70"/>
  <c r="BF104" i="70"/>
  <c r="BE119" i="70"/>
  <c r="BJ41" i="70"/>
  <c r="BK41" i="70"/>
  <c r="BJ37" i="70"/>
  <c r="BF51" i="70"/>
  <c r="BF37" i="70"/>
  <c r="AA81" i="70"/>
  <c r="BF50" i="70"/>
  <c r="BE106" i="70"/>
  <c r="BE58" i="70"/>
  <c r="AV50" i="70"/>
  <c r="AW50" i="70"/>
  <c r="BF112" i="70"/>
  <c r="BE112" i="70"/>
  <c r="BF68" i="70"/>
  <c r="BE74" i="70"/>
  <c r="AV31" i="70"/>
  <c r="BE104" i="70"/>
  <c r="Y81" i="70"/>
  <c r="AG81" i="70"/>
  <c r="AC81" i="70"/>
  <c r="AW25" i="69"/>
  <c r="BH70" i="69"/>
  <c r="BH40" i="69"/>
  <c r="AZ104" i="69"/>
  <c r="BI104" i="69"/>
  <c r="BA25" i="69"/>
  <c r="BB25" i="69"/>
  <c r="BE101" i="69"/>
  <c r="AV103" i="69"/>
  <c r="AV101" i="69"/>
  <c r="BF52" i="69"/>
  <c r="BJ50" i="69"/>
  <c r="BK50" i="69"/>
  <c r="BF94" i="69"/>
  <c r="BE50" i="69"/>
  <c r="BE78" i="69"/>
  <c r="AW39" i="69"/>
  <c r="AW42" i="69"/>
  <c r="BF78" i="69"/>
  <c r="BA39" i="69"/>
  <c r="BB39" i="69"/>
  <c r="BE73" i="69"/>
  <c r="BI73" i="69"/>
  <c r="Y315" i="2"/>
  <c r="AZ59" i="69"/>
  <c r="X332" i="2"/>
  <c r="AV33" i="69"/>
  <c r="BE52" i="69"/>
  <c r="BA51" i="69"/>
  <c r="BB51" i="69"/>
  <c r="AV60" i="69"/>
  <c r="BF41" i="69"/>
  <c r="AW51" i="69"/>
  <c r="BE43" i="69"/>
  <c r="BF86" i="69"/>
  <c r="BF95" i="68"/>
  <c r="BE95" i="68"/>
  <c r="BF22" i="68"/>
  <c r="BE22" i="68"/>
  <c r="BJ75" i="68"/>
  <c r="BE75" i="68"/>
  <c r="BF71" i="68"/>
  <c r="BE71" i="68"/>
  <c r="BH66" i="68"/>
  <c r="BI66" i="68"/>
  <c r="W295" i="2"/>
  <c r="BH65" i="68"/>
  <c r="BE46" i="68"/>
  <c r="BF46" i="68"/>
  <c r="BE65" i="68"/>
  <c r="BE60" i="68"/>
  <c r="BF60" i="68"/>
  <c r="BH88" i="68"/>
  <c r="BH87" i="68"/>
  <c r="BI87" i="68"/>
  <c r="W340" i="2"/>
  <c r="BH77" i="68"/>
  <c r="BI77" i="68"/>
  <c r="W318" i="2"/>
  <c r="BH76" i="68"/>
  <c r="BI76" i="68"/>
  <c r="W317" i="2"/>
  <c r="AZ48" i="68"/>
  <c r="V303" i="2"/>
  <c r="BH51" i="68"/>
  <c r="BK51" i="68"/>
  <c r="BH50" i="68"/>
  <c r="BI50" i="68"/>
  <c r="W268" i="2"/>
  <c r="BH45" i="68"/>
  <c r="BI45" i="68"/>
  <c r="W258" i="2"/>
  <c r="BH46" i="68"/>
  <c r="BI46" i="68"/>
  <c r="W259" i="2"/>
  <c r="AZ103" i="68"/>
  <c r="AZ104" i="68"/>
  <c r="AW106" i="68"/>
  <c r="AZ105" i="68"/>
  <c r="BI105" i="68"/>
  <c r="AV106" i="68"/>
  <c r="BE127" i="67"/>
  <c r="AV130" i="67"/>
  <c r="BH42" i="66"/>
  <c r="AZ55" i="68"/>
  <c r="V328" i="2"/>
  <c r="AZ26" i="69"/>
  <c r="X241" i="2"/>
  <c r="AZ30" i="69"/>
  <c r="X261" i="2"/>
  <c r="AZ16" i="68"/>
  <c r="V76" i="2"/>
  <c r="AZ45" i="68"/>
  <c r="V300" i="2"/>
  <c r="AZ31" i="68"/>
  <c r="V262" i="2"/>
  <c r="AZ56" i="68"/>
  <c r="V329" i="2"/>
  <c r="AZ37" i="68"/>
  <c r="V278" i="2"/>
  <c r="AZ58" i="68"/>
  <c r="V331" i="2"/>
  <c r="AZ26" i="68"/>
  <c r="V241" i="2"/>
  <c r="AZ47" i="68"/>
  <c r="V302" i="2"/>
  <c r="AZ28" i="68"/>
  <c r="V243" i="2"/>
  <c r="AZ59" i="68"/>
  <c r="V332" i="2"/>
  <c r="AZ60" i="69"/>
  <c r="X333" i="2"/>
  <c r="AZ45" i="69"/>
  <c r="X300" i="2"/>
  <c r="AZ27" i="69"/>
  <c r="X242" i="2"/>
  <c r="AZ19" i="69"/>
  <c r="X215" i="2"/>
  <c r="BI88" i="68"/>
  <c r="W341" i="2"/>
  <c r="AZ5" i="68"/>
  <c r="V137" i="2"/>
  <c r="N137" i="2"/>
  <c r="F137" i="2"/>
  <c r="I137" i="2"/>
  <c r="AZ42" i="68"/>
  <c r="V289" i="2"/>
  <c r="AZ33" i="68"/>
  <c r="V264" i="2"/>
  <c r="BI85" i="68"/>
  <c r="W338" i="2"/>
  <c r="BI30" i="68"/>
  <c r="W79" i="2"/>
  <c r="AZ23" i="68"/>
  <c r="V238" i="2"/>
  <c r="AZ21" i="68"/>
  <c r="V228" i="2"/>
  <c r="BI28" i="68"/>
  <c r="W77" i="2"/>
  <c r="BI95" i="68"/>
  <c r="W348" i="2"/>
  <c r="AZ40" i="68"/>
  <c r="V281" i="2"/>
  <c r="AZ31" i="69"/>
  <c r="X262" i="2"/>
  <c r="AZ11" i="69"/>
  <c r="X167" i="2"/>
  <c r="BI37" i="69"/>
  <c r="Y251" i="2"/>
  <c r="AZ53" i="69"/>
  <c r="X324" i="2"/>
  <c r="AZ32" i="68"/>
  <c r="V263" i="2"/>
  <c r="AZ27" i="68"/>
  <c r="V242" i="2"/>
  <c r="AZ34" i="68"/>
  <c r="V265" i="2"/>
  <c r="AZ9" i="68"/>
  <c r="V141" i="2"/>
  <c r="N141" i="2"/>
  <c r="F141" i="2"/>
  <c r="I141" i="2"/>
  <c r="AZ60" i="68"/>
  <c r="V333" i="2"/>
  <c r="AZ52" i="68"/>
  <c r="V323" i="2"/>
  <c r="AZ33" i="69"/>
  <c r="X264" i="2"/>
  <c r="BI74" i="68"/>
  <c r="W315" i="2"/>
  <c r="AZ30" i="68"/>
  <c r="V261" i="2"/>
  <c r="BI115" i="70"/>
  <c r="AA343" i="2"/>
  <c r="BI21" i="70"/>
  <c r="AA66" i="2"/>
  <c r="AZ34" i="76"/>
  <c r="AF265" i="2"/>
  <c r="AZ23" i="70"/>
  <c r="Z79" i="2"/>
  <c r="AZ72" i="70"/>
  <c r="Z331" i="2"/>
  <c r="AZ31" i="70"/>
  <c r="Z238" i="2"/>
  <c r="AZ13" i="70"/>
  <c r="Z47" i="2"/>
  <c r="AZ69" i="70"/>
  <c r="Z328" i="2"/>
  <c r="AZ71" i="70"/>
  <c r="Z330" i="2"/>
  <c r="BE103" i="66"/>
  <c r="BE94" i="66"/>
  <c r="BF94" i="66"/>
  <c r="BE86" i="66"/>
  <c r="BF86" i="66"/>
  <c r="BE36" i="66"/>
  <c r="BF36" i="66"/>
  <c r="AW27" i="66"/>
  <c r="AV27" i="66"/>
  <c r="AW58" i="66"/>
  <c r="AV58" i="66"/>
  <c r="BH54" i="66"/>
  <c r="BH53" i="66"/>
  <c r="BH94" i="66"/>
  <c r="BF80" i="66"/>
  <c r="BJ80" i="66"/>
  <c r="BK80" i="66"/>
  <c r="BH11" i="66"/>
  <c r="BI11" i="66"/>
  <c r="S95" i="2"/>
  <c r="BH49" i="66"/>
  <c r="BH48" i="66"/>
  <c r="BF109" i="66"/>
  <c r="BE110" i="66"/>
  <c r="AV112" i="66"/>
  <c r="AZ30" i="76"/>
  <c r="AF261" i="2"/>
  <c r="AZ11" i="76"/>
  <c r="AF167" i="2"/>
  <c r="AZ36" i="76"/>
  <c r="AF277" i="2"/>
  <c r="AZ38" i="76"/>
  <c r="AF279" i="2"/>
  <c r="AZ50" i="70"/>
  <c r="Z287" i="2"/>
  <c r="AZ61" i="70"/>
  <c r="Z304" i="2"/>
  <c r="AZ57" i="70"/>
  <c r="Z300" i="2"/>
  <c r="AZ27" i="70"/>
  <c r="Z228" i="2"/>
  <c r="AZ39" i="70"/>
  <c r="Z262" i="2"/>
  <c r="AZ41" i="70"/>
  <c r="Z264" i="2"/>
  <c r="BI29" i="70"/>
  <c r="AA73" i="2"/>
  <c r="AZ64" i="70"/>
  <c r="Z323" i="2"/>
  <c r="AZ74" i="70"/>
  <c r="Z333" i="2"/>
  <c r="AZ54" i="70"/>
  <c r="Z297" i="2"/>
  <c r="BI85" i="70"/>
  <c r="AA305" i="2"/>
  <c r="AZ59" i="70"/>
  <c r="Z302" i="2"/>
  <c r="AZ51" i="70"/>
  <c r="Z288" i="2"/>
  <c r="BI91" i="70"/>
  <c r="AA311" i="2"/>
  <c r="AZ42" i="70"/>
  <c r="Z265" i="2"/>
  <c r="AZ78" i="70"/>
  <c r="AZ57" i="75"/>
  <c r="AJ330" i="2"/>
  <c r="AZ38" i="75"/>
  <c r="AJ279" i="2"/>
  <c r="AZ85" i="75"/>
  <c r="AJ217" i="2"/>
  <c r="AZ27" i="77"/>
  <c r="AL280" i="2"/>
  <c r="AZ33" i="77"/>
  <c r="AL303" i="2"/>
  <c r="BI29" i="75"/>
  <c r="AK215" i="2"/>
  <c r="AZ39" i="77"/>
  <c r="AL329" i="2"/>
  <c r="AZ31" i="75"/>
  <c r="AJ262" i="2"/>
  <c r="AZ11" i="75"/>
  <c r="AJ167" i="2"/>
  <c r="AZ26" i="75"/>
  <c r="AJ241" i="2"/>
  <c r="BI35" i="75"/>
  <c r="AK249" i="2"/>
  <c r="AZ44" i="73"/>
  <c r="AD277" i="2"/>
  <c r="AZ35" i="77"/>
  <c r="AL322" i="2"/>
  <c r="AZ78" i="73"/>
  <c r="AZ27" i="73"/>
  <c r="AD228" i="2"/>
  <c r="AZ56" i="75"/>
  <c r="AJ329" i="2"/>
  <c r="AZ45" i="75"/>
  <c r="AJ300" i="2"/>
  <c r="AZ24" i="75"/>
  <c r="AJ239" i="2"/>
  <c r="AZ27" i="75"/>
  <c r="AJ242" i="2"/>
  <c r="AZ14" i="75"/>
  <c r="AJ210" i="2"/>
  <c r="AZ71" i="73"/>
  <c r="AD330" i="2"/>
  <c r="AZ24" i="77"/>
  <c r="AL277" i="2"/>
  <c r="AZ26" i="77"/>
  <c r="AL279" i="2"/>
  <c r="AZ31" i="77"/>
  <c r="AL301" i="2"/>
  <c r="BI74" i="75"/>
  <c r="AK316" i="2"/>
  <c r="BI35" i="67"/>
  <c r="U79" i="2"/>
  <c r="AZ63" i="67"/>
  <c r="T322" i="2"/>
  <c r="AZ30" i="67"/>
  <c r="T237" i="2"/>
  <c r="AZ32" i="67"/>
  <c r="T239" i="2"/>
  <c r="BI80" i="67"/>
  <c r="U292" i="2"/>
  <c r="AZ54" i="67"/>
  <c r="T297" i="2"/>
  <c r="BI102" i="67"/>
  <c r="U322" i="2"/>
  <c r="AZ38" i="67"/>
  <c r="T261" i="2"/>
  <c r="AZ72" i="67"/>
  <c r="T331" i="2"/>
  <c r="AZ71" i="67"/>
  <c r="T330" i="2"/>
  <c r="AZ67" i="67"/>
  <c r="T326" i="2"/>
  <c r="AZ52" i="71"/>
  <c r="AB304" i="2"/>
  <c r="AZ27" i="71"/>
  <c r="AB240" i="2"/>
  <c r="AZ58" i="71"/>
  <c r="AB327" i="2"/>
  <c r="AZ33" i="71"/>
  <c r="AB262" i="2"/>
  <c r="AZ47" i="71"/>
  <c r="AB299" i="2"/>
  <c r="BI24" i="71"/>
  <c r="AC73" i="2"/>
  <c r="AZ30" i="71"/>
  <c r="AB243" i="2"/>
  <c r="AZ38" i="71"/>
  <c r="AB278" i="2"/>
  <c r="AZ40" i="71"/>
  <c r="AB280" i="2"/>
  <c r="AZ22" i="71"/>
  <c r="AB228" i="2"/>
  <c r="BI103" i="71"/>
  <c r="AC349" i="2"/>
  <c r="AZ63" i="71"/>
  <c r="AB332" i="2"/>
  <c r="AZ28" i="71"/>
  <c r="AB241" i="2"/>
  <c r="AZ49" i="71"/>
  <c r="AB301" i="2"/>
  <c r="AZ43" i="71"/>
  <c r="AB288" i="2"/>
  <c r="AZ25" i="71"/>
  <c r="AB238" i="2"/>
  <c r="AZ31" i="74"/>
  <c r="AH238" i="2"/>
  <c r="AZ76" i="74"/>
  <c r="AH351" i="2"/>
  <c r="AZ40" i="74"/>
  <c r="AH263" i="2"/>
  <c r="AZ38" i="74"/>
  <c r="AH261" i="2"/>
  <c r="AZ57" i="74"/>
  <c r="AH300" i="2"/>
  <c r="AZ55" i="74"/>
  <c r="AH298" i="2"/>
  <c r="BI25" i="74"/>
  <c r="AI48" i="2"/>
  <c r="AZ67" i="74"/>
  <c r="AH326" i="2"/>
  <c r="AZ39" i="74"/>
  <c r="AH262" i="2"/>
  <c r="AZ89" i="74"/>
  <c r="AH221" i="2"/>
  <c r="AZ59" i="74"/>
  <c r="AH302" i="2"/>
  <c r="AZ37" i="77"/>
  <c r="AL324" i="2"/>
  <c r="AZ55" i="73"/>
  <c r="AD298" i="2"/>
  <c r="AZ56" i="73"/>
  <c r="AD299" i="2"/>
  <c r="BI94" i="73"/>
  <c r="AE314" i="2"/>
  <c r="AZ25" i="73"/>
  <c r="AD226" i="2"/>
  <c r="AZ42" i="73"/>
  <c r="AD265" i="2"/>
  <c r="AZ57" i="73"/>
  <c r="AD300" i="2"/>
  <c r="AZ26" i="73"/>
  <c r="AD227" i="2"/>
  <c r="BI93" i="73"/>
  <c r="AE313" i="2"/>
  <c r="AZ59" i="73"/>
  <c r="AD302" i="2"/>
  <c r="AZ51" i="73"/>
  <c r="AD288" i="2"/>
  <c r="AZ74" i="73"/>
  <c r="AD333" i="2"/>
  <c r="BI121" i="73"/>
  <c r="AE349" i="2"/>
  <c r="AZ67" i="73"/>
  <c r="AD326" i="2"/>
  <c r="AZ18" i="73"/>
  <c r="AD74" i="2"/>
  <c r="AZ58" i="73"/>
  <c r="AD301" i="2"/>
  <c r="AZ69" i="73"/>
  <c r="AD328" i="2"/>
  <c r="AZ87" i="75"/>
  <c r="AJ219" i="2"/>
  <c r="AZ47" i="75"/>
  <c r="AJ302" i="2"/>
  <c r="AZ34" i="75"/>
  <c r="AJ265" i="2"/>
  <c r="AZ36" i="75"/>
  <c r="AJ277" i="2"/>
  <c r="AZ55" i="75"/>
  <c r="AJ328" i="2"/>
  <c r="BI42" i="75"/>
  <c r="AK256" i="2"/>
  <c r="AZ48" i="75"/>
  <c r="AJ303" i="2"/>
  <c r="AZ21" i="75"/>
  <c r="AJ228" i="2"/>
  <c r="AZ62" i="75"/>
  <c r="AJ351" i="2"/>
  <c r="AZ40" i="77"/>
  <c r="AL330" i="2"/>
  <c r="AZ64" i="71"/>
  <c r="AB333" i="2"/>
  <c r="AZ54" i="74"/>
  <c r="AH297" i="2"/>
  <c r="AZ51" i="74"/>
  <c r="AH288" i="2"/>
  <c r="AZ73" i="74"/>
  <c r="AH332" i="2"/>
  <c r="AZ87" i="74"/>
  <c r="AH219" i="2"/>
  <c r="AZ70" i="74"/>
  <c r="AH329" i="2"/>
  <c r="AZ27" i="74"/>
  <c r="AH228" i="2"/>
  <c r="BI20" i="75"/>
  <c r="AZ64" i="75"/>
  <c r="AZ26" i="67"/>
  <c r="T227" i="2"/>
  <c r="AZ69" i="67"/>
  <c r="T328" i="2"/>
  <c r="BI29" i="67"/>
  <c r="U73" i="2"/>
  <c r="AZ48" i="67"/>
  <c r="T281" i="2"/>
  <c r="AZ38" i="73"/>
  <c r="AD261" i="2"/>
  <c r="BI116" i="73"/>
  <c r="AE344" i="2"/>
  <c r="AZ36" i="73"/>
  <c r="AD243" i="2"/>
  <c r="AZ39" i="73"/>
  <c r="AD262" i="2"/>
  <c r="AZ72" i="73"/>
  <c r="AD331" i="2"/>
  <c r="AZ47" i="73"/>
  <c r="AD280" i="2"/>
  <c r="AZ64" i="76"/>
  <c r="AZ68" i="71"/>
  <c r="BI24" i="74"/>
  <c r="BA128" i="67"/>
  <c r="BB128" i="67"/>
  <c r="BJ39" i="70"/>
  <c r="BK39" i="70"/>
  <c r="BH91" i="64"/>
  <c r="BI91" i="64"/>
  <c r="BJ49" i="71"/>
  <c r="BJ131" i="1"/>
  <c r="AZ65" i="60"/>
  <c r="BA65" i="60"/>
  <c r="AZ63" i="47"/>
  <c r="BA63" i="47"/>
  <c r="BE39" i="67"/>
  <c r="BF41" i="76"/>
  <c r="BA60" i="1"/>
  <c r="BB60" i="1"/>
  <c r="AW53" i="68"/>
  <c r="BE55" i="70"/>
  <c r="BE53" i="73"/>
  <c r="BE68" i="68"/>
  <c r="BE69" i="61"/>
  <c r="AW56" i="76"/>
  <c r="AW63" i="70"/>
  <c r="AW40" i="68"/>
  <c r="AW64" i="70"/>
  <c r="BF74" i="80"/>
  <c r="AW58" i="1"/>
  <c r="BF55" i="75"/>
  <c r="BJ76" i="67"/>
  <c r="AW44" i="70"/>
  <c r="BF60" i="69"/>
  <c r="BF82" i="78"/>
  <c r="BE81" i="66"/>
  <c r="BF65" i="67"/>
  <c r="BE23" i="75"/>
  <c r="BE65" i="74"/>
  <c r="AV48" i="75"/>
  <c r="BE104" i="67"/>
  <c r="BJ75" i="71"/>
  <c r="BF93" i="66"/>
  <c r="BD91" i="61"/>
  <c r="BE117" i="73"/>
  <c r="BE121" i="73"/>
  <c r="AV60" i="73"/>
  <c r="BE26" i="69"/>
  <c r="BE49" i="73"/>
  <c r="BE91" i="76"/>
  <c r="AW65" i="74"/>
  <c r="BE21" i="76"/>
  <c r="BF38" i="69"/>
  <c r="BJ38" i="69"/>
  <c r="BJ73" i="69"/>
  <c r="BK73" i="69"/>
  <c r="BE97" i="69"/>
  <c r="BF113" i="70"/>
  <c r="BJ113" i="70"/>
  <c r="BJ86" i="71"/>
  <c r="BA48" i="75"/>
  <c r="BB48" i="75"/>
  <c r="BE95" i="71"/>
  <c r="AV46" i="80"/>
  <c r="BF99" i="74"/>
  <c r="BE47" i="66"/>
  <c r="AW98" i="64"/>
  <c r="AW74" i="74"/>
  <c r="BF21" i="75"/>
  <c r="AV24" i="82"/>
  <c r="AW90" i="64"/>
  <c r="BE59" i="74"/>
  <c r="AW55" i="69"/>
  <c r="BF38" i="70"/>
  <c r="BE114" i="70"/>
  <c r="BJ93" i="66"/>
  <c r="BF69" i="67"/>
  <c r="BF99" i="66"/>
  <c r="BA65" i="1"/>
  <c r="BB65" i="1"/>
  <c r="AW34" i="73"/>
  <c r="BE87" i="73"/>
  <c r="AW24" i="82"/>
  <c r="BE99" i="73"/>
  <c r="BF42" i="73"/>
  <c r="BF107" i="70"/>
  <c r="BF97" i="67"/>
  <c r="BA27" i="77"/>
  <c r="BB27" i="77"/>
  <c r="AW30" i="66"/>
  <c r="BJ70" i="68"/>
  <c r="BJ56" i="69"/>
  <c r="BK56" i="69"/>
  <c r="BJ55" i="70"/>
  <c r="BF26" i="75"/>
  <c r="BF74" i="74"/>
  <c r="BF23" i="75"/>
  <c r="BE47" i="73"/>
  <c r="AV74" i="73"/>
  <c r="AW35" i="80"/>
  <c r="AW64" i="60"/>
  <c r="BF56" i="81"/>
  <c r="BF32" i="69"/>
  <c r="AW47" i="78"/>
  <c r="BF50" i="68"/>
  <c r="AW26" i="77"/>
  <c r="BE45" i="73"/>
  <c r="BE70" i="78"/>
  <c r="BJ50" i="77"/>
  <c r="AW44" i="69"/>
  <c r="BJ43" i="69"/>
  <c r="BE39" i="69"/>
  <c r="BJ95" i="74"/>
  <c r="BF47" i="71"/>
  <c r="BF29" i="77"/>
  <c r="AV70" i="67"/>
  <c r="BE65" i="60"/>
  <c r="AV26" i="66"/>
  <c r="BF45" i="73"/>
  <c r="BJ81" i="71"/>
  <c r="AW40" i="78"/>
  <c r="BJ56" i="75"/>
  <c r="BF28" i="76"/>
  <c r="BJ88" i="66"/>
  <c r="BF53" i="67"/>
  <c r="AV38" i="68"/>
  <c r="AV44" i="68"/>
  <c r="BF81" i="70"/>
  <c r="AW76" i="70"/>
  <c r="BH68" i="60"/>
  <c r="BI68" i="60"/>
  <c r="AV44" i="70"/>
  <c r="BE52" i="74"/>
  <c r="BE118" i="60"/>
  <c r="BF53" i="76"/>
  <c r="BE23" i="77"/>
  <c r="AV98" i="64"/>
  <c r="BF62" i="78"/>
  <c r="BF89" i="70"/>
  <c r="BE86" i="74"/>
  <c r="BE68" i="76"/>
  <c r="BE90" i="64"/>
  <c r="AV27" i="77"/>
  <c r="AV30" i="69"/>
  <c r="BE98" i="78"/>
  <c r="BE93" i="71"/>
  <c r="AV58" i="67"/>
  <c r="BE78" i="1"/>
  <c r="BD115" i="47"/>
  <c r="BE76" i="68"/>
  <c r="BE113" i="60"/>
  <c r="AW51" i="66"/>
  <c r="BF67" i="76"/>
  <c r="AW30" i="81"/>
  <c r="BJ60" i="77"/>
  <c r="BJ51" i="69"/>
  <c r="BK51" i="69"/>
  <c r="BF49" i="70"/>
  <c r="BA46" i="74"/>
  <c r="BB46" i="74"/>
  <c r="BJ41" i="76"/>
  <c r="BF60" i="75"/>
  <c r="AZ54" i="61"/>
  <c r="BA54" i="61"/>
  <c r="BF56" i="80"/>
  <c r="BF54" i="81"/>
  <c r="BF75" i="73"/>
  <c r="I433" i="2"/>
  <c r="BF119" i="74"/>
  <c r="AW48" i="61"/>
  <c r="BJ57" i="68"/>
  <c r="AW39" i="74"/>
  <c r="BE97" i="67"/>
  <c r="AV28" i="71"/>
  <c r="BF46" i="82"/>
  <c r="AW39" i="76"/>
  <c r="BF85" i="69"/>
  <c r="AW32" i="67"/>
  <c r="AW60" i="67"/>
  <c r="BA52" i="70"/>
  <c r="BF68" i="68"/>
  <c r="BF86" i="68"/>
  <c r="BJ77" i="69"/>
  <c r="BK77" i="69"/>
  <c r="BF80" i="69"/>
  <c r="BJ80" i="70"/>
  <c r="BK80" i="70"/>
  <c r="BE25" i="70"/>
  <c r="AW52" i="70"/>
  <c r="AV26" i="69"/>
  <c r="AV56" i="74"/>
  <c r="BF111" i="1"/>
  <c r="AV54" i="61"/>
  <c r="BE75" i="73"/>
  <c r="F434" i="2"/>
  <c r="I434" i="2"/>
  <c r="AW55" i="64"/>
  <c r="BJ90" i="70"/>
  <c r="AW76" i="1"/>
  <c r="BF53" i="74"/>
  <c r="BE88" i="75"/>
  <c r="BE111" i="47"/>
  <c r="BE82" i="70"/>
  <c r="AW52" i="75"/>
  <c r="BF57" i="70"/>
  <c r="AV48" i="61"/>
  <c r="AW25" i="68"/>
  <c r="BE29" i="75"/>
  <c r="BE78" i="78"/>
  <c r="BE95" i="70"/>
  <c r="BE88" i="71"/>
  <c r="BF51" i="71"/>
  <c r="AV68" i="47"/>
  <c r="AV38" i="76"/>
  <c r="BF51" i="75"/>
  <c r="BE59" i="81"/>
  <c r="BJ81" i="66"/>
  <c r="BE40" i="68"/>
  <c r="BJ80" i="69"/>
  <c r="BF35" i="69"/>
  <c r="BF51" i="69"/>
  <c r="BA63" i="70"/>
  <c r="BB63" i="70"/>
  <c r="BE80" i="70"/>
  <c r="AW47" i="70"/>
  <c r="BJ70" i="70"/>
  <c r="BE104" i="73"/>
  <c r="AW72" i="1"/>
  <c r="BF57" i="68"/>
  <c r="BF34" i="82"/>
  <c r="BF78" i="78"/>
  <c r="AV58" i="1"/>
  <c r="AV32" i="70"/>
  <c r="AV25" i="73"/>
  <c r="AW60" i="71"/>
  <c r="AV46" i="74"/>
  <c r="BE51" i="75"/>
  <c r="BF92" i="68"/>
  <c r="BF61" i="67"/>
  <c r="AW28" i="66"/>
  <c r="BA47" i="66"/>
  <c r="BB47" i="66"/>
  <c r="AV26" i="68"/>
  <c r="BF70" i="68"/>
  <c r="AV44" i="69"/>
  <c r="AV57" i="69"/>
  <c r="AV25" i="70"/>
  <c r="AV70" i="70"/>
  <c r="BJ62" i="71"/>
  <c r="BJ28" i="76"/>
  <c r="BK28" i="76"/>
  <c r="BE95" i="74"/>
  <c r="AW70" i="73"/>
  <c r="AV40" i="78"/>
  <c r="AV74" i="70"/>
  <c r="AW13" i="75"/>
  <c r="BE68" i="71"/>
  <c r="AV31" i="75"/>
  <c r="BE95" i="67"/>
  <c r="AW70" i="67"/>
  <c r="AW50" i="64"/>
  <c r="BE88" i="66"/>
  <c r="BE32" i="69"/>
  <c r="AV46" i="1"/>
  <c r="BD95" i="47"/>
  <c r="BF68" i="66"/>
  <c r="BE71" i="76"/>
  <c r="BJ35" i="77"/>
  <c r="BK35" i="77"/>
  <c r="BF91" i="69"/>
  <c r="BF113" i="74"/>
  <c r="BF91" i="73"/>
  <c r="BJ80" i="75"/>
  <c r="BJ91" i="73"/>
  <c r="BF58" i="78"/>
  <c r="AV47" i="66"/>
  <c r="AW24" i="68"/>
  <c r="BA25" i="70"/>
  <c r="BJ69" i="75"/>
  <c r="BK69" i="75"/>
  <c r="BF62" i="66"/>
  <c r="AV13" i="75"/>
  <c r="BE49" i="1"/>
  <c r="BD104" i="47"/>
  <c r="BF74" i="68"/>
  <c r="AW30" i="71"/>
  <c r="AW53" i="69"/>
  <c r="AW17" i="77"/>
  <c r="BE35" i="77"/>
  <c r="BF81" i="71"/>
  <c r="AW36" i="73"/>
  <c r="BE55" i="71"/>
  <c r="BF95" i="76"/>
  <c r="BE39" i="76"/>
  <c r="BA63" i="74"/>
  <c r="BB63" i="74"/>
  <c r="BF85" i="74"/>
  <c r="AW63" i="74"/>
  <c r="BF87" i="75"/>
  <c r="BE97" i="66"/>
  <c r="AV38" i="69"/>
  <c r="BA53" i="69"/>
  <c r="BB53" i="69"/>
  <c r="BE111" i="70"/>
  <c r="BF69" i="75"/>
  <c r="BE59" i="61"/>
  <c r="BE58" i="77"/>
  <c r="BF69" i="73"/>
  <c r="BE117" i="74"/>
  <c r="BJ55" i="71"/>
  <c r="BE85" i="73"/>
  <c r="AV52" i="76"/>
  <c r="BF89" i="75"/>
  <c r="BE111" i="67"/>
  <c r="BE43" i="71"/>
  <c r="AW99" i="64"/>
  <c r="BE74" i="80"/>
  <c r="BF80" i="75"/>
  <c r="BE64" i="78"/>
  <c r="BF50" i="77"/>
  <c r="BJ65" i="67"/>
  <c r="BD99" i="47"/>
  <c r="BE103" i="67"/>
  <c r="BF103" i="67"/>
  <c r="BE47" i="77"/>
  <c r="BJ47" i="77"/>
  <c r="BE83" i="70"/>
  <c r="BF83" i="70"/>
  <c r="AW28" i="77"/>
  <c r="AV28" i="77"/>
  <c r="BF68" i="80"/>
  <c r="BE68" i="80"/>
  <c r="BF31" i="82"/>
  <c r="BE31" i="82"/>
  <c r="BE71" i="60"/>
  <c r="BD71" i="60"/>
  <c r="BF64" i="77"/>
  <c r="BE64" i="77"/>
  <c r="BF52" i="68"/>
  <c r="BJ52" i="68"/>
  <c r="BK52" i="68"/>
  <c r="AV34" i="67"/>
  <c r="AW34" i="67"/>
  <c r="AW34" i="74"/>
  <c r="AW26" i="75"/>
  <c r="AV26" i="75"/>
  <c r="AV16" i="76"/>
  <c r="AW16" i="76"/>
  <c r="BE96" i="68"/>
  <c r="BF96" i="68"/>
  <c r="BF103" i="71"/>
  <c r="BE103" i="71"/>
  <c r="AW44" i="76"/>
  <c r="BD70" i="60"/>
  <c r="BE70" i="60"/>
  <c r="BE64" i="76"/>
  <c r="AW26" i="71"/>
  <c r="AV26" i="71"/>
  <c r="AW24" i="76"/>
  <c r="AV24" i="76"/>
  <c r="AW15" i="77"/>
  <c r="AV15" i="77"/>
  <c r="BF34" i="71"/>
  <c r="BE34" i="71"/>
  <c r="BF82" i="66"/>
  <c r="BF51" i="66"/>
  <c r="BF61" i="68"/>
  <c r="AW13" i="69"/>
  <c r="AV13" i="69"/>
  <c r="BE93" i="75"/>
  <c r="BF62" i="81"/>
  <c r="AV52" i="73"/>
  <c r="BA42" i="75"/>
  <c r="AW42" i="75"/>
  <c r="BA42" i="68"/>
  <c r="BB42" i="68"/>
  <c r="AV42" i="68"/>
  <c r="BF53" i="82"/>
  <c r="BJ53" i="82"/>
  <c r="BE53" i="82"/>
  <c r="AW59" i="64"/>
  <c r="AZ59" i="64"/>
  <c r="BA59" i="64"/>
  <c r="AV59" i="64"/>
  <c r="BF56" i="66"/>
  <c r="BE56" i="66"/>
  <c r="BF49" i="82"/>
  <c r="BE49" i="82"/>
  <c r="BE63" i="70"/>
  <c r="BF49" i="76"/>
  <c r="BE49" i="76"/>
  <c r="AW40" i="80"/>
  <c r="AV40" i="80"/>
  <c r="AV35" i="71"/>
  <c r="AW35" i="71"/>
  <c r="BE45" i="69"/>
  <c r="BF45" i="69"/>
  <c r="BJ45" i="69"/>
  <c r="BF55" i="73"/>
  <c r="BF55" i="74"/>
  <c r="BE55" i="74"/>
  <c r="BJ27" i="77"/>
  <c r="BK27" i="77"/>
  <c r="AV36" i="1"/>
  <c r="AW36" i="1"/>
  <c r="AW36" i="70"/>
  <c r="AV36" i="70"/>
  <c r="BF31" i="71"/>
  <c r="BE31" i="71"/>
  <c r="AW26" i="74"/>
  <c r="AV26" i="74"/>
  <c r="AW77" i="64"/>
  <c r="AV77" i="64"/>
  <c r="AV59" i="66"/>
  <c r="AW59" i="66"/>
  <c r="BE62" i="69"/>
  <c r="BA36" i="69"/>
  <c r="BB36" i="69"/>
  <c r="AW36" i="69"/>
  <c r="AV36" i="69"/>
  <c r="BF58" i="69"/>
  <c r="BE58" i="69"/>
  <c r="BF27" i="69"/>
  <c r="BE27" i="69"/>
  <c r="BF94" i="70"/>
  <c r="BE85" i="67"/>
  <c r="BF85" i="67"/>
  <c r="BF85" i="76"/>
  <c r="BE85" i="76"/>
  <c r="AV58" i="70"/>
  <c r="AV43" i="66"/>
  <c r="BA43" i="66"/>
  <c r="BB43" i="66"/>
  <c r="AW43" i="66"/>
  <c r="AW34" i="70"/>
  <c r="AV34" i="70"/>
  <c r="BE54" i="80"/>
  <c r="BF54" i="80"/>
  <c r="BE66" i="80"/>
  <c r="BF66" i="80"/>
  <c r="AW45" i="78"/>
  <c r="AV45" i="78"/>
  <c r="AW38" i="75"/>
  <c r="AV38" i="75"/>
  <c r="BF103" i="66"/>
  <c r="BE88" i="68"/>
  <c r="BF88" i="68"/>
  <c r="BE87" i="69"/>
  <c r="BF87" i="69"/>
  <c r="BE109" i="73"/>
  <c r="BF109" i="73"/>
  <c r="BF109" i="74"/>
  <c r="AW56" i="75"/>
  <c r="AV56" i="75"/>
  <c r="AW65" i="70"/>
  <c r="BE73" i="75"/>
  <c r="BF73" i="75"/>
  <c r="BF48" i="77"/>
  <c r="BE48" i="77"/>
  <c r="BE66" i="81"/>
  <c r="BJ90" i="78"/>
  <c r="BJ83" i="68"/>
  <c r="AW74" i="67"/>
  <c r="BF69" i="70"/>
  <c r="AW70" i="1"/>
  <c r="BE36" i="68"/>
  <c r="BE38" i="73"/>
  <c r="BE29" i="76"/>
  <c r="BF123" i="73"/>
  <c r="BF76" i="69"/>
  <c r="AV72" i="73"/>
  <c r="AW72" i="73"/>
  <c r="BE97" i="70"/>
  <c r="BJ97" i="70"/>
  <c r="BE115" i="73"/>
  <c r="BE75" i="75"/>
  <c r="BJ75" i="75"/>
  <c r="BK75" i="75"/>
  <c r="AW18" i="76"/>
  <c r="AV18" i="76"/>
  <c r="BE55" i="66"/>
  <c r="BE65" i="73"/>
  <c r="BF65" i="73"/>
  <c r="BF61" i="74"/>
  <c r="BE61" i="74"/>
  <c r="BF43" i="75"/>
  <c r="BE43" i="75"/>
  <c r="BE49" i="74"/>
  <c r="BF49" i="74"/>
  <c r="BE66" i="78"/>
  <c r="BF66" i="78"/>
  <c r="BE48" i="82"/>
  <c r="BF48" i="82"/>
  <c r="AW31" i="68"/>
  <c r="AV31" i="68"/>
  <c r="BF45" i="74"/>
  <c r="BE45" i="74"/>
  <c r="BE82" i="75"/>
  <c r="BJ82" i="75"/>
  <c r="BK82" i="75"/>
  <c r="BF82" i="75"/>
  <c r="BJ75" i="66"/>
  <c r="BK75" i="66"/>
  <c r="BE75" i="66"/>
  <c r="AW60" i="70"/>
  <c r="BA60" i="70"/>
  <c r="BB60" i="70"/>
  <c r="AV48" i="68"/>
  <c r="BA48" i="68"/>
  <c r="BB48" i="68"/>
  <c r="AW48" i="68"/>
  <c r="AW60" i="66"/>
  <c r="BF72" i="69"/>
  <c r="BF62" i="69"/>
  <c r="BF75" i="75"/>
  <c r="BF58" i="80"/>
  <c r="BE52" i="68"/>
  <c r="AV34" i="74"/>
  <c r="AV55" i="73"/>
  <c r="AW58" i="70"/>
  <c r="BE35" i="76"/>
  <c r="AV44" i="76"/>
  <c r="BE109" i="74"/>
  <c r="BF47" i="75"/>
  <c r="BF97" i="73"/>
  <c r="BJ97" i="73"/>
  <c r="BE97" i="73"/>
  <c r="BF77" i="66"/>
  <c r="BE77" i="66"/>
  <c r="BF85" i="70"/>
  <c r="BE85" i="70"/>
  <c r="BD68" i="64"/>
  <c r="BH68" i="64"/>
  <c r="BI68" i="64"/>
  <c r="BA63" i="71"/>
  <c r="BB63" i="71"/>
  <c r="AZ43" i="61"/>
  <c r="BA43" i="61"/>
  <c r="BE44" i="1"/>
  <c r="AV31" i="77"/>
  <c r="AV33" i="71"/>
  <c r="BF73" i="71"/>
  <c r="BE73" i="71"/>
  <c r="AW42" i="76"/>
  <c r="BE121" i="1"/>
  <c r="AW34" i="75"/>
  <c r="AV28" i="76"/>
  <c r="BF56" i="76"/>
  <c r="BF37" i="75"/>
  <c r="BF40" i="68"/>
  <c r="BE119" i="1"/>
  <c r="AV102" i="68"/>
  <c r="BJ102" i="68"/>
  <c r="BF78" i="71"/>
  <c r="BF100" i="66"/>
  <c r="BJ68" i="76"/>
  <c r="BF60" i="82"/>
  <c r="BE102" i="68"/>
  <c r="BJ101" i="69"/>
  <c r="BE78" i="64"/>
  <c r="AV46" i="61"/>
  <c r="BF72" i="68"/>
  <c r="BJ113" i="66"/>
  <c r="AW61" i="66"/>
  <c r="AV127" i="67"/>
  <c r="AV105" i="68"/>
  <c r="BA105" i="68"/>
  <c r="BB105" i="68"/>
  <c r="AW103" i="68"/>
  <c r="BF77" i="69"/>
  <c r="BF56" i="69"/>
  <c r="BJ104" i="73"/>
  <c r="BK104" i="73"/>
  <c r="AV31" i="76"/>
  <c r="AW46" i="73"/>
  <c r="AW56" i="74"/>
  <c r="BE57" i="1"/>
  <c r="BE56" i="75"/>
  <c r="BJ91" i="74"/>
  <c r="AV84" i="60"/>
  <c r="BF74" i="78"/>
  <c r="BE115" i="47"/>
  <c r="AW26" i="73"/>
  <c r="BE82" i="74"/>
  <c r="AW32" i="73"/>
  <c r="AV60" i="71"/>
  <c r="BE55" i="76"/>
  <c r="BF111" i="73"/>
  <c r="BE73" i="76"/>
  <c r="BF64" i="75"/>
  <c r="BE44" i="77"/>
  <c r="BF40" i="77"/>
  <c r="AW39" i="67"/>
  <c r="BF32" i="76"/>
  <c r="BE113" i="66"/>
  <c r="AV109" i="66"/>
  <c r="BE29" i="69"/>
  <c r="BF49" i="69"/>
  <c r="BF23" i="69"/>
  <c r="BJ25" i="70"/>
  <c r="BK25" i="70"/>
  <c r="AW51" i="70"/>
  <c r="BF87" i="70"/>
  <c r="BJ87" i="70"/>
  <c r="BA51" i="70"/>
  <c r="BB51" i="70"/>
  <c r="AV55" i="70"/>
  <c r="BJ40" i="81"/>
  <c r="BK40" i="81"/>
  <c r="BE83" i="73"/>
  <c r="BF38" i="68"/>
  <c r="AW48" i="74"/>
  <c r="BE91" i="71"/>
  <c r="BE91" i="74"/>
  <c r="BE52" i="82"/>
  <c r="BD111" i="47"/>
  <c r="AV56" i="68"/>
  <c r="BE66" i="71"/>
  <c r="BJ88" i="71"/>
  <c r="BF89" i="74"/>
  <c r="BF50" i="81"/>
  <c r="AV31" i="82"/>
  <c r="BF60" i="77"/>
  <c r="BJ44" i="77"/>
  <c r="BE92" i="68"/>
  <c r="AV21" i="77"/>
  <c r="BE25" i="67"/>
  <c r="BE91" i="66"/>
  <c r="BF121" i="67"/>
  <c r="BF111" i="66"/>
  <c r="BE90" i="70"/>
  <c r="BF65" i="74"/>
  <c r="BE40" i="81"/>
  <c r="BJ47" i="73"/>
  <c r="AW55" i="47"/>
  <c r="BE117" i="47"/>
  <c r="BA53" i="68"/>
  <c r="AV37" i="66"/>
  <c r="BF79" i="71"/>
  <c r="AV64" i="60"/>
  <c r="BE65" i="76"/>
  <c r="BH65" i="60"/>
  <c r="BI65" i="60"/>
  <c r="AV29" i="1"/>
  <c r="AW39" i="71"/>
  <c r="AV33" i="73"/>
  <c r="AV14" i="76"/>
  <c r="BF57" i="74"/>
  <c r="BF41" i="75"/>
  <c r="BE32" i="82"/>
  <c r="AW46" i="61"/>
  <c r="BA35" i="77"/>
  <c r="BB35" i="77"/>
  <c r="BF31" i="77"/>
  <c r="BF62" i="77"/>
  <c r="BF36" i="77"/>
  <c r="AW35" i="77"/>
  <c r="BD113" i="47"/>
  <c r="BE113" i="47"/>
  <c r="BE113" i="64"/>
  <c r="BD113" i="64"/>
  <c r="BE105" i="47"/>
  <c r="BD105" i="47"/>
  <c r="BD100" i="47"/>
  <c r="BH100" i="47"/>
  <c r="BI100" i="47"/>
  <c r="BE100" i="47"/>
  <c r="BF71" i="66"/>
  <c r="BE71" i="66"/>
  <c r="BE64" i="69"/>
  <c r="BJ107" i="70"/>
  <c r="BJ87" i="71"/>
  <c r="BK87" i="71"/>
  <c r="AV24" i="66"/>
  <c r="BE86" i="70"/>
  <c r="BF76" i="68"/>
  <c r="BJ47" i="74"/>
  <c r="AV42" i="76"/>
  <c r="BA47" i="74"/>
  <c r="AW38" i="80"/>
  <c r="BF93" i="69"/>
  <c r="BE121" i="47"/>
  <c r="BD121" i="47"/>
  <c r="BE121" i="61"/>
  <c r="BD121" i="61"/>
  <c r="BD117" i="61"/>
  <c r="BE117" i="61"/>
  <c r="BE105" i="61"/>
  <c r="BD105" i="61"/>
  <c r="AW47" i="71"/>
  <c r="AV47" i="71"/>
  <c r="BF63" i="68"/>
  <c r="BE54" i="68"/>
  <c r="BE67" i="76"/>
  <c r="BJ47" i="1"/>
  <c r="BD68" i="60"/>
  <c r="BF71" i="75"/>
  <c r="BD112" i="61"/>
  <c r="AW46" i="67"/>
  <c r="BF117" i="70"/>
  <c r="BE117" i="70"/>
  <c r="BF117" i="1"/>
  <c r="BE117" i="1"/>
  <c r="BF113" i="67"/>
  <c r="BE113" i="67"/>
  <c r="AV74" i="1"/>
  <c r="AW74" i="1"/>
  <c r="BE104" i="74"/>
  <c r="BF104" i="74"/>
  <c r="BF83" i="66"/>
  <c r="BD91" i="60"/>
  <c r="BE91" i="60"/>
  <c r="BE83" i="64"/>
  <c r="BH83" i="64"/>
  <c r="BI83" i="64"/>
  <c r="BD83" i="64"/>
  <c r="BD70" i="61"/>
  <c r="BE70" i="61"/>
  <c r="AW25" i="74"/>
  <c r="AV25" i="74"/>
  <c r="AV129" i="67"/>
  <c r="AV104" i="68"/>
  <c r="AW134" i="70"/>
  <c r="BJ82" i="68"/>
  <c r="BF47" i="1"/>
  <c r="BE66" i="74"/>
  <c r="AV47" i="74"/>
  <c r="BE47" i="74"/>
  <c r="AV25" i="75"/>
  <c r="BF115" i="70"/>
  <c r="BE121" i="70"/>
  <c r="BF121" i="70"/>
  <c r="BE95" i="66"/>
  <c r="BF95" i="66"/>
  <c r="BE109" i="67"/>
  <c r="BF109" i="67"/>
  <c r="BF91" i="67"/>
  <c r="BE91" i="67"/>
  <c r="AW56" i="1"/>
  <c r="AV56" i="1"/>
  <c r="BD75" i="64"/>
  <c r="BE75" i="64"/>
  <c r="BE82" i="67"/>
  <c r="BF82" i="67"/>
  <c r="BD70" i="47"/>
  <c r="BE70" i="47"/>
  <c r="BE70" i="64"/>
  <c r="BD70" i="64"/>
  <c r="BE85" i="1"/>
  <c r="BF85" i="1"/>
  <c r="BF24" i="76"/>
  <c r="BE24" i="76"/>
  <c r="BE89" i="69"/>
  <c r="BF89" i="69"/>
  <c r="BF115" i="1"/>
  <c r="BJ115" i="1"/>
  <c r="BK115" i="1"/>
  <c r="BE115" i="1"/>
  <c r="BE102" i="73"/>
  <c r="BJ102" i="73"/>
  <c r="BF62" i="80"/>
  <c r="BE62" i="80"/>
  <c r="AZ54" i="60"/>
  <c r="BA54" i="60"/>
  <c r="AW54" i="60"/>
  <c r="AV54" i="60"/>
  <c r="AW67" i="60"/>
  <c r="AV67" i="60"/>
  <c r="AV39" i="66"/>
  <c r="AW39" i="66"/>
  <c r="BF61" i="73"/>
  <c r="BE61" i="73"/>
  <c r="BE53" i="1"/>
  <c r="BF53" i="1"/>
  <c r="BF75" i="69"/>
  <c r="BE75" i="69"/>
  <c r="BJ75" i="69"/>
  <c r="BK75" i="69"/>
  <c r="AV14" i="75"/>
  <c r="AW14" i="75"/>
  <c r="BE77" i="47"/>
  <c r="BD77" i="47"/>
  <c r="AW63" i="67"/>
  <c r="AV63" i="67"/>
  <c r="AV39" i="1"/>
  <c r="AW39" i="1"/>
  <c r="BE46" i="81"/>
  <c r="BF46" i="81"/>
  <c r="AV63" i="47"/>
  <c r="AW63" i="47"/>
  <c r="AW50" i="60"/>
  <c r="AV50" i="60"/>
  <c r="BE39" i="66"/>
  <c r="BF39" i="66"/>
  <c r="BF45" i="67"/>
  <c r="BA23" i="69"/>
  <c r="BB23" i="69"/>
  <c r="BE89" i="67"/>
  <c r="BF89" i="67"/>
  <c r="BE119" i="73"/>
  <c r="BF119" i="73"/>
  <c r="BF74" i="67"/>
  <c r="BE74" i="67"/>
  <c r="AW50" i="61"/>
  <c r="BE48" i="68"/>
  <c r="BF48" i="68"/>
  <c r="BE45" i="1"/>
  <c r="BF45" i="1"/>
  <c r="BJ45" i="1"/>
  <c r="BA106" i="68"/>
  <c r="BJ90" i="71"/>
  <c r="BF66" i="66"/>
  <c r="BE66" i="66"/>
  <c r="AW14" i="69"/>
  <c r="AV14" i="69"/>
  <c r="BD81" i="61"/>
  <c r="BE81" i="61"/>
  <c r="BF119" i="67"/>
  <c r="BE119" i="67"/>
  <c r="BF97" i="71"/>
  <c r="AV46" i="70"/>
  <c r="AW46" i="70"/>
  <c r="BE44" i="68"/>
  <c r="BF44" i="68"/>
  <c r="BF49" i="67"/>
  <c r="BE49" i="67"/>
  <c r="AV58" i="64"/>
  <c r="AW58" i="64"/>
  <c r="AV39" i="70"/>
  <c r="BE43" i="66"/>
  <c r="BF43" i="66"/>
  <c r="BJ31" i="71"/>
  <c r="BA18" i="76"/>
  <c r="BE46" i="77"/>
  <c r="BA28" i="77"/>
  <c r="BB28" i="77"/>
  <c r="BJ27" i="75"/>
  <c r="BK27" i="75"/>
  <c r="BD115" i="64"/>
  <c r="BE115" i="64"/>
  <c r="BE112" i="64"/>
  <c r="BD112" i="64"/>
  <c r="BJ74" i="1"/>
  <c r="BK74" i="1"/>
  <c r="BJ35" i="69"/>
  <c r="BJ36" i="68"/>
  <c r="BK36" i="68"/>
  <c r="BH91" i="60"/>
  <c r="BI91" i="60"/>
  <c r="BJ49" i="74"/>
  <c r="BJ59" i="70"/>
  <c r="AZ43" i="47"/>
  <c r="BA43" i="47"/>
  <c r="BJ64" i="71"/>
  <c r="BD112" i="47"/>
  <c r="BE112" i="47"/>
  <c r="G315" i="2"/>
  <c r="H315" i="2"/>
  <c r="AZ50" i="61"/>
  <c r="BA50" i="61"/>
  <c r="BJ95" i="1"/>
  <c r="BJ49" i="73"/>
  <c r="BJ39" i="66"/>
  <c r="BJ73" i="76"/>
  <c r="BK73" i="76"/>
  <c r="BA131" i="1"/>
  <c r="BJ61" i="68"/>
  <c r="BJ74" i="74"/>
  <c r="BK74" i="74"/>
  <c r="BJ46" i="68"/>
  <c r="BA103" i="69"/>
  <c r="BB103" i="69"/>
  <c r="BD115" i="61"/>
  <c r="BE115" i="61"/>
  <c r="AV72" i="77"/>
  <c r="AW72" i="77"/>
  <c r="BF85" i="81"/>
  <c r="BE85" i="81"/>
  <c r="AW105" i="78"/>
  <c r="AV105" i="78"/>
  <c r="AV134" i="73"/>
  <c r="AW134" i="73"/>
  <c r="AV89" i="80"/>
  <c r="AW89" i="80"/>
  <c r="BF108" i="78"/>
  <c r="BJ108" i="78"/>
  <c r="BE108" i="78"/>
  <c r="BF111" i="76"/>
  <c r="BE111" i="76"/>
  <c r="BJ111" i="76"/>
  <c r="BA88" i="81"/>
  <c r="AW88" i="81"/>
  <c r="AV88" i="81"/>
  <c r="BF143" i="74"/>
  <c r="BJ143" i="74"/>
  <c r="BE143" i="74"/>
  <c r="BA74" i="82"/>
  <c r="AW74" i="82"/>
  <c r="AV74" i="82"/>
  <c r="BF107" i="76"/>
  <c r="BE107" i="76"/>
  <c r="BF104" i="78"/>
  <c r="BE104" i="78"/>
  <c r="BE88" i="80"/>
  <c r="BF88" i="80"/>
  <c r="BA107" i="76"/>
  <c r="AW107" i="76"/>
  <c r="AV107" i="76"/>
  <c r="AW136" i="73"/>
  <c r="BA136" i="73"/>
  <c r="BB136" i="73"/>
  <c r="AV136" i="73"/>
  <c r="AW142" i="74"/>
  <c r="AV142" i="74"/>
  <c r="BA142" i="74"/>
  <c r="BB142" i="74"/>
  <c r="AW116" i="75"/>
  <c r="BA116" i="75"/>
  <c r="BB116" i="75"/>
  <c r="AV116" i="75"/>
  <c r="BE91" i="80"/>
  <c r="BF91" i="80"/>
  <c r="BJ91" i="80"/>
  <c r="BK91" i="80"/>
  <c r="AV118" i="71"/>
  <c r="AW118" i="71"/>
  <c r="BA118" i="71"/>
  <c r="BB118" i="71"/>
  <c r="BE89" i="60"/>
  <c r="BD89" i="60"/>
  <c r="BD74" i="64"/>
  <c r="BE74" i="64"/>
  <c r="AW135" i="73"/>
  <c r="BA135" i="73"/>
  <c r="BB135" i="73"/>
  <c r="AV135" i="73"/>
  <c r="AV86" i="81"/>
  <c r="BA86" i="81"/>
  <c r="BB86" i="81"/>
  <c r="AW86" i="81"/>
  <c r="AV72" i="82"/>
  <c r="AW72" i="82"/>
  <c r="BA52" i="74"/>
  <c r="BB52" i="74"/>
  <c r="AW52" i="74"/>
  <c r="AV52" i="74"/>
  <c r="BF63" i="66"/>
  <c r="BJ63" i="66"/>
  <c r="AW59" i="61"/>
  <c r="AV59" i="61"/>
  <c r="BF64" i="80"/>
  <c r="BE64" i="80"/>
  <c r="BF53" i="66"/>
  <c r="BE53" i="66"/>
  <c r="AV52" i="64"/>
  <c r="AW52" i="64"/>
  <c r="AV41" i="67"/>
  <c r="AV43" i="64"/>
  <c r="AW43" i="64"/>
  <c r="AW43" i="47"/>
  <c r="AV43" i="47"/>
  <c r="BE55" i="67"/>
  <c r="BF55" i="67"/>
  <c r="BE51" i="67"/>
  <c r="BF51" i="67"/>
  <c r="BE47" i="70"/>
  <c r="BF47" i="70"/>
  <c r="BJ47" i="70"/>
  <c r="BK47" i="70"/>
  <c r="AV28" i="69"/>
  <c r="AW28" i="69"/>
  <c r="AW89" i="64"/>
  <c r="AV89" i="64"/>
  <c r="AV84" i="64"/>
  <c r="AW84" i="64"/>
  <c r="AW21" i="66"/>
  <c r="AV21" i="66"/>
  <c r="BE103" i="68"/>
  <c r="BJ105" i="68"/>
  <c r="BK105" i="68"/>
  <c r="BE105" i="69"/>
  <c r="BE102" i="69"/>
  <c r="BE135" i="70"/>
  <c r="AV34" i="75"/>
  <c r="BF76" i="75"/>
  <c r="AW116" i="71"/>
  <c r="AV116" i="71"/>
  <c r="BE108" i="76"/>
  <c r="BF108" i="76"/>
  <c r="AV85" i="81"/>
  <c r="AW85" i="81"/>
  <c r="AW108" i="76"/>
  <c r="BA108" i="76"/>
  <c r="BB108" i="76"/>
  <c r="AV108" i="76"/>
  <c r="AW71" i="82"/>
  <c r="AV71" i="82"/>
  <c r="AW119" i="71"/>
  <c r="AV119" i="71"/>
  <c r="BA119" i="71"/>
  <c r="BA75" i="77"/>
  <c r="AW75" i="77"/>
  <c r="AV75" i="77"/>
  <c r="BA117" i="75"/>
  <c r="AW117" i="75"/>
  <c r="AV117" i="75"/>
  <c r="BF75" i="77"/>
  <c r="BE75" i="77"/>
  <c r="BJ75" i="77"/>
  <c r="AW113" i="75"/>
  <c r="AV113" i="75"/>
  <c r="AW88" i="80"/>
  <c r="AV88" i="80"/>
  <c r="AW139" i="74"/>
  <c r="BA139" i="74"/>
  <c r="AV139" i="74"/>
  <c r="BF70" i="82"/>
  <c r="BE70" i="82"/>
  <c r="BJ70" i="82"/>
  <c r="BF139" i="74"/>
  <c r="BE139" i="74"/>
  <c r="BJ139" i="74"/>
  <c r="AW110" i="76"/>
  <c r="AV110" i="76"/>
  <c r="BJ116" i="75"/>
  <c r="BK116" i="75"/>
  <c r="BE116" i="75"/>
  <c r="BF116" i="75"/>
  <c r="BJ87" i="81"/>
  <c r="BK87" i="81"/>
  <c r="BE87" i="81"/>
  <c r="BF87" i="81"/>
  <c r="AW107" i="78"/>
  <c r="AV107" i="78"/>
  <c r="BE93" i="70"/>
  <c r="BF93" i="70"/>
  <c r="BE71" i="69"/>
  <c r="BF71" i="69"/>
  <c r="BF80" i="1"/>
  <c r="BE80" i="1"/>
  <c r="BF141" i="74"/>
  <c r="BJ141" i="74"/>
  <c r="BE141" i="74"/>
  <c r="BF73" i="77"/>
  <c r="BE73" i="77"/>
  <c r="BJ109" i="76"/>
  <c r="BF109" i="76"/>
  <c r="BE109" i="76"/>
  <c r="AV73" i="77"/>
  <c r="AW73" i="77"/>
  <c r="AV44" i="66"/>
  <c r="BA44" i="66"/>
  <c r="BB44" i="66"/>
  <c r="AW44" i="66"/>
  <c r="BJ75" i="70"/>
  <c r="BF75" i="70"/>
  <c r="AW64" i="61"/>
  <c r="AZ64" i="61"/>
  <c r="BA64" i="61"/>
  <c r="BE75" i="67"/>
  <c r="BF75" i="67"/>
  <c r="BJ75" i="67"/>
  <c r="BF83" i="78"/>
  <c r="BJ83" i="78"/>
  <c r="AV55" i="60"/>
  <c r="AW55" i="60"/>
  <c r="BE63" i="67"/>
  <c r="AV48" i="64"/>
  <c r="AW48" i="64"/>
  <c r="AV43" i="61"/>
  <c r="AW43" i="61"/>
  <c r="BF45" i="66"/>
  <c r="BE45" i="66"/>
  <c r="BF37" i="66"/>
  <c r="BE37" i="66"/>
  <c r="BE37" i="71"/>
  <c r="BF37" i="71"/>
  <c r="BJ37" i="71"/>
  <c r="BK37" i="71"/>
  <c r="AV92" i="60"/>
  <c r="AW92" i="60"/>
  <c r="BF39" i="1"/>
  <c r="BE39" i="1"/>
  <c r="BF31" i="66"/>
  <c r="BE31" i="66"/>
  <c r="BE104" i="68"/>
  <c r="BD111" i="61"/>
  <c r="BF56" i="71"/>
  <c r="BF45" i="71"/>
  <c r="AV39" i="76"/>
  <c r="BE60" i="78"/>
  <c r="BE134" i="73"/>
  <c r="BF134" i="73"/>
  <c r="BE140" i="74"/>
  <c r="BF140" i="74"/>
  <c r="BF71" i="82"/>
  <c r="BE71" i="82"/>
  <c r="BF137" i="73"/>
  <c r="BJ137" i="73"/>
  <c r="BE137" i="73"/>
  <c r="BA92" i="80"/>
  <c r="AW92" i="80"/>
  <c r="AV92" i="80"/>
  <c r="BA137" i="73"/>
  <c r="AW137" i="73"/>
  <c r="AV137" i="73"/>
  <c r="BJ119" i="71"/>
  <c r="BF119" i="71"/>
  <c r="BE119" i="71"/>
  <c r="BA108" i="78"/>
  <c r="BF84" i="81"/>
  <c r="BE84" i="81"/>
  <c r="BJ84" i="81"/>
  <c r="BF113" i="75"/>
  <c r="BE113" i="75"/>
  <c r="AW71" i="77"/>
  <c r="AV71" i="77"/>
  <c r="BJ71" i="77"/>
  <c r="BE71" i="77"/>
  <c r="BF71" i="77"/>
  <c r="BF118" i="71"/>
  <c r="BE118" i="71"/>
  <c r="BJ118" i="71"/>
  <c r="BE136" i="73"/>
  <c r="BF136" i="73"/>
  <c r="BJ136" i="73"/>
  <c r="AW73" i="82"/>
  <c r="AV73" i="82"/>
  <c r="BJ73" i="82"/>
  <c r="BK73" i="82"/>
  <c r="BE73" i="82"/>
  <c r="BF73" i="82"/>
  <c r="BF67" i="69"/>
  <c r="BE67" i="69"/>
  <c r="AV141" i="74"/>
  <c r="AW141" i="74"/>
  <c r="AW115" i="75"/>
  <c r="AV115" i="75"/>
  <c r="BF117" i="71"/>
  <c r="BE117" i="71"/>
  <c r="BE106" i="78"/>
  <c r="BF106" i="78"/>
  <c r="BF90" i="80"/>
  <c r="BE90" i="80"/>
  <c r="BH65" i="61"/>
  <c r="BI65" i="61"/>
  <c r="BD65" i="61"/>
  <c r="BE65" i="61"/>
  <c r="BA39" i="68"/>
  <c r="AV39" i="68"/>
  <c r="BE66" i="73"/>
  <c r="BF66" i="73"/>
  <c r="BF53" i="68"/>
  <c r="BE33" i="77"/>
  <c r="BF33" i="77"/>
  <c r="AW48" i="47"/>
  <c r="AV48" i="47"/>
  <c r="AW33" i="69"/>
  <c r="BF59" i="67"/>
  <c r="BE59" i="67"/>
  <c r="BE47" i="67"/>
  <c r="BE105" i="68"/>
  <c r="AV105" i="69"/>
  <c r="AW103" i="69"/>
  <c r="AV62" i="76"/>
  <c r="BE111" i="61"/>
  <c r="BE52" i="81"/>
  <c r="BE45" i="76"/>
  <c r="BE67" i="75"/>
  <c r="BF60" i="78"/>
  <c r="AW26" i="82"/>
  <c r="AV16" i="77"/>
  <c r="BF105" i="78"/>
  <c r="BE105" i="78"/>
  <c r="BJ105" i="78"/>
  <c r="BF89" i="80"/>
  <c r="BE89" i="80"/>
  <c r="BE116" i="71"/>
  <c r="BF116" i="71"/>
  <c r="BF72" i="77"/>
  <c r="BE72" i="77"/>
  <c r="AV114" i="75"/>
  <c r="AW114" i="75"/>
  <c r="BF117" i="75"/>
  <c r="BE117" i="75"/>
  <c r="BJ117" i="75"/>
  <c r="BF74" i="82"/>
  <c r="BJ74" i="82"/>
  <c r="BE74" i="82"/>
  <c r="AW143" i="74"/>
  <c r="BA143" i="74"/>
  <c r="AV143" i="74"/>
  <c r="BA111" i="76"/>
  <c r="AW111" i="76"/>
  <c r="AV111" i="76"/>
  <c r="BF92" i="80"/>
  <c r="BE92" i="80"/>
  <c r="BJ92" i="80"/>
  <c r="AW133" i="73"/>
  <c r="AV133" i="73"/>
  <c r="AV115" i="71"/>
  <c r="AW115" i="71"/>
  <c r="BA115" i="71"/>
  <c r="AW70" i="82"/>
  <c r="AV70" i="82"/>
  <c r="AW104" i="78"/>
  <c r="AV104" i="78"/>
  <c r="BF115" i="71"/>
  <c r="BE115" i="71"/>
  <c r="BE110" i="76"/>
  <c r="BF110" i="76"/>
  <c r="AW87" i="81"/>
  <c r="AV87" i="81"/>
  <c r="BF142" i="74"/>
  <c r="BE142" i="74"/>
  <c r="AW74" i="77"/>
  <c r="AV74" i="77"/>
  <c r="BE74" i="77"/>
  <c r="BF74" i="77"/>
  <c r="BD93" i="47"/>
  <c r="BE93" i="47"/>
  <c r="BF72" i="82"/>
  <c r="BE72" i="82"/>
  <c r="AW106" i="78"/>
  <c r="AV106" i="78"/>
  <c r="BF135" i="73"/>
  <c r="BE135" i="73"/>
  <c r="AW90" i="80"/>
  <c r="AV90" i="80"/>
  <c r="BJ86" i="81"/>
  <c r="BF86" i="81"/>
  <c r="BE86" i="81"/>
  <c r="AV68" i="61"/>
  <c r="AW68" i="61"/>
  <c r="AW47" i="1"/>
  <c r="BA47" i="1"/>
  <c r="AZ64" i="64"/>
  <c r="BA64" i="64"/>
  <c r="AV64" i="64"/>
  <c r="BF75" i="74"/>
  <c r="BE75" i="74"/>
  <c r="AW59" i="60"/>
  <c r="AV59" i="60"/>
  <c r="BE67" i="80"/>
  <c r="BF67" i="80"/>
  <c r="AV52" i="61"/>
  <c r="AW52" i="61"/>
  <c r="AW52" i="60"/>
  <c r="AV52" i="60"/>
  <c r="AV41" i="73"/>
  <c r="BF59" i="70"/>
  <c r="BE59" i="70"/>
  <c r="BF49" i="71"/>
  <c r="BE49" i="71"/>
  <c r="BF55" i="1"/>
  <c r="BE51" i="73"/>
  <c r="BF51" i="73"/>
  <c r="AV33" i="1"/>
  <c r="AW33" i="1"/>
  <c r="AV29" i="73"/>
  <c r="AW29" i="73"/>
  <c r="AZ71" i="77"/>
  <c r="BE63" i="77"/>
  <c r="BF47" i="77"/>
  <c r="BF35" i="82"/>
  <c r="BE90" i="78"/>
  <c r="AV40" i="75"/>
  <c r="BA40" i="75"/>
  <c r="BE27" i="75"/>
  <c r="BA44" i="74"/>
  <c r="BB44" i="74"/>
  <c r="AV44" i="74"/>
  <c r="AW59" i="74"/>
  <c r="AV27" i="74"/>
  <c r="AW62" i="76"/>
  <c r="BF48" i="73"/>
  <c r="BF82" i="71"/>
  <c r="AV50" i="71"/>
  <c r="BE82" i="71"/>
  <c r="AY41" i="71"/>
  <c r="AZ41" i="71"/>
  <c r="AB281" i="2"/>
  <c r="BE87" i="71"/>
  <c r="AV137" i="70"/>
  <c r="BA137" i="70"/>
  <c r="BD131" i="74"/>
  <c r="BJ131" i="74"/>
  <c r="E218" i="2"/>
  <c r="AU86" i="74"/>
  <c r="BD105" i="75"/>
  <c r="AU86" i="75"/>
  <c r="BA86" i="75"/>
  <c r="BB86" i="75"/>
  <c r="L218" i="2"/>
  <c r="K218" i="2"/>
  <c r="C218" i="2"/>
  <c r="D218" i="2"/>
  <c r="K222" i="2"/>
  <c r="E222" i="2"/>
  <c r="D222" i="2"/>
  <c r="BF23" i="76"/>
  <c r="BJ23" i="76"/>
  <c r="BK23" i="76"/>
  <c r="AW47" i="76"/>
  <c r="AV47" i="76"/>
  <c r="AV17" i="82"/>
  <c r="AW17" i="82"/>
  <c r="BE94" i="74"/>
  <c r="BF94" i="74"/>
  <c r="BD90" i="61"/>
  <c r="BE90" i="61"/>
  <c r="BF78" i="66"/>
  <c r="BE78" i="66"/>
  <c r="BD82" i="61"/>
  <c r="BE82" i="61"/>
  <c r="BE78" i="60"/>
  <c r="BD78" i="60"/>
  <c r="AV69" i="60"/>
  <c r="BJ131" i="67"/>
  <c r="BJ106" i="68"/>
  <c r="AW17" i="69"/>
  <c r="BE103" i="69"/>
  <c r="AW55" i="71"/>
  <c r="BE69" i="68"/>
  <c r="AV42" i="67"/>
  <c r="AW37" i="66"/>
  <c r="BD107" i="47"/>
  <c r="BE122" i="61"/>
  <c r="BF134" i="74"/>
  <c r="C217" i="2"/>
  <c r="D217" i="2"/>
  <c r="E217" i="2"/>
  <c r="K223" i="2"/>
  <c r="AU91" i="75"/>
  <c r="BD110" i="75"/>
  <c r="BJ110" i="75"/>
  <c r="AW13" i="76"/>
  <c r="AV13" i="76"/>
  <c r="BA13" i="76"/>
  <c r="BB13" i="76"/>
  <c r="BF100" i="71"/>
  <c r="BE100" i="71"/>
  <c r="BF92" i="75"/>
  <c r="BE92" i="75"/>
  <c r="AU13" i="38"/>
  <c r="AZ13" i="38"/>
  <c r="BA13" i="38"/>
  <c r="AV50" i="66"/>
  <c r="AW50" i="66"/>
  <c r="BD69" i="47"/>
  <c r="BE69" i="47"/>
  <c r="AV36" i="61"/>
  <c r="AV62" i="66"/>
  <c r="AW62" i="66"/>
  <c r="AW30" i="1"/>
  <c r="AV30" i="1"/>
  <c r="BE40" i="1"/>
  <c r="BF40" i="1"/>
  <c r="BF96" i="66"/>
  <c r="BE96" i="66"/>
  <c r="BF68" i="69"/>
  <c r="BE68" i="69"/>
  <c r="BE99" i="64"/>
  <c r="BE27" i="82"/>
  <c r="BF27" i="82"/>
  <c r="BE123" i="74"/>
  <c r="BF123" i="74"/>
  <c r="BE118" i="47"/>
  <c r="BD118" i="47"/>
  <c r="BF114" i="1"/>
  <c r="BE114" i="1"/>
  <c r="AW59" i="73"/>
  <c r="AV59" i="73"/>
  <c r="BF65" i="75"/>
  <c r="BE65" i="75"/>
  <c r="BE81" i="73"/>
  <c r="BF81" i="73"/>
  <c r="BE72" i="76"/>
  <c r="BF72" i="76"/>
  <c r="BJ107" i="1"/>
  <c r="BK107" i="1"/>
  <c r="AV17" i="75"/>
  <c r="AW17" i="75"/>
  <c r="BF96" i="71"/>
  <c r="BE96" i="71"/>
  <c r="BD111" i="64"/>
  <c r="BE111" i="64"/>
  <c r="BH86" i="61"/>
  <c r="BI86" i="61"/>
  <c r="BE86" i="61"/>
  <c r="BD86" i="61"/>
  <c r="BE69" i="71"/>
  <c r="BF69" i="71"/>
  <c r="BE69" i="64"/>
  <c r="BD69" i="64"/>
  <c r="BE131" i="67"/>
  <c r="BE106" i="68"/>
  <c r="BJ92" i="69"/>
  <c r="BA17" i="69"/>
  <c r="BA21" i="69"/>
  <c r="BB21" i="69"/>
  <c r="BA105" i="69"/>
  <c r="BJ88" i="69"/>
  <c r="AV64" i="73"/>
  <c r="AV34" i="81"/>
  <c r="AV32" i="77"/>
  <c r="BJ90" i="73"/>
  <c r="BK90" i="73"/>
  <c r="AW49" i="61"/>
  <c r="AZ49" i="61"/>
  <c r="BA49" i="61"/>
  <c r="AW42" i="67"/>
  <c r="BJ52" i="1"/>
  <c r="BK52" i="1"/>
  <c r="BD71" i="61"/>
  <c r="BH111" i="64"/>
  <c r="BI111" i="64"/>
  <c r="BE23" i="76"/>
  <c r="BD107" i="75"/>
  <c r="BD133" i="74"/>
  <c r="AU88" i="75"/>
  <c r="AU88" i="74"/>
  <c r="E220" i="2"/>
  <c r="L220" i="2"/>
  <c r="K220" i="2"/>
  <c r="D220" i="2"/>
  <c r="C220" i="2"/>
  <c r="AW13" i="82"/>
  <c r="AV13" i="82"/>
  <c r="BA13" i="82"/>
  <c r="BF93" i="68"/>
  <c r="BE93" i="68"/>
  <c r="BE118" i="74"/>
  <c r="BF118" i="74"/>
  <c r="AZ49" i="47"/>
  <c r="BA49" i="47"/>
  <c r="AV49" i="47"/>
  <c r="AW49" i="47"/>
  <c r="AU14" i="38"/>
  <c r="BF94" i="73"/>
  <c r="BE94" i="73"/>
  <c r="BE66" i="77"/>
  <c r="BF66" i="77"/>
  <c r="BF94" i="1"/>
  <c r="BE94" i="1"/>
  <c r="BF27" i="76"/>
  <c r="BF105" i="71"/>
  <c r="BE105" i="71"/>
  <c r="BE118" i="64"/>
  <c r="BD118" i="64"/>
  <c r="BF74" i="66"/>
  <c r="BJ74" i="66"/>
  <c r="BK74" i="66"/>
  <c r="BE74" i="66"/>
  <c r="BF86" i="73"/>
  <c r="BE86" i="73"/>
  <c r="AW47" i="68"/>
  <c r="AV47" i="68"/>
  <c r="BE83" i="74"/>
  <c r="BF83" i="74"/>
  <c r="BE71" i="47"/>
  <c r="BD71" i="47"/>
  <c r="BF66" i="68"/>
  <c r="BE66" i="68"/>
  <c r="BE65" i="69"/>
  <c r="BF65" i="69"/>
  <c r="BE81" i="1"/>
  <c r="BF81" i="1"/>
  <c r="AV131" i="67"/>
  <c r="BF88" i="69"/>
  <c r="AW59" i="69"/>
  <c r="BA131" i="67"/>
  <c r="BJ103" i="69"/>
  <c r="BJ23" i="69"/>
  <c r="BK23" i="69"/>
  <c r="AV29" i="80"/>
  <c r="BE90" i="73"/>
  <c r="AV52" i="75"/>
  <c r="BF52" i="1"/>
  <c r="BE67" i="66"/>
  <c r="BF67" i="66"/>
  <c r="BJ68" i="75"/>
  <c r="BE68" i="75"/>
  <c r="BF68" i="75"/>
  <c r="AU92" i="75"/>
  <c r="BA92" i="75"/>
  <c r="BB92" i="75"/>
  <c r="BC62" i="47"/>
  <c r="C224" i="2"/>
  <c r="BD137" i="74"/>
  <c r="D224" i="2"/>
  <c r="E224" i="2"/>
  <c r="AU39" i="61"/>
  <c r="K224" i="2"/>
  <c r="BD111" i="75"/>
  <c r="BJ111" i="75"/>
  <c r="AU39" i="47"/>
  <c r="L224" i="2"/>
  <c r="BC62" i="61"/>
  <c r="AU92" i="74"/>
  <c r="BA92" i="74"/>
  <c r="BB92" i="74"/>
  <c r="BJ23" i="82"/>
  <c r="BK23" i="82"/>
  <c r="BF23" i="82"/>
  <c r="BE23" i="82"/>
  <c r="BE122" i="64"/>
  <c r="BD122" i="64"/>
  <c r="AV36" i="47"/>
  <c r="AV41" i="77"/>
  <c r="AW41" i="77"/>
  <c r="BH86" i="64"/>
  <c r="BI86" i="64"/>
  <c r="BD86" i="64"/>
  <c r="BE86" i="64"/>
  <c r="AW58" i="68"/>
  <c r="AV58" i="68"/>
  <c r="AW7" i="60"/>
  <c r="AV7" i="60"/>
  <c r="BE108" i="75"/>
  <c r="BF108" i="75"/>
  <c r="BE89" i="68"/>
  <c r="BF89" i="68"/>
  <c r="BE73" i="68"/>
  <c r="BF73" i="68"/>
  <c r="BF72" i="75"/>
  <c r="BE72" i="75"/>
  <c r="BD90" i="60"/>
  <c r="BE90" i="60"/>
  <c r="BE90" i="74"/>
  <c r="BJ90" i="74"/>
  <c r="BK90" i="74"/>
  <c r="BE90" i="67"/>
  <c r="BF90" i="67"/>
  <c r="BJ90" i="67"/>
  <c r="BD86" i="47"/>
  <c r="BE86" i="47"/>
  <c r="BH86" i="47"/>
  <c r="BI86" i="47"/>
  <c r="BF86" i="67"/>
  <c r="BE86" i="67"/>
  <c r="BE78" i="47"/>
  <c r="BD78" i="47"/>
  <c r="BF83" i="1"/>
  <c r="BE83" i="1"/>
  <c r="BE67" i="71"/>
  <c r="BF67" i="71"/>
  <c r="BD69" i="60"/>
  <c r="BE69" i="60"/>
  <c r="AV99" i="61"/>
  <c r="AW99" i="61"/>
  <c r="BF67" i="74"/>
  <c r="BE67" i="74"/>
  <c r="AV15" i="38"/>
  <c r="AW15" i="38"/>
  <c r="BE69" i="78"/>
  <c r="BF69" i="78"/>
  <c r="BJ70" i="81"/>
  <c r="BE70" i="81"/>
  <c r="BF70" i="81"/>
  <c r="AW44" i="77"/>
  <c r="AV44" i="77"/>
  <c r="BF118" i="73"/>
  <c r="BE118" i="73"/>
  <c r="BE118" i="67"/>
  <c r="BF118" i="67"/>
  <c r="BE114" i="74"/>
  <c r="AV72" i="67"/>
  <c r="AW72" i="67"/>
  <c r="AW69" i="70"/>
  <c r="AW69" i="67"/>
  <c r="AV69" i="67"/>
  <c r="AV69" i="1"/>
  <c r="AW69" i="1"/>
  <c r="BF103" i="74"/>
  <c r="BE103" i="74"/>
  <c r="BF78" i="81"/>
  <c r="BE78" i="81"/>
  <c r="BE98" i="70"/>
  <c r="BF98" i="70"/>
  <c r="BF98" i="67"/>
  <c r="BE98" i="67"/>
  <c r="BF98" i="73"/>
  <c r="BE98" i="73"/>
  <c r="AW55" i="78"/>
  <c r="AV55" i="78"/>
  <c r="BD78" i="61"/>
  <c r="BE78" i="61"/>
  <c r="BE78" i="67"/>
  <c r="AV69" i="61"/>
  <c r="AZ69" i="61"/>
  <c r="BA69" i="61"/>
  <c r="AW69" i="61"/>
  <c r="BE42" i="77"/>
  <c r="BF42" i="77"/>
  <c r="BF62" i="76"/>
  <c r="BE62" i="76"/>
  <c r="AW44" i="67"/>
  <c r="BF60" i="71"/>
  <c r="BE38" i="77"/>
  <c r="BF38" i="77"/>
  <c r="BJ38" i="77"/>
  <c r="BK38" i="77"/>
  <c r="BE60" i="66"/>
  <c r="BF60" i="66"/>
  <c r="BJ60" i="66"/>
  <c r="BK60" i="66"/>
  <c r="AV24" i="77"/>
  <c r="BA24" i="77"/>
  <c r="BB24" i="77"/>
  <c r="AW24" i="77"/>
  <c r="AW56" i="64"/>
  <c r="AV56" i="64"/>
  <c r="BF57" i="71"/>
  <c r="BE57" i="71"/>
  <c r="AV42" i="73"/>
  <c r="AW42" i="73"/>
  <c r="BA42" i="73"/>
  <c r="BB42" i="73"/>
  <c r="AV49" i="64"/>
  <c r="AW49" i="64"/>
  <c r="AZ49" i="64"/>
  <c r="BA49" i="64"/>
  <c r="AW20" i="77"/>
  <c r="AV20" i="77"/>
  <c r="AV38" i="73"/>
  <c r="AW38" i="73"/>
  <c r="AW45" i="60"/>
  <c r="AV45" i="60"/>
  <c r="BE49" i="81"/>
  <c r="BF49" i="81"/>
  <c r="BF56" i="73"/>
  <c r="BE56" i="73"/>
  <c r="BF53" i="80"/>
  <c r="BF52" i="73"/>
  <c r="BJ52" i="73"/>
  <c r="BE52" i="73"/>
  <c r="BF24" i="77"/>
  <c r="BJ24" i="77"/>
  <c r="BE24" i="77"/>
  <c r="BE38" i="75"/>
  <c r="BF38" i="75"/>
  <c r="BJ38" i="75"/>
  <c r="BF38" i="76"/>
  <c r="BE38" i="76"/>
  <c r="BJ38" i="76"/>
  <c r="BK38" i="76"/>
  <c r="BF48" i="74"/>
  <c r="BE48" i="74"/>
  <c r="BE48" i="70"/>
  <c r="BF48" i="70"/>
  <c r="AW27" i="70"/>
  <c r="AV27" i="70"/>
  <c r="AV22" i="71"/>
  <c r="AW22" i="71"/>
  <c r="AV7" i="47"/>
  <c r="AW7" i="47"/>
  <c r="AW16" i="38"/>
  <c r="AV16" i="38"/>
  <c r="AV38" i="1"/>
  <c r="AW6" i="38"/>
  <c r="AV6" i="38"/>
  <c r="AW45" i="81"/>
  <c r="BF97" i="75"/>
  <c r="BE97" i="75"/>
  <c r="BF92" i="76"/>
  <c r="BE92" i="76"/>
  <c r="BF88" i="76"/>
  <c r="BE88" i="76"/>
  <c r="BF114" i="67"/>
  <c r="BE114" i="67"/>
  <c r="AW58" i="75"/>
  <c r="AV58" i="75"/>
  <c r="BD104" i="60"/>
  <c r="BE104" i="60"/>
  <c r="BE104" i="61"/>
  <c r="BD104" i="61"/>
  <c r="AV55" i="76"/>
  <c r="BE103" i="73"/>
  <c r="BF81" i="75"/>
  <c r="BE81" i="75"/>
  <c r="BE76" i="76"/>
  <c r="BF76" i="76"/>
  <c r="BE94" i="61"/>
  <c r="BD94" i="61"/>
  <c r="BE51" i="77"/>
  <c r="BF51" i="77"/>
  <c r="BF98" i="74"/>
  <c r="BE98" i="74"/>
  <c r="BF74" i="81"/>
  <c r="BE74" i="81"/>
  <c r="BF94" i="67"/>
  <c r="BE94" i="67"/>
  <c r="BD82" i="60"/>
  <c r="BF78" i="73"/>
  <c r="BE78" i="73"/>
  <c r="BE66" i="47"/>
  <c r="BD66" i="47"/>
  <c r="AV69" i="64"/>
  <c r="AZ69" i="64"/>
  <c r="BA69" i="64"/>
  <c r="AW69" i="64"/>
  <c r="BE64" i="66"/>
  <c r="BF64" i="66"/>
  <c r="BF76" i="1"/>
  <c r="BE76" i="1"/>
  <c r="AV41" i="71"/>
  <c r="BE59" i="68"/>
  <c r="BF59" i="68"/>
  <c r="BE72" i="73"/>
  <c r="BJ72" i="73"/>
  <c r="BF72" i="73"/>
  <c r="BE58" i="75"/>
  <c r="BF58" i="75"/>
  <c r="BF72" i="67"/>
  <c r="BE72" i="67"/>
  <c r="BJ72" i="67"/>
  <c r="AV44" i="1"/>
  <c r="BA44" i="1"/>
  <c r="BB44" i="1"/>
  <c r="AW44" i="1"/>
  <c r="AW61" i="60"/>
  <c r="AV61" i="60"/>
  <c r="BF57" i="66"/>
  <c r="BE57" i="66"/>
  <c r="BF67" i="73"/>
  <c r="BE67" i="73"/>
  <c r="AV34" i="69"/>
  <c r="AW34" i="69"/>
  <c r="BA34" i="69"/>
  <c r="BB34" i="69"/>
  <c r="AV42" i="70"/>
  <c r="AW42" i="70"/>
  <c r="AW37" i="80"/>
  <c r="AV37" i="80"/>
  <c r="AV30" i="75"/>
  <c r="AW30" i="75"/>
  <c r="AV38" i="67"/>
  <c r="AW38" i="67"/>
  <c r="AV45" i="64"/>
  <c r="AW45" i="64"/>
  <c r="BF35" i="68"/>
  <c r="BE35" i="68"/>
  <c r="BF57" i="78"/>
  <c r="BE57" i="78"/>
  <c r="AW27" i="73"/>
  <c r="AV27" i="73"/>
  <c r="AW21" i="75"/>
  <c r="AV21" i="75"/>
  <c r="AW81" i="60"/>
  <c r="AV81" i="60"/>
  <c r="AW7" i="61"/>
  <c r="AV7" i="61"/>
  <c r="AW7" i="64"/>
  <c r="AV7" i="64"/>
  <c r="AV36" i="78"/>
  <c r="AW30" i="68"/>
  <c r="AV30" i="68"/>
  <c r="BE99" i="60"/>
  <c r="BD99" i="60"/>
  <c r="BJ65" i="78"/>
  <c r="BK65" i="78"/>
  <c r="BF65" i="78"/>
  <c r="BE65" i="78"/>
  <c r="BF123" i="67"/>
  <c r="BE123" i="67"/>
  <c r="AV76" i="74"/>
  <c r="AW76" i="74"/>
  <c r="BE59" i="77"/>
  <c r="BF59" i="77"/>
  <c r="BD107" i="64"/>
  <c r="BE107" i="64"/>
  <c r="AW58" i="69"/>
  <c r="AV58" i="69"/>
  <c r="AV59" i="71"/>
  <c r="AW59" i="71"/>
  <c r="BD104" i="64"/>
  <c r="BE104" i="64"/>
  <c r="BF103" i="1"/>
  <c r="BE103" i="1"/>
  <c r="BD94" i="64"/>
  <c r="BE94" i="64"/>
  <c r="BE94" i="78"/>
  <c r="BF94" i="78"/>
  <c r="BF86" i="1"/>
  <c r="BE86" i="1"/>
  <c r="AW47" i="75"/>
  <c r="AV47" i="75"/>
  <c r="BE66" i="61"/>
  <c r="BD66" i="61"/>
  <c r="BD66" i="60"/>
  <c r="BE66" i="60"/>
  <c r="AV69" i="47"/>
  <c r="AW69" i="47"/>
  <c r="AW48" i="67"/>
  <c r="AW65" i="60"/>
  <c r="AV65" i="60"/>
  <c r="AW48" i="73"/>
  <c r="AV48" i="73"/>
  <c r="AV65" i="64"/>
  <c r="AW65" i="64"/>
  <c r="BF58" i="76"/>
  <c r="BE58" i="76"/>
  <c r="BJ58" i="76"/>
  <c r="BK58" i="76"/>
  <c r="BF72" i="74"/>
  <c r="BE72" i="74"/>
  <c r="BJ72" i="74"/>
  <c r="BK72" i="74"/>
  <c r="AW61" i="61"/>
  <c r="AZ61" i="61"/>
  <c r="BA61" i="61"/>
  <c r="AV61" i="61"/>
  <c r="AV61" i="64"/>
  <c r="BE50" i="82"/>
  <c r="BE67" i="67"/>
  <c r="AW34" i="76"/>
  <c r="AV34" i="76"/>
  <c r="AW28" i="82"/>
  <c r="AV28" i="82"/>
  <c r="BF28" i="77"/>
  <c r="BE28" i="77"/>
  <c r="BE56" i="70"/>
  <c r="BF56" i="70"/>
  <c r="BF42" i="66"/>
  <c r="BE42" i="66"/>
  <c r="BJ42" i="66"/>
  <c r="BK42" i="66"/>
  <c r="BF39" i="68"/>
  <c r="BE39" i="68"/>
  <c r="BE41" i="81"/>
  <c r="BF41" i="81"/>
  <c r="BF34" i="75"/>
  <c r="BE34" i="75"/>
  <c r="BF37" i="81"/>
  <c r="BE37" i="81"/>
  <c r="AW81" i="64"/>
  <c r="AV81" i="64"/>
  <c r="AV27" i="67"/>
  <c r="AV95" i="64"/>
  <c r="BD107" i="60"/>
  <c r="BE107" i="60"/>
  <c r="AV56" i="61"/>
  <c r="AW56" i="61"/>
  <c r="BF80" i="78"/>
  <c r="BE80" i="78"/>
  <c r="BA32" i="82"/>
  <c r="AW62" i="68"/>
  <c r="BF123" i="1"/>
  <c r="BE107" i="61"/>
  <c r="AW55" i="68"/>
  <c r="AV69" i="74"/>
  <c r="AW69" i="74"/>
  <c r="AV69" i="73"/>
  <c r="AW69" i="73"/>
  <c r="BD99" i="61"/>
  <c r="BE99" i="61"/>
  <c r="AW64" i="67"/>
  <c r="BA64" i="67"/>
  <c r="BB64" i="67"/>
  <c r="AV64" i="67"/>
  <c r="BE81" i="76"/>
  <c r="BF81" i="76"/>
  <c r="BJ81" i="76"/>
  <c r="BD94" i="60"/>
  <c r="BE94" i="47"/>
  <c r="BJ56" i="82"/>
  <c r="BK56" i="82"/>
  <c r="BE86" i="78"/>
  <c r="BE82" i="64"/>
  <c r="BD82" i="64"/>
  <c r="AW37" i="82"/>
  <c r="AV37" i="82"/>
  <c r="AV59" i="1"/>
  <c r="AW59" i="1"/>
  <c r="BE66" i="64"/>
  <c r="BD66" i="64"/>
  <c r="BF64" i="71"/>
  <c r="BE64" i="71"/>
  <c r="AW40" i="69"/>
  <c r="AV40" i="69"/>
  <c r="AW65" i="47"/>
  <c r="AV65" i="47"/>
  <c r="AV41" i="66"/>
  <c r="AW41" i="66"/>
  <c r="BF62" i="75"/>
  <c r="BE62" i="75"/>
  <c r="BE72" i="1"/>
  <c r="BJ72" i="1"/>
  <c r="BF72" i="1"/>
  <c r="AW36" i="76"/>
  <c r="AV36" i="76"/>
  <c r="BA36" i="76"/>
  <c r="BB36" i="76"/>
  <c r="BA44" i="73"/>
  <c r="BB44" i="73"/>
  <c r="AV44" i="73"/>
  <c r="AW44" i="73"/>
  <c r="AW56" i="60"/>
  <c r="AV56" i="60"/>
  <c r="AV56" i="47"/>
  <c r="AW56" i="47"/>
  <c r="BE53" i="75"/>
  <c r="BF53" i="75"/>
  <c r="BE67" i="70"/>
  <c r="BF67" i="70"/>
  <c r="AW38" i="81"/>
  <c r="BA38" i="81"/>
  <c r="BB38" i="81"/>
  <c r="AV38" i="81"/>
  <c r="AV34" i="68"/>
  <c r="AW34" i="68"/>
  <c r="AW38" i="74"/>
  <c r="AV38" i="74"/>
  <c r="AW32" i="66"/>
  <c r="AV32" i="66"/>
  <c r="AW45" i="47"/>
  <c r="AV45" i="47"/>
  <c r="AW30" i="76"/>
  <c r="AV30" i="76"/>
  <c r="BE57" i="80"/>
  <c r="BF57" i="80"/>
  <c r="BF42" i="76"/>
  <c r="BE42" i="76"/>
  <c r="BJ45" i="81"/>
  <c r="BK45" i="81"/>
  <c r="BE45" i="81"/>
  <c r="BF45" i="81"/>
  <c r="BE52" i="70"/>
  <c r="BF52" i="70"/>
  <c r="BF42" i="71"/>
  <c r="BE42" i="71"/>
  <c r="BF49" i="80"/>
  <c r="BE49" i="80"/>
  <c r="BE38" i="66"/>
  <c r="BF38" i="66"/>
  <c r="AW22" i="66"/>
  <c r="AV22" i="66"/>
  <c r="AW21" i="76"/>
  <c r="AV21" i="76"/>
  <c r="BE15" i="77"/>
  <c r="BF15" i="77"/>
  <c r="AW33" i="68"/>
  <c r="AV33" i="68"/>
  <c r="BD120" i="60"/>
  <c r="BE120" i="60"/>
  <c r="BD76" i="64"/>
  <c r="BE76" i="64"/>
  <c r="BE74" i="1"/>
  <c r="BF74" i="1"/>
  <c r="AV58" i="60"/>
  <c r="AW58" i="60"/>
  <c r="AW63" i="71"/>
  <c r="AV63" i="71"/>
  <c r="BE55" i="77"/>
  <c r="BE87" i="64"/>
  <c r="BH87" i="64"/>
  <c r="BI87" i="64"/>
  <c r="BF87" i="74"/>
  <c r="BE87" i="74"/>
  <c r="BJ87" i="74"/>
  <c r="BK87" i="74"/>
  <c r="BD79" i="60"/>
  <c r="BE79" i="60"/>
  <c r="BF107" i="67"/>
  <c r="AW26" i="81"/>
  <c r="AV26" i="81"/>
  <c r="BF40" i="70"/>
  <c r="BE40" i="70"/>
  <c r="BE40" i="74"/>
  <c r="BF40" i="74"/>
  <c r="BE114" i="64"/>
  <c r="BD114" i="64"/>
  <c r="AV33" i="75"/>
  <c r="BD124" i="60"/>
  <c r="BE124" i="60"/>
  <c r="BD120" i="64"/>
  <c r="BF98" i="66"/>
  <c r="AV57" i="1"/>
  <c r="AW63" i="60"/>
  <c r="BA56" i="71"/>
  <c r="BB56" i="71"/>
  <c r="BD87" i="60"/>
  <c r="BD83" i="47"/>
  <c r="BE79" i="47"/>
  <c r="BE107" i="73"/>
  <c r="BF107" i="73"/>
  <c r="BJ107" i="73"/>
  <c r="BK107" i="73"/>
  <c r="AW93" i="60"/>
  <c r="AW24" i="71"/>
  <c r="AV24" i="71"/>
  <c r="BE32" i="71"/>
  <c r="BD74" i="60"/>
  <c r="AW41" i="1"/>
  <c r="AV41" i="1"/>
  <c r="BD124" i="47"/>
  <c r="BE116" i="1"/>
  <c r="BF116" i="1"/>
  <c r="AV67" i="47"/>
  <c r="AW67" i="47"/>
  <c r="AW63" i="64"/>
  <c r="AV63" i="64"/>
  <c r="BE69" i="1"/>
  <c r="BF69" i="1"/>
  <c r="BA56" i="66"/>
  <c r="BB56" i="66"/>
  <c r="AV65" i="73"/>
  <c r="AW65" i="73"/>
  <c r="BA65" i="73"/>
  <c r="BB65" i="73"/>
  <c r="BD100" i="60"/>
  <c r="BH100" i="60"/>
  <c r="BI100" i="60"/>
  <c r="BE100" i="60"/>
  <c r="BF77" i="75"/>
  <c r="BE77" i="75"/>
  <c r="BE83" i="61"/>
  <c r="BD83" i="61"/>
  <c r="AV93" i="64"/>
  <c r="AW93" i="64"/>
  <c r="AZ93" i="64"/>
  <c r="BA93" i="64"/>
  <c r="BF44" i="70"/>
  <c r="BE44" i="70"/>
  <c r="AW30" i="74"/>
  <c r="AV30" i="74"/>
  <c r="AW85" i="64"/>
  <c r="AV85" i="64"/>
  <c r="AV85" i="60"/>
  <c r="AW85" i="60"/>
  <c r="BD117" i="64"/>
  <c r="BE117" i="64"/>
  <c r="AV48" i="60"/>
  <c r="AW48" i="60"/>
  <c r="AW35" i="66"/>
  <c r="AV35" i="66"/>
  <c r="AW43" i="60"/>
  <c r="AV43" i="60"/>
  <c r="BF41" i="71"/>
  <c r="BE41" i="71"/>
  <c r="BD124" i="64"/>
  <c r="AW67" i="61"/>
  <c r="AV73" i="67"/>
  <c r="AV65" i="67"/>
  <c r="BA65" i="67"/>
  <c r="BB65" i="67"/>
  <c r="AW53" i="76"/>
  <c r="AV53" i="76"/>
  <c r="BD95" i="64"/>
  <c r="BE95" i="64"/>
  <c r="BD83" i="60"/>
  <c r="BE87" i="67"/>
  <c r="BF87" i="67"/>
  <c r="AV60" i="74"/>
  <c r="AW60" i="74"/>
  <c r="BH83" i="60"/>
  <c r="BI83" i="60"/>
  <c r="BD111" i="60"/>
  <c r="BE111" i="60"/>
  <c r="BH111" i="60"/>
  <c r="BI111" i="60"/>
  <c r="BF107" i="74"/>
  <c r="BE107" i="74"/>
  <c r="BJ107" i="74"/>
  <c r="BF44" i="74"/>
  <c r="BF44" i="73"/>
  <c r="BE44" i="73"/>
  <c r="BF40" i="73"/>
  <c r="BE40" i="73"/>
  <c r="BF32" i="66"/>
  <c r="BE32" i="66"/>
  <c r="BE91" i="64"/>
  <c r="BD91" i="64"/>
  <c r="BF56" i="67"/>
  <c r="BE56" i="67"/>
  <c r="BE88" i="61"/>
  <c r="BH88" i="61"/>
  <c r="BI88" i="61"/>
  <c r="BD88" i="61"/>
  <c r="BE42" i="75"/>
  <c r="BF42" i="75"/>
  <c r="AV43" i="71"/>
  <c r="AW43" i="71"/>
  <c r="BE96" i="61"/>
  <c r="BD96" i="61"/>
  <c r="BE84" i="61"/>
  <c r="BD84" i="61"/>
  <c r="BD91" i="47"/>
  <c r="BE91" i="47"/>
  <c r="BE100" i="67"/>
  <c r="BF88" i="1"/>
  <c r="BF130" i="67"/>
  <c r="BE130" i="67"/>
  <c r="BF48" i="1"/>
  <c r="AW111" i="66"/>
  <c r="AV111" i="66"/>
  <c r="AW73" i="73"/>
  <c r="AV73" i="73"/>
  <c r="BE108" i="60"/>
  <c r="BB67" i="67"/>
  <c r="BD61" i="47"/>
  <c r="BE61" i="47"/>
  <c r="BE131" i="1"/>
  <c r="BF131" i="1"/>
  <c r="BF112" i="66"/>
  <c r="BE112" i="66"/>
  <c r="AV67" i="1"/>
  <c r="BE102" i="60"/>
  <c r="BH102" i="60"/>
  <c r="BI102" i="60"/>
  <c r="BD102" i="60"/>
  <c r="BE41" i="66"/>
  <c r="BF41" i="66"/>
  <c r="BF34" i="69"/>
  <c r="BE34" i="69"/>
  <c r="AW131" i="1"/>
  <c r="AV131" i="1"/>
  <c r="BE127" i="1"/>
  <c r="BF127" i="1"/>
  <c r="BF130" i="1"/>
  <c r="BE130" i="1"/>
  <c r="BE129" i="1"/>
  <c r="BF129" i="1"/>
  <c r="BD102" i="61"/>
  <c r="BE51" i="74"/>
  <c r="BF51" i="74"/>
  <c r="BF38" i="71"/>
  <c r="BE38" i="71"/>
  <c r="AW102" i="69"/>
  <c r="AV102" i="69"/>
  <c r="AW127" i="1"/>
  <c r="AV127" i="1"/>
  <c r="AW130" i="1"/>
  <c r="AV130" i="1"/>
  <c r="AV136" i="70"/>
  <c r="AW136" i="70"/>
  <c r="BF108" i="67"/>
  <c r="BE108" i="67"/>
  <c r="AW96" i="64"/>
  <c r="AV96" i="64"/>
  <c r="AW129" i="1"/>
  <c r="AV129" i="1"/>
  <c r="AW59" i="76"/>
  <c r="AV59" i="76"/>
  <c r="BD102" i="47"/>
  <c r="BE102" i="47"/>
  <c r="BE37" i="76"/>
  <c r="BF37" i="76"/>
  <c r="BE34" i="76"/>
  <c r="BF34" i="76"/>
  <c r="AV96" i="61"/>
  <c r="AW96" i="61"/>
  <c r="AV38" i="61"/>
  <c r="AW38" i="61"/>
  <c r="AW38" i="47"/>
  <c r="AV38" i="47"/>
  <c r="AW91" i="74"/>
  <c r="AV91" i="74"/>
  <c r="BJ25" i="67"/>
  <c r="BK25" i="67"/>
  <c r="BJ45" i="78"/>
  <c r="BK45" i="78"/>
  <c r="BJ21" i="82"/>
  <c r="BK21" i="82"/>
  <c r="BJ21" i="76"/>
  <c r="BK21" i="76"/>
  <c r="BJ25" i="81"/>
  <c r="BK25" i="81"/>
  <c r="G48" i="2"/>
  <c r="H48" i="2"/>
  <c r="BJ25" i="73"/>
  <c r="BK25" i="73"/>
  <c r="BJ25" i="74"/>
  <c r="BK25" i="74"/>
  <c r="BJ21" i="66"/>
  <c r="BK21" i="66"/>
  <c r="BJ25" i="1"/>
  <c r="BK25" i="1"/>
  <c r="BJ21" i="75"/>
  <c r="BK21" i="75"/>
  <c r="BJ21" i="71"/>
  <c r="BK21" i="71"/>
  <c r="AZ65" i="47"/>
  <c r="BA65" i="47"/>
  <c r="BA48" i="74"/>
  <c r="BJ62" i="76"/>
  <c r="BA48" i="73"/>
  <c r="BB48" i="73"/>
  <c r="BJ42" i="77"/>
  <c r="BA41" i="71"/>
  <c r="BA40" i="69"/>
  <c r="BB40" i="69"/>
  <c r="G281" i="2"/>
  <c r="H281" i="2"/>
  <c r="BA40" i="76"/>
  <c r="BA41" i="66"/>
  <c r="BB41" i="66"/>
  <c r="AZ65" i="64"/>
  <c r="BA65" i="64"/>
  <c r="BJ62" i="75"/>
  <c r="BJ76" i="1"/>
  <c r="BA48" i="1"/>
  <c r="BB48" i="1"/>
  <c r="BJ64" i="66"/>
  <c r="BA48" i="67"/>
  <c r="BB48" i="67"/>
  <c r="BA62" i="71"/>
  <c r="BB62" i="71"/>
  <c r="BA72" i="70"/>
  <c r="BB72" i="70"/>
  <c r="BA58" i="68"/>
  <c r="BB58" i="68"/>
  <c r="G213" i="2"/>
  <c r="H213" i="2"/>
  <c r="BJ27" i="69"/>
  <c r="BK27" i="69"/>
  <c r="BJ27" i="76"/>
  <c r="BK27" i="76"/>
  <c r="BA17" i="82"/>
  <c r="BB17" i="82"/>
  <c r="BJ27" i="82"/>
  <c r="BK27" i="82"/>
  <c r="BA17" i="76"/>
  <c r="BB17" i="76"/>
  <c r="BA17" i="75"/>
  <c r="BB17" i="75"/>
  <c r="G259" i="2"/>
  <c r="H259" i="2"/>
  <c r="BJ45" i="76"/>
  <c r="BK45" i="76"/>
  <c r="BJ60" i="80"/>
  <c r="BK60" i="80"/>
  <c r="AZ43" i="60"/>
  <c r="BA43" i="60"/>
  <c r="BJ72" i="78"/>
  <c r="BJ52" i="81"/>
  <c r="BJ59" i="1"/>
  <c r="BK59" i="1"/>
  <c r="BJ42" i="82"/>
  <c r="BK42" i="82"/>
  <c r="AZ43" i="64"/>
  <c r="BA43" i="64"/>
  <c r="BJ59" i="74"/>
  <c r="BJ108" i="67"/>
  <c r="BJ108" i="74"/>
  <c r="BK108" i="74"/>
  <c r="BH112" i="47"/>
  <c r="BI112" i="47"/>
  <c r="BH112" i="61"/>
  <c r="BI112" i="61"/>
  <c r="BJ90" i="66"/>
  <c r="BJ108" i="70"/>
  <c r="G336" i="2"/>
  <c r="H336" i="2"/>
  <c r="BJ37" i="73"/>
  <c r="BK37" i="73"/>
  <c r="AZ82" i="60"/>
  <c r="BA82" i="60"/>
  <c r="AZ82" i="64"/>
  <c r="BA82" i="64"/>
  <c r="G229" i="2"/>
  <c r="H229" i="2"/>
  <c r="BJ37" i="67"/>
  <c r="BJ37" i="74"/>
  <c r="BJ69" i="73"/>
  <c r="BK69" i="73"/>
  <c r="AZ58" i="47"/>
  <c r="BA58" i="47"/>
  <c r="AZ58" i="64"/>
  <c r="BA58" i="64"/>
  <c r="AZ58" i="60"/>
  <c r="BA58" i="60"/>
  <c r="BJ69" i="70"/>
  <c r="AZ58" i="61"/>
  <c r="BA58" i="61"/>
  <c r="BJ69" i="74"/>
  <c r="BK69" i="74"/>
  <c r="BJ82" i="78"/>
  <c r="BK82" i="78"/>
  <c r="G274" i="2"/>
  <c r="H274" i="2"/>
  <c r="BJ56" i="68"/>
  <c r="BK56" i="68"/>
  <c r="BJ55" i="75"/>
  <c r="BK55" i="75"/>
  <c r="BJ52" i="82"/>
  <c r="BK52" i="82"/>
  <c r="BJ69" i="67"/>
  <c r="BJ55" i="69"/>
  <c r="BJ62" i="81"/>
  <c r="BJ69" i="1"/>
  <c r="BJ55" i="76"/>
  <c r="BK55" i="76"/>
  <c r="G341" i="2"/>
  <c r="H341" i="2"/>
  <c r="BJ95" i="71"/>
  <c r="BK95" i="71"/>
  <c r="BH117" i="60"/>
  <c r="BI117" i="60"/>
  <c r="BJ95" i="66"/>
  <c r="BK95" i="66"/>
  <c r="BJ87" i="75"/>
  <c r="BJ113" i="73"/>
  <c r="BJ58" i="77"/>
  <c r="BH117" i="47"/>
  <c r="BI117" i="47"/>
  <c r="BJ88" i="68"/>
  <c r="BK88" i="68"/>
  <c r="BJ113" i="74"/>
  <c r="BK113" i="74"/>
  <c r="BJ87" i="69"/>
  <c r="BK87" i="69"/>
  <c r="BJ87" i="76"/>
  <c r="BH117" i="61"/>
  <c r="BI117" i="61"/>
  <c r="BJ113" i="67"/>
  <c r="BK113" i="67"/>
  <c r="BH117" i="64"/>
  <c r="BI117" i="64"/>
  <c r="AZ68" i="60"/>
  <c r="BA68" i="60"/>
  <c r="G284" i="2"/>
  <c r="H284" i="2"/>
  <c r="AZ68" i="61"/>
  <c r="BA68" i="61"/>
  <c r="AZ68" i="47"/>
  <c r="BA68" i="47"/>
  <c r="G250" i="2"/>
  <c r="H250" i="2"/>
  <c r="BJ63" i="78"/>
  <c r="BJ43" i="81"/>
  <c r="BJ33" i="82"/>
  <c r="BK33" i="82"/>
  <c r="BJ51" i="80"/>
  <c r="BK51" i="80"/>
  <c r="BJ50" i="67"/>
  <c r="BK50" i="67"/>
  <c r="BJ36" i="76"/>
  <c r="BJ37" i="68"/>
  <c r="BK37" i="68"/>
  <c r="BJ40" i="71"/>
  <c r="BJ50" i="74"/>
  <c r="BJ36" i="69"/>
  <c r="BK36" i="69"/>
  <c r="BJ50" i="1"/>
  <c r="BJ22" i="77"/>
  <c r="BJ40" i="66"/>
  <c r="BJ50" i="73"/>
  <c r="G238" i="2"/>
  <c r="H238" i="2"/>
  <c r="BA30" i="80"/>
  <c r="BA37" i="78"/>
  <c r="BB37" i="78"/>
  <c r="BA27" i="81"/>
  <c r="BB27" i="81"/>
  <c r="BA23" i="75"/>
  <c r="BB23" i="75"/>
  <c r="BA31" i="74"/>
  <c r="BB31" i="74"/>
  <c r="BA31" i="1"/>
  <c r="AZ78" i="64"/>
  <c r="BA78" i="64"/>
  <c r="BA23" i="68"/>
  <c r="BB23" i="68"/>
  <c r="BA31" i="70"/>
  <c r="BB31" i="70"/>
  <c r="BA31" i="67"/>
  <c r="BB31" i="67"/>
  <c r="BA25" i="71"/>
  <c r="BB25" i="71"/>
  <c r="BA23" i="76"/>
  <c r="BB23" i="76"/>
  <c r="BA31" i="73"/>
  <c r="BB31" i="73"/>
  <c r="AZ78" i="60"/>
  <c r="BA78" i="60"/>
  <c r="BA25" i="66"/>
  <c r="BB25" i="66"/>
  <c r="BJ25" i="82"/>
  <c r="G211" i="2"/>
  <c r="H211" i="2"/>
  <c r="BJ25" i="69"/>
  <c r="BK25" i="69"/>
  <c r="BA15" i="76"/>
  <c r="BB15" i="76"/>
  <c r="BJ63" i="74"/>
  <c r="BK63" i="74"/>
  <c r="AZ52" i="60"/>
  <c r="BA52" i="60"/>
  <c r="BJ64" i="80"/>
  <c r="BJ63" i="1"/>
  <c r="AZ52" i="61"/>
  <c r="BA52" i="61"/>
  <c r="BJ33" i="77"/>
  <c r="BK33" i="77"/>
  <c r="AZ89" i="60"/>
  <c r="BA89" i="60"/>
  <c r="BA23" i="82"/>
  <c r="BB23" i="82"/>
  <c r="G240" i="2"/>
  <c r="H240" i="2"/>
  <c r="BA25" i="76"/>
  <c r="BB25" i="76"/>
  <c r="BA33" i="73"/>
  <c r="BB33" i="73"/>
  <c r="AZ89" i="64"/>
  <c r="BA89" i="64"/>
  <c r="BJ61" i="67"/>
  <c r="BJ61" i="1"/>
  <c r="BK61" i="1"/>
  <c r="BJ44" i="82"/>
  <c r="BJ62" i="80"/>
  <c r="BK62" i="80"/>
  <c r="BJ47" i="75"/>
  <c r="BJ61" i="73"/>
  <c r="BK61" i="73"/>
  <c r="G266" i="2"/>
  <c r="H266" i="2"/>
  <c r="AZ83" i="64"/>
  <c r="BA83" i="64"/>
  <c r="BJ38" i="74"/>
  <c r="BJ38" i="1"/>
  <c r="G263" i="2"/>
  <c r="H263" i="2"/>
  <c r="BA39" i="80"/>
  <c r="BB39" i="80"/>
  <c r="BA36" i="81"/>
  <c r="BB36" i="81"/>
  <c r="AZ47" i="47"/>
  <c r="BA47" i="47"/>
  <c r="BA40" i="73"/>
  <c r="BB40" i="73"/>
  <c r="BA40" i="74"/>
  <c r="BB40" i="74"/>
  <c r="AZ47" i="60"/>
  <c r="BA47" i="60"/>
  <c r="BA40" i="67"/>
  <c r="BB40" i="67"/>
  <c r="BA32" i="68"/>
  <c r="BB32" i="68"/>
  <c r="G344" i="2"/>
  <c r="H344" i="2"/>
  <c r="BH120" i="47"/>
  <c r="BI120" i="47"/>
  <c r="BJ116" i="1"/>
  <c r="BJ90" i="75"/>
  <c r="BJ91" i="68"/>
  <c r="BK91" i="68"/>
  <c r="BJ90" i="69"/>
  <c r="BJ98" i="71"/>
  <c r="BK98" i="71"/>
  <c r="BJ116" i="67"/>
  <c r="BJ116" i="73"/>
  <c r="BK116" i="73"/>
  <c r="BJ90" i="76"/>
  <c r="BK90" i="76"/>
  <c r="BJ116" i="74"/>
  <c r="BK116" i="74"/>
  <c r="BJ98" i="66"/>
  <c r="BH120" i="61"/>
  <c r="BI120" i="61"/>
  <c r="BH120" i="64"/>
  <c r="BI120" i="64"/>
  <c r="BH120" i="60"/>
  <c r="BI120" i="60"/>
  <c r="BJ61" i="77"/>
  <c r="BH113" i="64"/>
  <c r="BI113" i="64"/>
  <c r="BJ109" i="1"/>
  <c r="G337" i="2"/>
  <c r="H337" i="2"/>
  <c r="BJ109" i="73"/>
  <c r="BJ91" i="66"/>
  <c r="BK91" i="66"/>
  <c r="BJ109" i="67"/>
  <c r="BH113" i="60"/>
  <c r="BI113" i="60"/>
  <c r="G349" i="2"/>
  <c r="H349" i="2"/>
  <c r="BJ121" i="1"/>
  <c r="BK121" i="1"/>
  <c r="AZ16" i="38"/>
  <c r="BA16" i="38"/>
  <c r="BJ95" i="69"/>
  <c r="BK95" i="69"/>
  <c r="BJ95" i="75"/>
  <c r="BK95" i="75"/>
  <c r="BJ95" i="76"/>
  <c r="BJ121" i="74"/>
  <c r="BK121" i="74"/>
  <c r="BA36" i="73"/>
  <c r="BB36" i="73"/>
  <c r="BA55" i="76"/>
  <c r="BB55" i="76"/>
  <c r="BA69" i="67"/>
  <c r="BB69" i="67"/>
  <c r="BA69" i="1"/>
  <c r="BB69" i="1"/>
  <c r="BA55" i="75"/>
  <c r="BB55" i="75"/>
  <c r="BA69" i="70"/>
  <c r="BB69" i="70"/>
  <c r="BA69" i="74"/>
  <c r="BB69" i="74"/>
  <c r="BA59" i="71"/>
  <c r="BB59" i="71"/>
  <c r="G214" i="2"/>
  <c r="H214" i="2"/>
  <c r="BA18" i="75"/>
  <c r="BB18" i="75"/>
  <c r="BA18" i="82"/>
  <c r="BB18" i="82"/>
  <c r="BJ28" i="82"/>
  <c r="BJ85" i="74"/>
  <c r="BK85" i="74"/>
  <c r="BH81" i="61"/>
  <c r="BI81" i="61"/>
  <c r="BJ85" i="73"/>
  <c r="BK85" i="73"/>
  <c r="BJ85" i="67"/>
  <c r="BH81" i="60"/>
  <c r="BI81" i="60"/>
  <c r="BJ85" i="1"/>
  <c r="BK85" i="1"/>
  <c r="BH81" i="64"/>
  <c r="BI81" i="64"/>
  <c r="BJ24" i="75"/>
  <c r="BK24" i="75"/>
  <c r="BA14" i="82"/>
  <c r="BB14" i="82"/>
  <c r="BA14" i="76"/>
  <c r="BB14" i="76"/>
  <c r="BA14" i="69"/>
  <c r="BB14" i="69"/>
  <c r="BJ24" i="76"/>
  <c r="BJ78" i="71"/>
  <c r="BJ94" i="67"/>
  <c r="BK94" i="67"/>
  <c r="BJ60" i="82"/>
  <c r="BK60" i="82"/>
  <c r="BJ78" i="66"/>
  <c r="BH90" i="47"/>
  <c r="BI90" i="47"/>
  <c r="BJ94" i="78"/>
  <c r="BK94" i="78"/>
  <c r="BJ72" i="75"/>
  <c r="BH90" i="60"/>
  <c r="BI90" i="60"/>
  <c r="BJ94" i="1"/>
  <c r="BJ78" i="80"/>
  <c r="BJ94" i="74"/>
  <c r="BK94" i="74"/>
  <c r="BJ94" i="73"/>
  <c r="BK94" i="73"/>
  <c r="BH90" i="61"/>
  <c r="BI90" i="61"/>
  <c r="G330" i="2"/>
  <c r="H330" i="2"/>
  <c r="BA71" i="74"/>
  <c r="BB71" i="74"/>
  <c r="BH106" i="64"/>
  <c r="BI106" i="64"/>
  <c r="BA71" i="70"/>
  <c r="BB71" i="70"/>
  <c r="BA57" i="68"/>
  <c r="BB57" i="68"/>
  <c r="BA40" i="77"/>
  <c r="BB40" i="77"/>
  <c r="BA71" i="73"/>
  <c r="BB71" i="73"/>
  <c r="BH106" i="61"/>
  <c r="BI106" i="61"/>
  <c r="BH106" i="47"/>
  <c r="BI106" i="47"/>
  <c r="BH106" i="60"/>
  <c r="BI106" i="60"/>
  <c r="G306" i="2"/>
  <c r="H306" i="2"/>
  <c r="BH82" i="64"/>
  <c r="BI82" i="64"/>
  <c r="BJ86" i="1"/>
  <c r="BK86" i="1"/>
  <c r="BJ86" i="78"/>
  <c r="BJ86" i="67"/>
  <c r="BK86" i="67"/>
  <c r="BH82" i="61"/>
  <c r="BI82" i="61"/>
  <c r="BJ86" i="73"/>
  <c r="BK86" i="73"/>
  <c r="BH82" i="60"/>
  <c r="BI82" i="60"/>
  <c r="BJ86" i="70"/>
  <c r="BK86" i="70"/>
  <c r="BJ66" i="81"/>
  <c r="BJ86" i="74"/>
  <c r="G435" i="2"/>
  <c r="H435" i="2"/>
  <c r="AZ97" i="61"/>
  <c r="BA97" i="61"/>
  <c r="AZ97" i="64"/>
  <c r="BA97" i="64"/>
  <c r="BJ81" i="74"/>
  <c r="BK81" i="74"/>
  <c r="BH69" i="47"/>
  <c r="BI69" i="47"/>
  <c r="BJ81" i="73"/>
  <c r="BJ67" i="71"/>
  <c r="BH69" i="64"/>
  <c r="BI69" i="64"/>
  <c r="BH69" i="60"/>
  <c r="BI69" i="60"/>
  <c r="BJ67" i="66"/>
  <c r="BJ81" i="1"/>
  <c r="BK81" i="1"/>
  <c r="G293" i="2"/>
  <c r="H293" i="2"/>
  <c r="BH69" i="61"/>
  <c r="BI69" i="61"/>
  <c r="BJ81" i="67"/>
  <c r="G232" i="2"/>
  <c r="H232" i="2"/>
  <c r="BJ32" i="66"/>
  <c r="BJ40" i="67"/>
  <c r="BK40" i="67"/>
  <c r="BJ40" i="74"/>
  <c r="AZ85" i="64"/>
  <c r="BA85" i="64"/>
  <c r="BJ32" i="71"/>
  <c r="BK32" i="71"/>
  <c r="BJ40" i="70"/>
  <c r="AZ85" i="60"/>
  <c r="BA85" i="60"/>
  <c r="BJ40" i="73"/>
  <c r="BJ40" i="1"/>
  <c r="BK40" i="1"/>
  <c r="BA19" i="76"/>
  <c r="BB19" i="76"/>
  <c r="BJ29" i="76"/>
  <c r="BK29" i="76"/>
  <c r="BJ29" i="82"/>
  <c r="BK29" i="82"/>
  <c r="G215" i="2"/>
  <c r="H215" i="2"/>
  <c r="BJ29" i="69"/>
  <c r="BK29" i="69"/>
  <c r="BJ29" i="75"/>
  <c r="BK29" i="75"/>
  <c r="BA19" i="82"/>
  <c r="BB19" i="82"/>
  <c r="BA19" i="75"/>
  <c r="BB19" i="75"/>
  <c r="G228" i="2"/>
  <c r="H228" i="2"/>
  <c r="AZ81" i="60"/>
  <c r="BA81" i="60"/>
  <c r="BA21" i="75"/>
  <c r="BB21" i="75"/>
  <c r="BA22" i="71"/>
  <c r="BB22" i="71"/>
  <c r="BA27" i="73"/>
  <c r="BB27" i="73"/>
  <c r="BA27" i="1"/>
  <c r="BB27" i="1"/>
  <c r="BA27" i="70"/>
  <c r="BB27" i="70"/>
  <c r="BA21" i="76"/>
  <c r="BB21" i="76"/>
  <c r="AZ81" i="64"/>
  <c r="BA81" i="64"/>
  <c r="BA27" i="74"/>
  <c r="BB27" i="74"/>
  <c r="BA22" i="66"/>
  <c r="BB22" i="66"/>
  <c r="BA27" i="67"/>
  <c r="BB27" i="67"/>
  <c r="BJ112" i="66"/>
  <c r="BK112" i="66"/>
  <c r="G287" i="2"/>
  <c r="H287" i="2"/>
  <c r="BA50" i="67"/>
  <c r="BB50" i="67"/>
  <c r="BA50" i="1"/>
  <c r="BB50" i="1"/>
  <c r="AZ71" i="60"/>
  <c r="BA71" i="60"/>
  <c r="AZ71" i="47"/>
  <c r="BA71" i="47"/>
  <c r="BA50" i="74"/>
  <c r="BB50" i="74"/>
  <c r="AZ71" i="64"/>
  <c r="BA71" i="64"/>
  <c r="AZ71" i="61"/>
  <c r="BA71" i="61"/>
  <c r="BJ111" i="1"/>
  <c r="BK111" i="1"/>
  <c r="BH79" i="47"/>
  <c r="BI79" i="47"/>
  <c r="BA56" i="78"/>
  <c r="BB56" i="78"/>
  <c r="BH79" i="61"/>
  <c r="BI79" i="61"/>
  <c r="BH79" i="64"/>
  <c r="BI79" i="64"/>
  <c r="BA46" i="81"/>
  <c r="BB46" i="81"/>
  <c r="BA38" i="82"/>
  <c r="BB38" i="82"/>
  <c r="BA60" i="67"/>
  <c r="BB60" i="67"/>
  <c r="BA47" i="80"/>
  <c r="BB47" i="80"/>
  <c r="BA51" i="66"/>
  <c r="BB51" i="66"/>
  <c r="BA33" i="77"/>
  <c r="BB33" i="77"/>
  <c r="BA48" i="76"/>
  <c r="BB48" i="76"/>
  <c r="BH79" i="60"/>
  <c r="BI79" i="60"/>
  <c r="BA50" i="80"/>
  <c r="BA68" i="71"/>
  <c r="BB68" i="71"/>
  <c r="BA68" i="66"/>
  <c r="G292" i="2"/>
  <c r="H292" i="2"/>
  <c r="BJ66" i="71"/>
  <c r="BK66" i="71"/>
  <c r="BJ66" i="66"/>
  <c r="BK66" i="66"/>
  <c r="BJ80" i="74"/>
  <c r="BH68" i="61"/>
  <c r="BI68" i="61"/>
  <c r="BJ80" i="67"/>
  <c r="BK80" i="67"/>
  <c r="BJ80" i="73"/>
  <c r="BK80" i="73"/>
  <c r="BJ80" i="1"/>
  <c r="BK80" i="1"/>
  <c r="BJ110" i="67"/>
  <c r="BK110" i="67"/>
  <c r="BJ85" i="68"/>
  <c r="BK85" i="68"/>
  <c r="BJ92" i="66"/>
  <c r="BK92" i="66"/>
  <c r="BH114" i="61"/>
  <c r="BI114" i="61"/>
  <c r="BH114" i="64"/>
  <c r="BI114" i="64"/>
  <c r="BA136" i="70"/>
  <c r="BB136" i="70"/>
  <c r="G297" i="2"/>
  <c r="H297" i="2"/>
  <c r="BH73" i="64"/>
  <c r="BI73" i="64"/>
  <c r="BH73" i="61"/>
  <c r="BI73" i="61"/>
  <c r="BA54" i="1"/>
  <c r="BB54" i="1"/>
  <c r="BA40" i="81"/>
  <c r="BB40" i="81"/>
  <c r="BA54" i="70"/>
  <c r="BB54" i="70"/>
  <c r="BA54" i="74"/>
  <c r="BB54" i="74"/>
  <c r="BA54" i="73"/>
  <c r="BB54" i="73"/>
  <c r="BH73" i="47"/>
  <c r="BI73" i="47"/>
  <c r="BA50" i="78"/>
  <c r="BB50" i="78"/>
  <c r="BJ51" i="81"/>
  <c r="BK51" i="81"/>
  <c r="BJ58" i="1"/>
  <c r="G258" i="2"/>
  <c r="H258" i="2"/>
  <c r="BJ59" i="80"/>
  <c r="BK59" i="80"/>
  <c r="BJ45" i="68"/>
  <c r="BK45" i="68"/>
  <c r="AZ42" i="64"/>
  <c r="BA42" i="64"/>
  <c r="AZ42" i="60"/>
  <c r="BA42" i="60"/>
  <c r="BJ41" i="82"/>
  <c r="BK41" i="82"/>
  <c r="AZ42" i="47"/>
  <c r="BA42" i="47"/>
  <c r="BJ48" i="71"/>
  <c r="BK48" i="71"/>
  <c r="BJ58" i="73"/>
  <c r="BJ58" i="67"/>
  <c r="BJ48" i="66"/>
  <c r="BJ44" i="76"/>
  <c r="AZ42" i="61"/>
  <c r="BA42" i="61"/>
  <c r="BJ44" i="69"/>
  <c r="BH91" i="47"/>
  <c r="BI91" i="47"/>
  <c r="BJ61" i="82"/>
  <c r="BK61" i="82"/>
  <c r="BJ95" i="70"/>
  <c r="BK95" i="70"/>
  <c r="BJ74" i="68"/>
  <c r="BK74" i="68"/>
  <c r="BH91" i="61"/>
  <c r="BI91" i="61"/>
  <c r="BJ95" i="73"/>
  <c r="BJ79" i="71"/>
  <c r="BJ79" i="80"/>
  <c r="BJ75" i="81"/>
  <c r="BJ48" i="77"/>
  <c r="BJ73" i="75"/>
  <c r="BK73" i="75"/>
  <c r="BJ95" i="78"/>
  <c r="BJ95" i="67"/>
  <c r="BK95" i="67"/>
  <c r="BJ79" i="66"/>
  <c r="BJ49" i="67"/>
  <c r="BK49" i="67"/>
  <c r="BJ35" i="75"/>
  <c r="BK35" i="75"/>
  <c r="BJ32" i="82"/>
  <c r="BK32" i="82"/>
  <c r="BJ62" i="78"/>
  <c r="BJ49" i="1"/>
  <c r="BJ49" i="70"/>
  <c r="BJ35" i="76"/>
  <c r="BK35" i="76"/>
  <c r="BJ50" i="80"/>
  <c r="G27" i="2"/>
  <c r="H27" i="2"/>
  <c r="AZ7" i="64"/>
  <c r="BA7" i="64"/>
  <c r="AZ7" i="61"/>
  <c r="BA7" i="61"/>
  <c r="AZ7" i="47"/>
  <c r="BA7" i="47"/>
  <c r="BJ15" i="77"/>
  <c r="BK15" i="77"/>
  <c r="AZ7" i="60"/>
  <c r="BA7" i="60"/>
  <c r="BJ99" i="74"/>
  <c r="BJ99" i="1"/>
  <c r="BJ77" i="76"/>
  <c r="BH95" i="47"/>
  <c r="BI95" i="47"/>
  <c r="G319" i="2"/>
  <c r="H319" i="2"/>
  <c r="BJ99" i="73"/>
  <c r="BK99" i="73"/>
  <c r="BJ99" i="78"/>
  <c r="BH95" i="60"/>
  <c r="BI95" i="60"/>
  <c r="BJ65" i="82"/>
  <c r="BJ79" i="81"/>
  <c r="BH95" i="61"/>
  <c r="BI95" i="61"/>
  <c r="BJ77" i="75"/>
  <c r="BK77" i="75"/>
  <c r="BH95" i="64"/>
  <c r="BI95" i="64"/>
  <c r="AZ63" i="64"/>
  <c r="BA63" i="64"/>
  <c r="G279" i="2"/>
  <c r="H279" i="2"/>
  <c r="BA46" i="73"/>
  <c r="BB46" i="73"/>
  <c r="BA38" i="68"/>
  <c r="BB38" i="68"/>
  <c r="BA46" i="67"/>
  <c r="BB46" i="67"/>
  <c r="BJ60" i="69"/>
  <c r="BK60" i="69"/>
  <c r="BA26" i="77"/>
  <c r="BB26" i="77"/>
  <c r="BA46" i="1"/>
  <c r="BB46" i="1"/>
  <c r="BA38" i="75"/>
  <c r="BB38" i="75"/>
  <c r="AZ63" i="60"/>
  <c r="BA63" i="60"/>
  <c r="BA38" i="76"/>
  <c r="BB38" i="76"/>
  <c r="BJ60" i="76"/>
  <c r="BK60" i="76"/>
  <c r="BJ62" i="66"/>
  <c r="BJ60" i="75"/>
  <c r="BA46" i="70"/>
  <c r="BJ40" i="77"/>
  <c r="BK40" i="77"/>
  <c r="BA39" i="66"/>
  <c r="BB39" i="66"/>
  <c r="BJ73" i="67"/>
  <c r="BJ73" i="74"/>
  <c r="BJ73" i="73"/>
  <c r="BA38" i="66"/>
  <c r="BB38" i="66"/>
  <c r="BA25" i="77"/>
  <c r="BB25" i="77"/>
  <c r="AZ62" i="60"/>
  <c r="BA62" i="60"/>
  <c r="BA37" i="76"/>
  <c r="BB37" i="76"/>
  <c r="BJ39" i="77"/>
  <c r="BK39" i="77"/>
  <c r="BA45" i="1"/>
  <c r="BB45" i="1"/>
  <c r="BA37" i="69"/>
  <c r="BB37" i="69"/>
  <c r="BJ73" i="70"/>
  <c r="BK73" i="70"/>
  <c r="BJ61" i="66"/>
  <c r="BK61" i="66"/>
  <c r="AZ62" i="47"/>
  <c r="BA62" i="47"/>
  <c r="BA45" i="74"/>
  <c r="AZ62" i="64"/>
  <c r="BA62" i="64"/>
  <c r="BA38" i="71"/>
  <c r="BB38" i="71"/>
  <c r="G278" i="2"/>
  <c r="H278" i="2"/>
  <c r="BH78" i="64"/>
  <c r="BI78" i="64"/>
  <c r="BA50" i="66"/>
  <c r="BB50" i="66"/>
  <c r="BA32" i="77"/>
  <c r="BB32" i="77"/>
  <c r="BA59" i="74"/>
  <c r="BB59" i="74"/>
  <c r="BJ81" i="70"/>
  <c r="BJ109" i="66"/>
  <c r="BA109" i="66"/>
  <c r="BA127" i="67"/>
  <c r="BA91" i="74"/>
  <c r="BB91" i="74"/>
  <c r="BH61" i="61"/>
  <c r="BI61" i="61"/>
  <c r="AZ38" i="47"/>
  <c r="BA38" i="47"/>
  <c r="G223" i="2"/>
  <c r="H223" i="2"/>
  <c r="BA91" i="75"/>
  <c r="BH61" i="47"/>
  <c r="BI61" i="47"/>
  <c r="G290" i="2"/>
  <c r="H290" i="2"/>
  <c r="BJ78" i="70"/>
  <c r="BK78" i="70"/>
  <c r="BH66" i="47"/>
  <c r="BI66" i="47"/>
  <c r="BH66" i="61"/>
  <c r="BI66" i="61"/>
  <c r="BJ78" i="67"/>
  <c r="BH66" i="60"/>
  <c r="BI66" i="60"/>
  <c r="BJ78" i="74"/>
  <c r="BK78" i="74"/>
  <c r="BH66" i="64"/>
  <c r="BI66" i="64"/>
  <c r="BJ78" i="1"/>
  <c r="BK78" i="1"/>
  <c r="BJ78" i="73"/>
  <c r="BK78" i="73"/>
  <c r="G348" i="2"/>
  <c r="H348" i="2"/>
  <c r="BJ120" i="74"/>
  <c r="BK120" i="74"/>
  <c r="BJ94" i="75"/>
  <c r="BJ120" i="67"/>
  <c r="BJ120" i="1"/>
  <c r="BH124" i="47"/>
  <c r="BI124" i="47"/>
  <c r="BJ120" i="73"/>
  <c r="BK120" i="73"/>
  <c r="BJ94" i="69"/>
  <c r="BK94" i="69"/>
  <c r="BJ94" i="76"/>
  <c r="BJ102" i="66"/>
  <c r="BK102" i="66"/>
  <c r="BH124" i="60"/>
  <c r="BI124" i="60"/>
  <c r="BH124" i="61"/>
  <c r="BI124" i="61"/>
  <c r="BJ102" i="71"/>
  <c r="BK102" i="71"/>
  <c r="BH124" i="64"/>
  <c r="BI124" i="64"/>
  <c r="AZ15" i="38"/>
  <c r="BA15" i="38"/>
  <c r="BA32" i="67"/>
  <c r="BB32" i="67"/>
  <c r="BA26" i="71"/>
  <c r="BB26" i="71"/>
  <c r="BA24" i="76"/>
  <c r="BB24" i="76"/>
  <c r="BA32" i="73"/>
  <c r="BB32" i="73"/>
  <c r="BA24" i="69"/>
  <c r="BB24" i="69"/>
  <c r="BA26" i="66"/>
  <c r="BB26" i="66"/>
  <c r="BA24" i="75"/>
  <c r="BB24" i="75"/>
  <c r="BA38" i="78"/>
  <c r="BB38" i="78"/>
  <c r="BA28" i="81"/>
  <c r="BB28" i="81"/>
  <c r="BA31" i="80"/>
  <c r="BB31" i="80"/>
  <c r="BA15" i="77"/>
  <c r="BB15" i="77"/>
  <c r="BA22" i="82"/>
  <c r="BB22" i="82"/>
  <c r="G239" i="2"/>
  <c r="H239" i="2"/>
  <c r="AZ88" i="64"/>
  <c r="BA88" i="64"/>
  <c r="AZ88" i="60"/>
  <c r="BA88" i="60"/>
  <c r="BA32" i="1"/>
  <c r="BB32" i="1"/>
  <c r="BJ52" i="75"/>
  <c r="BJ67" i="80"/>
  <c r="BJ49" i="82"/>
  <c r="BJ79" i="78"/>
  <c r="G271" i="2"/>
  <c r="H271" i="2"/>
  <c r="BJ66" i="1"/>
  <c r="BJ66" i="67"/>
  <c r="BJ36" i="77"/>
  <c r="BK36" i="77"/>
  <c r="AZ55" i="47"/>
  <c r="BA55" i="47"/>
  <c r="AZ55" i="61"/>
  <c r="BA55" i="61"/>
  <c r="AZ55" i="64"/>
  <c r="BA55" i="64"/>
  <c r="BJ56" i="66"/>
  <c r="BK56" i="66"/>
  <c r="BJ56" i="71"/>
  <c r="BK56" i="71"/>
  <c r="BJ52" i="76"/>
  <c r="BJ66" i="73"/>
  <c r="BK66" i="73"/>
  <c r="BJ53" i="68"/>
  <c r="BJ66" i="74"/>
  <c r="AZ55" i="60"/>
  <c r="BA55" i="60"/>
  <c r="BJ59" i="81"/>
  <c r="BK59" i="81"/>
  <c r="BA68" i="1"/>
  <c r="BB68" i="1"/>
  <c r="BH103" i="47"/>
  <c r="BI103" i="47"/>
  <c r="BH103" i="64"/>
  <c r="BI103" i="64"/>
  <c r="BA68" i="73"/>
  <c r="BB68" i="73"/>
  <c r="BA68" i="74"/>
  <c r="BB68" i="74"/>
  <c r="BH103" i="60"/>
  <c r="BI103" i="60"/>
  <c r="G327" i="2"/>
  <c r="H327" i="2"/>
  <c r="BA58" i="71"/>
  <c r="BB58" i="71"/>
  <c r="BA68" i="67"/>
  <c r="BB68" i="67"/>
  <c r="BJ48" i="67"/>
  <c r="BK48" i="67"/>
  <c r="BJ34" i="76"/>
  <c r="BJ35" i="68"/>
  <c r="BJ48" i="1"/>
  <c r="G248" i="2"/>
  <c r="H248" i="2"/>
  <c r="BJ48" i="74"/>
  <c r="BJ48" i="73"/>
  <c r="BK48" i="73"/>
  <c r="BJ38" i="66"/>
  <c r="BJ38" i="71"/>
  <c r="BK38" i="71"/>
  <c r="BJ31" i="82"/>
  <c r="BJ49" i="80"/>
  <c r="BJ41" i="81"/>
  <c r="BK41" i="81"/>
  <c r="BJ61" i="78"/>
  <c r="BJ34" i="75"/>
  <c r="G231" i="2"/>
  <c r="H231" i="2"/>
  <c r="BJ31" i="66"/>
  <c r="BK31" i="66"/>
  <c r="BJ39" i="67"/>
  <c r="BK39" i="67"/>
  <c r="AZ84" i="60"/>
  <c r="BA84" i="60"/>
  <c r="AZ84" i="64"/>
  <c r="BA84" i="64"/>
  <c r="BJ39" i="1"/>
  <c r="BA43" i="71"/>
  <c r="BB43" i="71"/>
  <c r="BA51" i="1"/>
  <c r="BB51" i="1"/>
  <c r="BA51" i="67"/>
  <c r="BB51" i="67"/>
  <c r="BA51" i="73"/>
  <c r="BB51" i="73"/>
  <c r="BA51" i="74"/>
  <c r="BB51" i="74"/>
  <c r="BJ83" i="70"/>
  <c r="BH71" i="61"/>
  <c r="BI71" i="61"/>
  <c r="BH71" i="47"/>
  <c r="BI71" i="47"/>
  <c r="BJ69" i="66"/>
  <c r="BK69" i="66"/>
  <c r="BJ66" i="68"/>
  <c r="BK66" i="68"/>
  <c r="BJ83" i="1"/>
  <c r="BK83" i="1"/>
  <c r="G295" i="2"/>
  <c r="H295" i="2"/>
  <c r="BJ83" i="74"/>
  <c r="BK83" i="74"/>
  <c r="BJ83" i="67"/>
  <c r="BK83" i="67"/>
  <c r="BH71" i="64"/>
  <c r="BI71" i="64"/>
  <c r="BJ65" i="75"/>
  <c r="BJ65" i="76"/>
  <c r="BH71" i="60"/>
  <c r="BI71" i="60"/>
  <c r="BJ69" i="71"/>
  <c r="BJ83" i="73"/>
  <c r="BK83" i="73"/>
  <c r="G313" i="2"/>
  <c r="H313" i="2"/>
  <c r="BJ93" i="73"/>
  <c r="BK93" i="73"/>
  <c r="BJ93" i="1"/>
  <c r="BK93" i="1"/>
  <c r="BH89" i="60"/>
  <c r="BI89" i="60"/>
  <c r="BJ93" i="74"/>
  <c r="BJ46" i="77"/>
  <c r="BJ72" i="68"/>
  <c r="BJ77" i="71"/>
  <c r="BJ71" i="75"/>
  <c r="BJ59" i="82"/>
  <c r="BJ93" i="78"/>
  <c r="BJ93" i="67"/>
  <c r="BK93" i="67"/>
  <c r="BJ77" i="80"/>
  <c r="BK77" i="80"/>
  <c r="BH89" i="47"/>
  <c r="BI89" i="47"/>
  <c r="BH89" i="64"/>
  <c r="BI89" i="64"/>
  <c r="BJ73" i="81"/>
  <c r="BK73" i="81"/>
  <c r="BJ71" i="76"/>
  <c r="BH89" i="61"/>
  <c r="BI89" i="61"/>
  <c r="BJ93" i="70"/>
  <c r="BK93" i="70"/>
  <c r="BJ71" i="69"/>
  <c r="G257" i="2"/>
  <c r="H257" i="2"/>
  <c r="BJ57" i="67"/>
  <c r="BJ57" i="74"/>
  <c r="BJ57" i="70"/>
  <c r="BJ47" i="66"/>
  <c r="BK47" i="66"/>
  <c r="BJ47" i="71"/>
  <c r="BJ57" i="73"/>
  <c r="BJ43" i="75"/>
  <c r="BJ43" i="76"/>
  <c r="BJ50" i="81"/>
  <c r="BK50" i="81"/>
  <c r="BJ57" i="1"/>
  <c r="BJ58" i="80"/>
  <c r="BJ40" i="82"/>
  <c r="BJ70" i="78"/>
  <c r="BJ29" i="77"/>
  <c r="BJ44" i="68"/>
  <c r="BK44" i="68"/>
  <c r="BJ86" i="76"/>
  <c r="G340" i="2"/>
  <c r="H340" i="2"/>
  <c r="BJ94" i="71"/>
  <c r="BK94" i="71"/>
  <c r="BJ112" i="67"/>
  <c r="BK112" i="67"/>
  <c r="BJ112" i="73"/>
  <c r="BJ86" i="75"/>
  <c r="BJ112" i="74"/>
  <c r="BK112" i="74"/>
  <c r="BJ87" i="68"/>
  <c r="BK87" i="68"/>
  <c r="BJ57" i="77"/>
  <c r="BK57" i="77"/>
  <c r="BH116" i="61"/>
  <c r="BI116" i="61"/>
  <c r="BJ112" i="1"/>
  <c r="BH116" i="64"/>
  <c r="BI116" i="64"/>
  <c r="BH116" i="60"/>
  <c r="BI116" i="60"/>
  <c r="BH116" i="47"/>
  <c r="BI116" i="47"/>
  <c r="G346" i="2"/>
  <c r="H346" i="2"/>
  <c r="BJ118" i="67"/>
  <c r="BJ100" i="66"/>
  <c r="BJ92" i="76"/>
  <c r="BJ118" i="73"/>
  <c r="BH122" i="47"/>
  <c r="BI122" i="47"/>
  <c r="BJ118" i="74"/>
  <c r="BH122" i="61"/>
  <c r="BI122" i="61"/>
  <c r="BH122" i="60"/>
  <c r="BI122" i="60"/>
  <c r="BJ93" i="68"/>
  <c r="BJ92" i="75"/>
  <c r="BH122" i="64"/>
  <c r="BI122" i="64"/>
  <c r="BJ118" i="1"/>
  <c r="BK118" i="1"/>
  <c r="BJ100" i="71"/>
  <c r="BJ63" i="77"/>
  <c r="BJ41" i="71"/>
  <c r="BK41" i="71"/>
  <c r="BJ41" i="66"/>
  <c r="BJ38" i="68"/>
  <c r="BJ51" i="73"/>
  <c r="BJ51" i="74"/>
  <c r="BK51" i="74"/>
  <c r="BJ37" i="76"/>
  <c r="BK37" i="76"/>
  <c r="BJ44" i="81"/>
  <c r="BK44" i="81"/>
  <c r="BJ64" i="78"/>
  <c r="BJ23" i="77"/>
  <c r="BJ34" i="82"/>
  <c r="BJ52" i="80"/>
  <c r="BK52" i="80"/>
  <c r="G251" i="2"/>
  <c r="H251" i="2"/>
  <c r="BJ51" i="67"/>
  <c r="BJ51" i="1"/>
  <c r="BK51" i="1"/>
  <c r="BJ37" i="75"/>
  <c r="BK37" i="75"/>
  <c r="BJ34" i="69"/>
  <c r="BJ114" i="70"/>
  <c r="BK114" i="70"/>
  <c r="BA16" i="75"/>
  <c r="BB16" i="75"/>
  <c r="BJ26" i="75"/>
  <c r="BK26" i="75"/>
  <c r="BA16" i="76"/>
  <c r="BJ26" i="76"/>
  <c r="BK26" i="76"/>
  <c r="BJ26" i="82"/>
  <c r="BA16" i="82"/>
  <c r="BB16" i="82"/>
  <c r="BA16" i="69"/>
  <c r="BB16" i="69"/>
  <c r="G212" i="2"/>
  <c r="H212" i="2"/>
  <c r="G437" i="2"/>
  <c r="H437" i="2"/>
  <c r="AZ99" i="64"/>
  <c r="BA99" i="64"/>
  <c r="AZ99" i="61"/>
  <c r="BA99" i="61"/>
  <c r="BJ59" i="77"/>
  <c r="BH118" i="61"/>
  <c r="BI118" i="61"/>
  <c r="BJ114" i="74"/>
  <c r="BJ114" i="73"/>
  <c r="BK114" i="73"/>
  <c r="BJ114" i="67"/>
  <c r="BJ88" i="76"/>
  <c r="G342" i="2"/>
  <c r="H342" i="2"/>
  <c r="BH118" i="64"/>
  <c r="BI118" i="64"/>
  <c r="BJ88" i="75"/>
  <c r="BJ89" i="68"/>
  <c r="BK89" i="68"/>
  <c r="BJ96" i="66"/>
  <c r="BK96" i="66"/>
  <c r="BH118" i="47"/>
  <c r="BI118" i="47"/>
  <c r="BJ96" i="71"/>
  <c r="BK96" i="71"/>
  <c r="BJ114" i="1"/>
  <c r="BK114" i="1"/>
  <c r="BH118" i="60"/>
  <c r="BI118" i="60"/>
  <c r="G272" i="2"/>
  <c r="H272" i="2"/>
  <c r="BJ57" i="71"/>
  <c r="BJ54" i="68"/>
  <c r="BJ67" i="67"/>
  <c r="BJ57" i="66"/>
  <c r="BJ53" i="75"/>
  <c r="BJ67" i="74"/>
  <c r="BJ67" i="73"/>
  <c r="AZ56" i="64"/>
  <c r="BA56" i="64"/>
  <c r="BJ67" i="1"/>
  <c r="BK67" i="1"/>
  <c r="AZ56" i="47"/>
  <c r="BA56" i="47"/>
  <c r="BJ80" i="78"/>
  <c r="BJ53" i="76"/>
  <c r="BK53" i="76"/>
  <c r="BJ68" i="80"/>
  <c r="BK68" i="80"/>
  <c r="BJ60" i="81"/>
  <c r="BK60" i="81"/>
  <c r="BJ50" i="82"/>
  <c r="BJ67" i="70"/>
  <c r="BK67" i="70"/>
  <c r="AZ56" i="61"/>
  <c r="BA56" i="61"/>
  <c r="AZ56" i="60"/>
  <c r="BA56" i="60"/>
  <c r="G256" i="2"/>
  <c r="H256" i="2"/>
  <c r="BJ56" i="70"/>
  <c r="BK56" i="70"/>
  <c r="BJ42" i="76"/>
  <c r="BJ56" i="67"/>
  <c r="BJ56" i="73"/>
  <c r="BJ49" i="81"/>
  <c r="BK49" i="81"/>
  <c r="BJ69" i="78"/>
  <c r="BK69" i="78"/>
  <c r="BJ57" i="80"/>
  <c r="BJ28" i="77"/>
  <c r="BJ39" i="82"/>
  <c r="BJ43" i="68"/>
  <c r="BK43" i="68"/>
  <c r="BJ46" i="71"/>
  <c r="BJ42" i="75"/>
  <c r="BK42" i="75"/>
  <c r="G304" i="2"/>
  <c r="H304" i="2"/>
  <c r="BA49" i="76"/>
  <c r="BB49" i="76"/>
  <c r="BA52" i="66"/>
  <c r="BB52" i="66"/>
  <c r="BA52" i="71"/>
  <c r="BB52" i="71"/>
  <c r="BA61" i="73"/>
  <c r="BB61" i="73"/>
  <c r="BA49" i="75"/>
  <c r="BB49" i="75"/>
  <c r="BA49" i="69"/>
  <c r="BB49" i="69"/>
  <c r="BA61" i="67"/>
  <c r="BB61" i="67"/>
  <c r="BH80" i="60"/>
  <c r="BI80" i="60"/>
  <c r="BA48" i="80"/>
  <c r="BB48" i="80"/>
  <c r="BA39" i="82"/>
  <c r="BB39" i="82"/>
  <c r="BA47" i="81"/>
  <c r="BB47" i="81"/>
  <c r="BA57" i="78"/>
  <c r="BB57" i="78"/>
  <c r="BH80" i="64"/>
  <c r="BI80" i="64"/>
  <c r="BH80" i="47"/>
  <c r="BI80" i="47"/>
  <c r="BA61" i="74"/>
  <c r="BB61" i="74"/>
  <c r="BH80" i="61"/>
  <c r="BI80" i="61"/>
  <c r="G261" i="2"/>
  <c r="H261" i="2"/>
  <c r="BA30" i="68"/>
  <c r="BB30" i="68"/>
  <c r="AZ45" i="60"/>
  <c r="BA45" i="60"/>
  <c r="BA38" i="73"/>
  <c r="BB38" i="73"/>
  <c r="BA30" i="75"/>
  <c r="BB30" i="75"/>
  <c r="BA38" i="67"/>
  <c r="BB38" i="67"/>
  <c r="BA20" i="77"/>
  <c r="BB20" i="77"/>
  <c r="BA32" i="66"/>
  <c r="BB32" i="66"/>
  <c r="AZ45" i="47"/>
  <c r="BA45" i="47"/>
  <c r="BA38" i="74"/>
  <c r="BB38" i="74"/>
  <c r="AZ45" i="64"/>
  <c r="BA45" i="64"/>
  <c r="BA30" i="76"/>
  <c r="BB30" i="76"/>
  <c r="BA38" i="1"/>
  <c r="BB38" i="1"/>
  <c r="BA37" i="80"/>
  <c r="BB37" i="80"/>
  <c r="BA28" i="82"/>
  <c r="BB28" i="82"/>
  <c r="BA34" i="81"/>
  <c r="BB34" i="81"/>
  <c r="BA44" i="78"/>
  <c r="BB44" i="78"/>
  <c r="BJ53" i="69"/>
  <c r="BJ105" i="75"/>
  <c r="BK105" i="75"/>
  <c r="G218" i="2"/>
  <c r="H218" i="2"/>
  <c r="BA78" i="70"/>
  <c r="BB78" i="70"/>
  <c r="BA78" i="1"/>
  <c r="BB78" i="1"/>
  <c r="BA59" i="78"/>
  <c r="BA41" i="82"/>
  <c r="BA64" i="75"/>
  <c r="BB64" i="75"/>
  <c r="BA64" i="76"/>
  <c r="BB64" i="76"/>
  <c r="BJ20" i="75"/>
  <c r="BK20" i="75"/>
  <c r="BA64" i="69"/>
  <c r="BA42" i="77"/>
  <c r="BB42" i="77"/>
  <c r="BA59" i="76"/>
  <c r="BB59" i="76"/>
  <c r="G332" i="2"/>
  <c r="H332" i="2"/>
  <c r="BA73" i="1"/>
  <c r="BB73" i="1"/>
  <c r="BA63" i="66"/>
  <c r="BB63" i="66"/>
  <c r="BA73" i="74"/>
  <c r="BB73" i="74"/>
  <c r="BA59" i="75"/>
  <c r="BB59" i="75"/>
  <c r="BA73" i="73"/>
  <c r="BB73" i="73"/>
  <c r="BA59" i="69"/>
  <c r="BB59" i="69"/>
  <c r="BH108" i="60"/>
  <c r="BI108" i="60"/>
  <c r="BA73" i="67"/>
  <c r="BB73" i="67"/>
  <c r="BH108" i="64"/>
  <c r="BI108" i="64"/>
  <c r="BH108" i="61"/>
  <c r="BI108" i="61"/>
  <c r="BH108" i="47"/>
  <c r="BI108" i="47"/>
  <c r="AZ96" i="64"/>
  <c r="BA96" i="64"/>
  <c r="BH74" i="60"/>
  <c r="BI74" i="60"/>
  <c r="BH74" i="47"/>
  <c r="BI74" i="47"/>
  <c r="BA55" i="70"/>
  <c r="BB55" i="70"/>
  <c r="BA46" i="66"/>
  <c r="BB46" i="66"/>
  <c r="BH74" i="61"/>
  <c r="BI74" i="61"/>
  <c r="BA55" i="74"/>
  <c r="BB55" i="74"/>
  <c r="BA55" i="73"/>
  <c r="BB55" i="73"/>
  <c r="BA46" i="71"/>
  <c r="BB46" i="71"/>
  <c r="BA51" i="78"/>
  <c r="BB51" i="78"/>
  <c r="BA42" i="80"/>
  <c r="BB42" i="80"/>
  <c r="BA41" i="81"/>
  <c r="BB41" i="81"/>
  <c r="BA55" i="67"/>
  <c r="BB55" i="67"/>
  <c r="BA55" i="1"/>
  <c r="BB55" i="1"/>
  <c r="G298" i="2"/>
  <c r="H298" i="2"/>
  <c r="BH74" i="64"/>
  <c r="BI74" i="64"/>
  <c r="G316" i="2"/>
  <c r="H316" i="2"/>
  <c r="BJ96" i="73"/>
  <c r="BK96" i="73"/>
  <c r="BJ96" i="74"/>
  <c r="BJ74" i="75"/>
  <c r="BK74" i="75"/>
  <c r="BJ80" i="71"/>
  <c r="BK80" i="71"/>
  <c r="BH92" i="61"/>
  <c r="BI92" i="61"/>
  <c r="BH92" i="47"/>
  <c r="BI92" i="47"/>
  <c r="BJ80" i="80"/>
  <c r="BH92" i="64"/>
  <c r="BI92" i="64"/>
  <c r="BJ96" i="78"/>
  <c r="BJ76" i="81"/>
  <c r="BK76" i="81"/>
  <c r="BJ96" i="1"/>
  <c r="BK96" i="1"/>
  <c r="BH92" i="60"/>
  <c r="BI92" i="60"/>
  <c r="BJ62" i="82"/>
  <c r="BJ74" i="76"/>
  <c r="BK74" i="76"/>
  <c r="BA60" i="76"/>
  <c r="BA64" i="66"/>
  <c r="BB64" i="66"/>
  <c r="BA74" i="1"/>
  <c r="BB74" i="1"/>
  <c r="BA74" i="74"/>
  <c r="BB74" i="74"/>
  <c r="BA60" i="75"/>
  <c r="BB60" i="75"/>
  <c r="BA64" i="71"/>
  <c r="BB64" i="71"/>
  <c r="BA74" i="67"/>
  <c r="BB74" i="67"/>
  <c r="BA74" i="73"/>
  <c r="BB74" i="73"/>
  <c r="BH109" i="61"/>
  <c r="BI109" i="61"/>
  <c r="G333" i="2"/>
  <c r="H333" i="2"/>
  <c r="BH109" i="60"/>
  <c r="BI109" i="60"/>
  <c r="BH109" i="64"/>
  <c r="BI109" i="64"/>
  <c r="BA74" i="70"/>
  <c r="BB74" i="70"/>
  <c r="G224" i="2"/>
  <c r="H224" i="2"/>
  <c r="BJ137" i="74"/>
  <c r="BK137" i="74"/>
  <c r="AZ39" i="47"/>
  <c r="BA39" i="47"/>
  <c r="BH62" i="47"/>
  <c r="BI62" i="47"/>
  <c r="AZ39" i="61"/>
  <c r="BA39" i="61"/>
  <c r="BA127" i="1"/>
  <c r="BJ127" i="1"/>
  <c r="G226" i="2"/>
  <c r="H226" i="2"/>
  <c r="BA25" i="73"/>
  <c r="BB25" i="73"/>
  <c r="BA25" i="74"/>
  <c r="BB25" i="74"/>
  <c r="BA25" i="1"/>
  <c r="BA25" i="67"/>
  <c r="BB25" i="67"/>
  <c r="G227" i="2"/>
  <c r="H227" i="2"/>
  <c r="BA26" i="74"/>
  <c r="BB26" i="74"/>
  <c r="BA21" i="66"/>
  <c r="BB21" i="66"/>
  <c r="BA21" i="71"/>
  <c r="BB21" i="71"/>
  <c r="BA26" i="73"/>
  <c r="BB26" i="73"/>
  <c r="AZ77" i="64"/>
  <c r="BA77" i="64"/>
  <c r="AZ77" i="60"/>
  <c r="BA77" i="60"/>
  <c r="BA26" i="1"/>
  <c r="BB26" i="1"/>
  <c r="BJ129" i="1"/>
  <c r="BJ135" i="70"/>
  <c r="BA129" i="1"/>
  <c r="BB129" i="1"/>
  <c r="BA135" i="70"/>
  <c r="BB135" i="70"/>
  <c r="BJ130" i="67"/>
  <c r="BK130" i="67"/>
  <c r="BJ130" i="1"/>
  <c r="BK130" i="1"/>
  <c r="BA130" i="1"/>
  <c r="BB130" i="1"/>
  <c r="BJ111" i="66"/>
  <c r="BK76" i="68"/>
  <c r="BF24" i="70"/>
  <c r="BE24" i="70"/>
  <c r="BJ20" i="71"/>
  <c r="BK20" i="71"/>
  <c r="BE20" i="71"/>
  <c r="BF20" i="71"/>
  <c r="AV39" i="47"/>
  <c r="AW39" i="47"/>
  <c r="BE62" i="47"/>
  <c r="BD62" i="47"/>
  <c r="AV14" i="38"/>
  <c r="AW14" i="38"/>
  <c r="AZ14" i="38"/>
  <c r="BA14" i="38"/>
  <c r="BF107" i="75"/>
  <c r="BJ107" i="75"/>
  <c r="BK107" i="75"/>
  <c r="BE107" i="75"/>
  <c r="BF110" i="75"/>
  <c r="AW86" i="75"/>
  <c r="AV86" i="75"/>
  <c r="BF131" i="74"/>
  <c r="BE131" i="74"/>
  <c r="AV92" i="74"/>
  <c r="AW92" i="74"/>
  <c r="BF111" i="75"/>
  <c r="AW88" i="74"/>
  <c r="AW91" i="75"/>
  <c r="AV91" i="75"/>
  <c r="BE105" i="75"/>
  <c r="BF105" i="75"/>
  <c r="BE137" i="74"/>
  <c r="BF137" i="74"/>
  <c r="AW88" i="75"/>
  <c r="BA88" i="75"/>
  <c r="BB88" i="75"/>
  <c r="AV88" i="75"/>
  <c r="AW13" i="38"/>
  <c r="AV13" i="38"/>
  <c r="AV86" i="74"/>
  <c r="AV39" i="61"/>
  <c r="AW39" i="61"/>
  <c r="BJ133" i="74"/>
  <c r="BF133" i="74"/>
  <c r="BE133" i="74"/>
  <c r="BE20" i="76"/>
  <c r="BF20" i="76"/>
  <c r="BJ20" i="76"/>
  <c r="BE24" i="73"/>
  <c r="BJ24" i="73"/>
  <c r="BK24" i="73"/>
  <c r="BF24" i="73"/>
  <c r="BB13" i="65"/>
  <c r="BB30" i="65"/>
  <c r="BB14" i="65"/>
  <c r="AZ29" i="65"/>
  <c r="BH47" i="82"/>
  <c r="BH53" i="82"/>
  <c r="BK53" i="82"/>
  <c r="BB32" i="82"/>
  <c r="BH10" i="82"/>
  <c r="BH34" i="82"/>
  <c r="BH7" i="81"/>
  <c r="BI7" i="81"/>
  <c r="AS118" i="2"/>
  <c r="BH14" i="81"/>
  <c r="BH70" i="81"/>
  <c r="BH77" i="81"/>
  <c r="BH55" i="81"/>
  <c r="BH15" i="80"/>
  <c r="BH75" i="80"/>
  <c r="BK75" i="80"/>
  <c r="AY15" i="80"/>
  <c r="BH100" i="78"/>
  <c r="BH10" i="78"/>
  <c r="BI10" i="78"/>
  <c r="AO55" i="2"/>
  <c r="BH85" i="78"/>
  <c r="BH89" i="78"/>
  <c r="AY20" i="78"/>
  <c r="BH15" i="78"/>
  <c r="BH34" i="78"/>
  <c r="BI34" i="78"/>
  <c r="AO126" i="2"/>
  <c r="BH74" i="78"/>
  <c r="AZ88" i="75"/>
  <c r="AJ220" i="2"/>
  <c r="AZ86" i="75"/>
  <c r="AJ218" i="2"/>
  <c r="AZ52" i="75"/>
  <c r="AJ323" i="2"/>
  <c r="BH86" i="75"/>
  <c r="BI86" i="75"/>
  <c r="AK340" i="2"/>
  <c r="AZ44" i="75"/>
  <c r="AJ299" i="2"/>
  <c r="BH10" i="75"/>
  <c r="BI10" i="75"/>
  <c r="AK174" i="2"/>
  <c r="AZ6" i="75"/>
  <c r="AJ162" i="2"/>
  <c r="BH9" i="75"/>
  <c r="BI9" i="75"/>
  <c r="AK173" i="2"/>
  <c r="BH16" i="75"/>
  <c r="BI16" i="75"/>
  <c r="AK180" i="2"/>
  <c r="BH67" i="75"/>
  <c r="BI67" i="75"/>
  <c r="AK309" i="2"/>
  <c r="BB42" i="75"/>
  <c r="BH64" i="75"/>
  <c r="BI64" i="75"/>
  <c r="AK294" i="2"/>
  <c r="AZ42" i="75"/>
  <c r="AJ289" i="2"/>
  <c r="AZ28" i="75"/>
  <c r="AJ243" i="2"/>
  <c r="BH44" i="75"/>
  <c r="AZ91" i="74"/>
  <c r="AH223" i="2"/>
  <c r="AZ88" i="74"/>
  <c r="AH220" i="2"/>
  <c r="BH18" i="74"/>
  <c r="BI18" i="74"/>
  <c r="AI129" i="2"/>
  <c r="AZ74" i="74"/>
  <c r="AH333" i="2"/>
  <c r="BH120" i="74"/>
  <c r="BI120" i="74"/>
  <c r="AI348" i="2"/>
  <c r="AZ58" i="74"/>
  <c r="AH301" i="2"/>
  <c r="BH7" i="74"/>
  <c r="BI7" i="74"/>
  <c r="AI118" i="2"/>
  <c r="BI27" i="74"/>
  <c r="AI71" i="2"/>
  <c r="AZ41" i="74"/>
  <c r="AH264" i="2"/>
  <c r="BH68" i="74"/>
  <c r="BI68" i="74"/>
  <c r="AI273" i="2"/>
  <c r="AZ11" i="74"/>
  <c r="AH112" i="2"/>
  <c r="BH16" i="74"/>
  <c r="BI16" i="74"/>
  <c r="AI127" i="2"/>
  <c r="AZ52" i="76"/>
  <c r="AF323" i="2"/>
  <c r="AZ59" i="76"/>
  <c r="AF332" i="2"/>
  <c r="BH92" i="76"/>
  <c r="BI92" i="76"/>
  <c r="AG346" i="2"/>
  <c r="BH84" i="76"/>
  <c r="BI84" i="76"/>
  <c r="AG338" i="2"/>
  <c r="BK69" i="76"/>
  <c r="BH76" i="76"/>
  <c r="BI76" i="76"/>
  <c r="AG318" i="2"/>
  <c r="BI29" i="76"/>
  <c r="AG215" i="2"/>
  <c r="AZ8" i="76"/>
  <c r="AF164" i="2"/>
  <c r="BH11" i="76"/>
  <c r="BI11" i="76"/>
  <c r="AG175" i="2"/>
  <c r="BH5" i="76"/>
  <c r="BI5" i="76"/>
  <c r="AG169" i="2"/>
  <c r="AZ64" i="73"/>
  <c r="AD323" i="2"/>
  <c r="AZ73" i="73"/>
  <c r="AD332" i="2"/>
  <c r="AZ70" i="73"/>
  <c r="AD329" i="2"/>
  <c r="BH6" i="73"/>
  <c r="BI6" i="73"/>
  <c r="AE117" i="2"/>
  <c r="BH112" i="73"/>
  <c r="BH91" i="73"/>
  <c r="BH97" i="73"/>
  <c r="BK97" i="73"/>
  <c r="AZ60" i="73"/>
  <c r="AD303" i="2"/>
  <c r="AZ61" i="73"/>
  <c r="AD304" i="2"/>
  <c r="AZ52" i="73"/>
  <c r="AD289" i="2"/>
  <c r="AZ5" i="73"/>
  <c r="AD106" i="2"/>
  <c r="AZ54" i="73"/>
  <c r="AD297" i="2"/>
  <c r="AZ10" i="73"/>
  <c r="AD111" i="2"/>
  <c r="BH136" i="73"/>
  <c r="BI136" i="73"/>
  <c r="AE357" i="2"/>
  <c r="BH15" i="73"/>
  <c r="BI15" i="73"/>
  <c r="AE126" i="2"/>
  <c r="AZ29" i="73"/>
  <c r="AD236" i="2"/>
  <c r="BH130" i="73"/>
  <c r="BI130" i="73"/>
  <c r="AE196" i="2"/>
  <c r="AZ84" i="73"/>
  <c r="AD193" i="2"/>
  <c r="N193" i="2"/>
  <c r="F193" i="2"/>
  <c r="I193" i="2"/>
  <c r="BH44" i="73"/>
  <c r="BI44" i="73"/>
  <c r="AE244" i="2"/>
  <c r="AZ5" i="71"/>
  <c r="AB81" i="2"/>
  <c r="AZ59" i="71"/>
  <c r="AB328" i="2"/>
  <c r="AZ60" i="71"/>
  <c r="AB329" i="2"/>
  <c r="BH5" i="71"/>
  <c r="BI5" i="71"/>
  <c r="AC89" i="2"/>
  <c r="BH92" i="71"/>
  <c r="AZ51" i="71"/>
  <c r="AB303" i="2"/>
  <c r="BH79" i="71"/>
  <c r="BI79" i="71"/>
  <c r="AC315" i="2"/>
  <c r="BH81" i="71"/>
  <c r="BI81" i="71"/>
  <c r="AC317" i="2"/>
  <c r="BK74" i="71"/>
  <c r="BH52" i="71"/>
  <c r="BI52" i="71"/>
  <c r="AC267" i="2"/>
  <c r="AZ32" i="71"/>
  <c r="AB261" i="2"/>
  <c r="BH55" i="71"/>
  <c r="BI55" i="71"/>
  <c r="AC270" i="2"/>
  <c r="BH43" i="71"/>
  <c r="BI43" i="71"/>
  <c r="AC253" i="2"/>
  <c r="AZ45" i="70"/>
  <c r="Z278" i="2"/>
  <c r="BH7" i="70"/>
  <c r="BH107" i="70"/>
  <c r="BI107" i="70"/>
  <c r="AA335" i="2"/>
  <c r="AZ6" i="70"/>
  <c r="Z40" i="2"/>
  <c r="AZ70" i="70"/>
  <c r="Z329" i="2"/>
  <c r="BH112" i="70"/>
  <c r="BI112" i="70"/>
  <c r="AA340" i="2"/>
  <c r="AZ67" i="70"/>
  <c r="Z326" i="2"/>
  <c r="BH97" i="70"/>
  <c r="BI97" i="70"/>
  <c r="AA317" i="2"/>
  <c r="BH96" i="70"/>
  <c r="BI96" i="70"/>
  <c r="AA316" i="2"/>
  <c r="BH90" i="70"/>
  <c r="BI90" i="70"/>
  <c r="AA310" i="2"/>
  <c r="BK79" i="70"/>
  <c r="BH89" i="70"/>
  <c r="BI89" i="70"/>
  <c r="AA309" i="2"/>
  <c r="BH81" i="70"/>
  <c r="BI81" i="70"/>
  <c r="AA293" i="2"/>
  <c r="BH69" i="70"/>
  <c r="AZ8" i="70"/>
  <c r="Z42" i="2"/>
  <c r="BH50" i="70"/>
  <c r="BI50" i="70"/>
  <c r="AA250" i="2"/>
  <c r="BH11" i="70"/>
  <c r="BI11" i="70"/>
  <c r="AA56" i="2"/>
  <c r="AZ36" i="70"/>
  <c r="Z243" i="2"/>
  <c r="BH51" i="70"/>
  <c r="BI51" i="70"/>
  <c r="AA251" i="2"/>
  <c r="BK51" i="70"/>
  <c r="BB25" i="70"/>
  <c r="AZ29" i="70"/>
  <c r="Z236" i="2"/>
  <c r="BH44" i="70"/>
  <c r="BI44" i="70"/>
  <c r="AA244" i="2"/>
  <c r="BH37" i="70"/>
  <c r="BI37" i="70"/>
  <c r="AA229" i="2"/>
  <c r="BH39" i="70"/>
  <c r="BH41" i="70"/>
  <c r="AZ55" i="69"/>
  <c r="X328" i="2"/>
  <c r="AZ34" i="69"/>
  <c r="X265" i="2"/>
  <c r="BH48" i="69"/>
  <c r="BI48" i="69"/>
  <c r="Y267" i="2"/>
  <c r="BH52" i="69"/>
  <c r="BI52" i="69"/>
  <c r="Y271" i="2"/>
  <c r="AZ32" i="69"/>
  <c r="X263" i="2"/>
  <c r="BH45" i="69"/>
  <c r="BK45" i="69"/>
  <c r="AZ28" i="69"/>
  <c r="X243" i="2"/>
  <c r="BB39" i="68"/>
  <c r="AZ39" i="68"/>
  <c r="V280" i="2"/>
  <c r="AZ36" i="68"/>
  <c r="V277" i="2"/>
  <c r="AZ57" i="68"/>
  <c r="V330" i="2"/>
  <c r="BH89" i="68"/>
  <c r="BI89" i="68"/>
  <c r="W342" i="2"/>
  <c r="AZ62" i="68"/>
  <c r="V351" i="2"/>
  <c r="AZ10" i="68"/>
  <c r="V142" i="2"/>
  <c r="N142" i="2"/>
  <c r="F142" i="2"/>
  <c r="I142" i="2"/>
  <c r="BH73" i="68"/>
  <c r="BI73" i="68"/>
  <c r="W314" i="2"/>
  <c r="AZ46" i="68"/>
  <c r="V301" i="2"/>
  <c r="AZ64" i="68"/>
  <c r="V135" i="2"/>
  <c r="BH53" i="68"/>
  <c r="BI53" i="68"/>
  <c r="W271" i="2"/>
  <c r="AY102" i="68"/>
  <c r="BH102" i="68"/>
  <c r="BI102" i="68"/>
  <c r="W354" i="2"/>
  <c r="BH12" i="68"/>
  <c r="BI12" i="68"/>
  <c r="W152" i="2"/>
  <c r="N152" i="2"/>
  <c r="F152" i="2"/>
  <c r="I152" i="2"/>
  <c r="AZ44" i="67"/>
  <c r="T277" i="2"/>
  <c r="BH119" i="67"/>
  <c r="BI119" i="67"/>
  <c r="U347" i="2"/>
  <c r="AZ70" i="67"/>
  <c r="T329" i="2"/>
  <c r="AZ73" i="67"/>
  <c r="T332" i="2"/>
  <c r="AZ59" i="67"/>
  <c r="T302" i="2"/>
  <c r="BH94" i="67"/>
  <c r="BH96" i="67"/>
  <c r="BI96" i="67"/>
  <c r="U316" i="2"/>
  <c r="BH100" i="67"/>
  <c r="BI100" i="67"/>
  <c r="U320" i="2"/>
  <c r="AZ52" i="67"/>
  <c r="T289" i="2"/>
  <c r="BH89" i="67"/>
  <c r="AZ50" i="67"/>
  <c r="T287" i="2"/>
  <c r="BH83" i="67"/>
  <c r="BI83" i="67"/>
  <c r="U295" i="2"/>
  <c r="AZ12" i="67"/>
  <c r="T113" i="2"/>
  <c r="BH67" i="67"/>
  <c r="BI67" i="67"/>
  <c r="U272" i="2"/>
  <c r="AZ41" i="67"/>
  <c r="T264" i="2"/>
  <c r="BH16" i="67"/>
  <c r="BI16" i="67"/>
  <c r="U127" i="2"/>
  <c r="BH17" i="67"/>
  <c r="BI17" i="67"/>
  <c r="U128" i="2"/>
  <c r="AZ35" i="67"/>
  <c r="T242" i="2"/>
  <c r="BH13" i="67"/>
  <c r="BI13" i="67"/>
  <c r="U124" i="2"/>
  <c r="BH14" i="67"/>
  <c r="BI14" i="67"/>
  <c r="U125" i="2"/>
  <c r="AZ9" i="67"/>
  <c r="T110" i="2"/>
  <c r="BH46" i="67"/>
  <c r="BI46" i="67"/>
  <c r="U246" i="2"/>
  <c r="BH90" i="66"/>
  <c r="BK90" i="66"/>
  <c r="BH10" i="66"/>
  <c r="BH40" i="66"/>
  <c r="BH110" i="1"/>
  <c r="BH86" i="1"/>
  <c r="BH64" i="1"/>
  <c r="BH22" i="1"/>
  <c r="BH53" i="1"/>
  <c r="BH50" i="1"/>
  <c r="AZ36" i="77"/>
  <c r="AL323" i="2"/>
  <c r="AZ44" i="77"/>
  <c r="AL351" i="2"/>
  <c r="AZ41" i="77"/>
  <c r="AL331" i="2"/>
  <c r="BH49" i="77"/>
  <c r="AZ20" i="77"/>
  <c r="AL261" i="2"/>
  <c r="AZ22" i="77"/>
  <c r="AL263" i="2"/>
  <c r="BI15" i="77"/>
  <c r="AM27" i="2"/>
  <c r="N27" i="2"/>
  <c r="F27" i="2"/>
  <c r="I27" i="2"/>
  <c r="BH13" i="66"/>
  <c r="BH14" i="66"/>
  <c r="BD85" i="64"/>
  <c r="BH85" i="64"/>
  <c r="BI85" i="64"/>
  <c r="BE85" i="64"/>
  <c r="AV49" i="60"/>
  <c r="AZ49" i="60"/>
  <c r="BA49" i="60"/>
  <c r="AW49" i="60"/>
  <c r="AV46" i="75"/>
  <c r="AW46" i="75"/>
  <c r="BE106" i="47"/>
  <c r="BD106" i="47"/>
  <c r="BE37" i="1"/>
  <c r="BF37" i="1"/>
  <c r="BJ37" i="1"/>
  <c r="BE87" i="1"/>
  <c r="BF87" i="1"/>
  <c r="BJ87" i="1"/>
  <c r="BK87" i="1"/>
  <c r="AW29" i="66"/>
  <c r="AV44" i="80"/>
  <c r="BA44" i="80"/>
  <c r="BB44" i="80"/>
  <c r="AW44" i="80"/>
  <c r="BF79" i="78"/>
  <c r="BE79" i="78"/>
  <c r="BJ45" i="82"/>
  <c r="BE45" i="82"/>
  <c r="BF45" i="82"/>
  <c r="BF51" i="81"/>
  <c r="BE51" i="81"/>
  <c r="BF58" i="81"/>
  <c r="BJ58" i="81"/>
  <c r="BE58" i="81"/>
  <c r="AW32" i="81"/>
  <c r="AV32" i="81"/>
  <c r="BF37" i="80"/>
  <c r="BE37" i="80"/>
  <c r="BJ37" i="80"/>
  <c r="BK37" i="80"/>
  <c r="AV15" i="82"/>
  <c r="AW15" i="82"/>
  <c r="BF77" i="71"/>
  <c r="BE77" i="71"/>
  <c r="AW67" i="1"/>
  <c r="BA67" i="1"/>
  <c r="BB67" i="1"/>
  <c r="BH102" i="64"/>
  <c r="BI102" i="64"/>
  <c r="BD102" i="64"/>
  <c r="BE102" i="64"/>
  <c r="AV67" i="67"/>
  <c r="AW67" i="67"/>
  <c r="AW55" i="1"/>
  <c r="AV55" i="1"/>
  <c r="AW33" i="75"/>
  <c r="BF60" i="80"/>
  <c r="BE60" i="80"/>
  <c r="BD120" i="61"/>
  <c r="BE120" i="61"/>
  <c r="AV67" i="61"/>
  <c r="AZ63" i="61"/>
  <c r="BA63" i="61"/>
  <c r="AW63" i="61"/>
  <c r="AW58" i="47"/>
  <c r="AV58" i="47"/>
  <c r="AV56" i="66"/>
  <c r="AW56" i="66"/>
  <c r="AV56" i="71"/>
  <c r="AW56" i="71"/>
  <c r="BJ99" i="70"/>
  <c r="BK99" i="70"/>
  <c r="BF99" i="70"/>
  <c r="BE99" i="70"/>
  <c r="BH87" i="60"/>
  <c r="BI87" i="60"/>
  <c r="BE87" i="60"/>
  <c r="BH83" i="47"/>
  <c r="BI83" i="47"/>
  <c r="BE83" i="47"/>
  <c r="AW51" i="74"/>
  <c r="AV51" i="74"/>
  <c r="BF80" i="74"/>
  <c r="BE80" i="74"/>
  <c r="AW44" i="71"/>
  <c r="AV44" i="71"/>
  <c r="BA44" i="71"/>
  <c r="BB44" i="71"/>
  <c r="BF52" i="75"/>
  <c r="BE52" i="75"/>
  <c r="AV33" i="76"/>
  <c r="AW33" i="76"/>
  <c r="BF48" i="81"/>
  <c r="BJ48" i="81"/>
  <c r="BE48" i="81"/>
  <c r="BF42" i="68"/>
  <c r="BE42" i="68"/>
  <c r="BJ42" i="68"/>
  <c r="BE27" i="77"/>
  <c r="BF27" i="77"/>
  <c r="BF47" i="67"/>
  <c r="BJ47" i="67"/>
  <c r="AW28" i="68"/>
  <c r="AV28" i="68"/>
  <c r="BA28" i="68"/>
  <c r="BB28" i="68"/>
  <c r="AW52" i="68"/>
  <c r="AV52" i="68"/>
  <c r="BE82" i="66"/>
  <c r="BE76" i="67"/>
  <c r="BF76" i="67"/>
  <c r="BJ72" i="70"/>
  <c r="BE72" i="70"/>
  <c r="BF72" i="70"/>
  <c r="BE94" i="70"/>
  <c r="BJ94" i="70"/>
  <c r="BK94" i="70"/>
  <c r="BD68" i="61"/>
  <c r="BE68" i="61"/>
  <c r="AV71" i="74"/>
  <c r="AW71" i="74"/>
  <c r="AW89" i="60"/>
  <c r="AV89" i="60"/>
  <c r="AW28" i="71"/>
  <c r="AV60" i="1"/>
  <c r="AW60" i="1"/>
  <c r="AV47" i="61"/>
  <c r="AW47" i="61"/>
  <c r="BE40" i="66"/>
  <c r="BF40" i="66"/>
  <c r="BE54" i="70"/>
  <c r="BF54" i="70"/>
  <c r="BE46" i="70"/>
  <c r="BJ46" i="70"/>
  <c r="BK46" i="70"/>
  <c r="BF107" i="1"/>
  <c r="BE97" i="76"/>
  <c r="BF69" i="66"/>
  <c r="AV30" i="70"/>
  <c r="BJ65" i="1"/>
  <c r="BE101" i="71"/>
  <c r="BE37" i="69"/>
  <c r="BJ37" i="69"/>
  <c r="BK37" i="69"/>
  <c r="BF37" i="69"/>
  <c r="AW76" i="67"/>
  <c r="BE82" i="68"/>
  <c r="BF82" i="68"/>
  <c r="AV52" i="69"/>
  <c r="BA52" i="69"/>
  <c r="BB52" i="69"/>
  <c r="AW52" i="69"/>
  <c r="BE76" i="73"/>
  <c r="BJ76" i="73"/>
  <c r="BF76" i="73"/>
  <c r="BF69" i="68"/>
  <c r="BJ69" i="68"/>
  <c r="AW52" i="73"/>
  <c r="BA52" i="73"/>
  <c r="BB52" i="73"/>
  <c r="BF66" i="70"/>
  <c r="BE66" i="70"/>
  <c r="BJ66" i="70"/>
  <c r="BF68" i="78"/>
  <c r="BE68" i="78"/>
  <c r="BJ68" i="78"/>
  <c r="AV25" i="76"/>
  <c r="AW25" i="76"/>
  <c r="AW29" i="67"/>
  <c r="AV29" i="67"/>
  <c r="AV25" i="81"/>
  <c r="AW25" i="81"/>
  <c r="AW21" i="71"/>
  <c r="AV21" i="71"/>
  <c r="AV33" i="67"/>
  <c r="AW33" i="67"/>
  <c r="BF46" i="74"/>
  <c r="BE46" i="74"/>
  <c r="BJ46" i="74"/>
  <c r="BE42" i="1"/>
  <c r="BF42" i="1"/>
  <c r="AW40" i="1"/>
  <c r="AV40" i="1"/>
  <c r="AW22" i="77"/>
  <c r="AV22" i="77"/>
  <c r="BF54" i="67"/>
  <c r="BE54" i="67"/>
  <c r="BJ54" i="67"/>
  <c r="BF36" i="76"/>
  <c r="BE36" i="76"/>
  <c r="BF37" i="73"/>
  <c r="BE37" i="73"/>
  <c r="BJ130" i="70"/>
  <c r="BF130" i="70"/>
  <c r="BE130" i="70"/>
  <c r="BE95" i="78"/>
  <c r="BF95" i="78"/>
  <c r="AV27" i="81"/>
  <c r="AW27" i="81"/>
  <c r="AV71" i="60"/>
  <c r="AW71" i="60"/>
  <c r="BE85" i="61"/>
  <c r="BD85" i="61"/>
  <c r="BD67" i="47"/>
  <c r="BE67" i="47"/>
  <c r="BD121" i="64"/>
  <c r="BD100" i="64"/>
  <c r="BH100" i="64"/>
  <c r="BI100" i="64"/>
  <c r="BE100" i="64"/>
  <c r="BF81" i="68"/>
  <c r="BE81" i="68"/>
  <c r="BJ81" i="68"/>
  <c r="AV32" i="69"/>
  <c r="BE58" i="1"/>
  <c r="BF58" i="1"/>
  <c r="AV35" i="73"/>
  <c r="AW35" i="73"/>
  <c r="BA35" i="73"/>
  <c r="BB35" i="73"/>
  <c r="AW45" i="73"/>
  <c r="AV45" i="73"/>
  <c r="BA45" i="73"/>
  <c r="BB45" i="73"/>
  <c r="BD56" i="61"/>
  <c r="BE56" i="61"/>
  <c r="AZ8" i="61"/>
  <c r="BA8" i="61"/>
  <c r="AW8" i="61"/>
  <c r="AV8" i="61"/>
  <c r="AW53" i="47"/>
  <c r="AV53" i="47"/>
  <c r="AZ53" i="47"/>
  <c r="BA53" i="47"/>
  <c r="AW70" i="61"/>
  <c r="AV70" i="61"/>
  <c r="AZ70" i="61"/>
  <c r="BA70" i="61"/>
  <c r="I391" i="2"/>
  <c r="BE65" i="1"/>
  <c r="AV55" i="67"/>
  <c r="BF101" i="71"/>
  <c r="BF93" i="67"/>
  <c r="AV76" i="67"/>
  <c r="AV19" i="69"/>
  <c r="BA19" i="69"/>
  <c r="BB19" i="69"/>
  <c r="AW66" i="66"/>
  <c r="AV66" i="66"/>
  <c r="BF81" i="69"/>
  <c r="BE81" i="69"/>
  <c r="BD122" i="60"/>
  <c r="BE122" i="60"/>
  <c r="AV62" i="69"/>
  <c r="AW62" i="69"/>
  <c r="AW76" i="73"/>
  <c r="AV76" i="73"/>
  <c r="BE86" i="60"/>
  <c r="BD86" i="60"/>
  <c r="BH56" i="61"/>
  <c r="BI56" i="61"/>
  <c r="BH67" i="47"/>
  <c r="BI67" i="47"/>
  <c r="AV55" i="71"/>
  <c r="AV48" i="78"/>
  <c r="BA48" i="78"/>
  <c r="BB48" i="78"/>
  <c r="AW98" i="61"/>
  <c r="AV98" i="61"/>
  <c r="BE80" i="76"/>
  <c r="BF80" i="76"/>
  <c r="BJ80" i="76"/>
  <c r="BK80" i="76"/>
  <c r="BF89" i="76"/>
  <c r="BJ89" i="76"/>
  <c r="BF39" i="71"/>
  <c r="BE39" i="71"/>
  <c r="BE65" i="70"/>
  <c r="BJ65" i="70"/>
  <c r="BF65" i="70"/>
  <c r="BF50" i="80"/>
  <c r="BE50" i="80"/>
  <c r="BE56" i="68"/>
  <c r="BF56" i="68"/>
  <c r="AV90" i="60"/>
  <c r="AW90" i="60"/>
  <c r="AW48" i="78"/>
  <c r="BE89" i="76"/>
  <c r="BE98" i="68"/>
  <c r="BF98" i="68"/>
  <c r="AV72" i="70"/>
  <c r="AW72" i="70"/>
  <c r="BJ90" i="1"/>
  <c r="BK90" i="1"/>
  <c r="AV21" i="68"/>
  <c r="AW21" i="68"/>
  <c r="BA21" i="68"/>
  <c r="BB21" i="68"/>
  <c r="AW29" i="80"/>
  <c r="AW17" i="76"/>
  <c r="AV17" i="76"/>
  <c r="AW47" i="69"/>
  <c r="AV47" i="69"/>
  <c r="BE39" i="74"/>
  <c r="BE47" i="69"/>
  <c r="BF47" i="69"/>
  <c r="BF61" i="69"/>
  <c r="BJ61" i="69"/>
  <c r="AV16" i="69"/>
  <c r="AW16" i="69"/>
  <c r="AW32" i="1"/>
  <c r="AV32" i="1"/>
  <c r="AV62" i="64"/>
  <c r="AW62" i="64"/>
  <c r="BI44" i="75"/>
  <c r="AK258" i="2"/>
  <c r="BI39" i="70"/>
  <c r="AA231" i="2"/>
  <c r="BI89" i="67"/>
  <c r="U309" i="2"/>
  <c r="BK46" i="67"/>
  <c r="AY70" i="82"/>
  <c r="BH70" i="82"/>
  <c r="BI70" i="82"/>
  <c r="AU354" i="2"/>
  <c r="BH12" i="82"/>
  <c r="BI12" i="82"/>
  <c r="AU176" i="2"/>
  <c r="BB13" i="82"/>
  <c r="AY23" i="78"/>
  <c r="BH21" i="78"/>
  <c r="BH40" i="78"/>
  <c r="BI40" i="78"/>
  <c r="AO132" i="2"/>
  <c r="BB51" i="75"/>
  <c r="AZ51" i="75"/>
  <c r="AJ322" i="2"/>
  <c r="AZ59" i="75"/>
  <c r="AJ332" i="2"/>
  <c r="BI85" i="75"/>
  <c r="AK339" i="2"/>
  <c r="BH92" i="75"/>
  <c r="BH75" i="75"/>
  <c r="BI75" i="75"/>
  <c r="AK317" i="2"/>
  <c r="BH53" i="75"/>
  <c r="AZ9" i="74"/>
  <c r="AH110" i="2"/>
  <c r="BH41" i="74"/>
  <c r="BI41" i="74"/>
  <c r="AI233" i="2"/>
  <c r="BI58" i="76"/>
  <c r="AG277" i="2"/>
  <c r="BI45" i="71"/>
  <c r="AC255" i="2"/>
  <c r="AZ21" i="71"/>
  <c r="AB227" i="2"/>
  <c r="BB47" i="70"/>
  <c r="BI92" i="70"/>
  <c r="AA312" i="2"/>
  <c r="AY83" i="70"/>
  <c r="AZ83" i="70"/>
  <c r="Z187" i="2"/>
  <c r="AZ55" i="70"/>
  <c r="Z298" i="2"/>
  <c r="AZ52" i="70"/>
  <c r="Z289" i="2"/>
  <c r="BB52" i="70"/>
  <c r="BH57" i="70"/>
  <c r="BI57" i="70"/>
  <c r="AA257" i="2"/>
  <c r="AZ25" i="69"/>
  <c r="X240" i="2"/>
  <c r="BI36" i="69"/>
  <c r="Y250" i="2"/>
  <c r="AZ7" i="69"/>
  <c r="X163" i="2"/>
  <c r="AZ38" i="68"/>
  <c r="V279" i="2"/>
  <c r="BH57" i="68"/>
  <c r="AZ7" i="68"/>
  <c r="V139" i="2"/>
  <c r="N139" i="2"/>
  <c r="F139" i="2"/>
  <c r="I139" i="2"/>
  <c r="BH40" i="68"/>
  <c r="AZ25" i="68"/>
  <c r="V240" i="2"/>
  <c r="BH42" i="68"/>
  <c r="AZ46" i="67"/>
  <c r="T279" i="2"/>
  <c r="BI48" i="67"/>
  <c r="U248" i="2"/>
  <c r="BH120" i="1"/>
  <c r="BH18" i="1"/>
  <c r="BI18" i="1"/>
  <c r="Q63" i="2"/>
  <c r="BH65" i="1"/>
  <c r="BK65" i="1"/>
  <c r="BH59" i="77"/>
  <c r="AZ30" i="77"/>
  <c r="AL300" i="2"/>
  <c r="BH44" i="77"/>
  <c r="AZ21" i="77"/>
  <c r="AL262" i="2"/>
  <c r="BH33" i="77"/>
  <c r="BI14" i="77"/>
  <c r="AM37" i="2"/>
  <c r="AZ8" i="74"/>
  <c r="AH109" i="2"/>
  <c r="BH12" i="74"/>
  <c r="BI12" i="74"/>
  <c r="AI123" i="2"/>
  <c r="AR86" i="73"/>
  <c r="AZ66" i="71"/>
  <c r="AB351" i="2"/>
  <c r="AZ34" i="70"/>
  <c r="Z241" i="2"/>
  <c r="BH55" i="70"/>
  <c r="BI55" i="70"/>
  <c r="AA255" i="2"/>
  <c r="AZ8" i="69"/>
  <c r="X164" i="2"/>
  <c r="BH11" i="69"/>
  <c r="BI11" i="69"/>
  <c r="Y175" i="2"/>
  <c r="BI42" i="68"/>
  <c r="W255" i="2"/>
  <c r="AZ34" i="67"/>
  <c r="T241" i="2"/>
  <c r="BH9" i="77"/>
  <c r="BI9" i="77"/>
  <c r="AM33" i="2"/>
  <c r="N33" i="2"/>
  <c r="F33" i="2"/>
  <c r="I33" i="2"/>
  <c r="AZ7" i="77"/>
  <c r="AL25" i="2"/>
  <c r="N25" i="2"/>
  <c r="F25" i="2"/>
  <c r="I25" i="2"/>
  <c r="BK47" i="82"/>
  <c r="BH40" i="82"/>
  <c r="BH21" i="81"/>
  <c r="BH15" i="81"/>
  <c r="BH39" i="81"/>
  <c r="BI39" i="81"/>
  <c r="AS246" i="2"/>
  <c r="BH79" i="80"/>
  <c r="AY16" i="80"/>
  <c r="AZ16" i="80"/>
  <c r="AP110" i="2"/>
  <c r="BH67" i="80"/>
  <c r="BH76" i="78"/>
  <c r="BI76" i="78"/>
  <c r="AO268" i="2"/>
  <c r="BH64" i="78"/>
  <c r="AZ37" i="75"/>
  <c r="AJ278" i="2"/>
  <c r="AZ33" i="75"/>
  <c r="AJ264" i="2"/>
  <c r="BI27" i="75"/>
  <c r="AK213" i="2"/>
  <c r="BH31" i="75"/>
  <c r="BI132" i="74"/>
  <c r="AI219" i="2"/>
  <c r="AZ64" i="74"/>
  <c r="AH323" i="2"/>
  <c r="BI121" i="74"/>
  <c r="AI349" i="2"/>
  <c r="BH99" i="74"/>
  <c r="BI99" i="74"/>
  <c r="AI319" i="2"/>
  <c r="BH88" i="74"/>
  <c r="AZ12" i="74"/>
  <c r="AH113" i="2"/>
  <c r="BH52" i="74"/>
  <c r="BH53" i="74"/>
  <c r="BI53" i="74"/>
  <c r="AI253" i="2"/>
  <c r="AZ36" i="74"/>
  <c r="AH243" i="2"/>
  <c r="BH48" i="74"/>
  <c r="AZ53" i="76"/>
  <c r="AF324" i="2"/>
  <c r="AZ37" i="76"/>
  <c r="AF278" i="2"/>
  <c r="BH91" i="76"/>
  <c r="BI91" i="76"/>
  <c r="AG345" i="2"/>
  <c r="AZ44" i="76"/>
  <c r="AF299" i="2"/>
  <c r="AZ65" i="73"/>
  <c r="AD324" i="2"/>
  <c r="AZ46" i="73"/>
  <c r="AD279" i="2"/>
  <c r="AZ9" i="73"/>
  <c r="AD110" i="2"/>
  <c r="AZ68" i="73"/>
  <c r="AD327" i="2"/>
  <c r="AZ76" i="73"/>
  <c r="AD351" i="2"/>
  <c r="BH111" i="73"/>
  <c r="BH109" i="73"/>
  <c r="BI109" i="73"/>
  <c r="AE337" i="2"/>
  <c r="BH13" i="73"/>
  <c r="BI13" i="73"/>
  <c r="AE124" i="2"/>
  <c r="BI90" i="73"/>
  <c r="AE310" i="2"/>
  <c r="AZ50" i="73"/>
  <c r="AD287" i="2"/>
  <c r="BH89" i="73"/>
  <c r="BH79" i="73"/>
  <c r="BK79" i="73"/>
  <c r="BI79" i="73"/>
  <c r="AE291" i="2"/>
  <c r="AZ21" i="73"/>
  <c r="AD77" i="2"/>
  <c r="BH62" i="73"/>
  <c r="BH67" i="73"/>
  <c r="BI67" i="73"/>
  <c r="AE272" i="2"/>
  <c r="BH52" i="73"/>
  <c r="BH53" i="73"/>
  <c r="BI53" i="73"/>
  <c r="AE253" i="2"/>
  <c r="AZ35" i="73"/>
  <c r="AD242" i="2"/>
  <c r="AZ12" i="73"/>
  <c r="AD113" i="2"/>
  <c r="BH56" i="73"/>
  <c r="BI92" i="71"/>
  <c r="AC338" i="2"/>
  <c r="BH72" i="71"/>
  <c r="AZ46" i="71"/>
  <c r="AB298" i="2"/>
  <c r="AZ39" i="71"/>
  <c r="AB279" i="2"/>
  <c r="AZ34" i="71"/>
  <c r="AB263" i="2"/>
  <c r="AZ26" i="71"/>
  <c r="AB239" i="2"/>
  <c r="BH41" i="71"/>
  <c r="AZ63" i="70"/>
  <c r="Z322" i="2"/>
  <c r="AZ44" i="70"/>
  <c r="Z277" i="2"/>
  <c r="BH110" i="70"/>
  <c r="AZ7" i="70"/>
  <c r="Z41" i="2"/>
  <c r="AZ12" i="70"/>
  <c r="Z46" i="2"/>
  <c r="BH20" i="70"/>
  <c r="BI20" i="70"/>
  <c r="AA65" i="2"/>
  <c r="AZ58" i="70"/>
  <c r="Z301" i="2"/>
  <c r="BH63" i="70"/>
  <c r="BI53" i="70"/>
  <c r="AA253" i="2"/>
  <c r="AZ35" i="70"/>
  <c r="Z242" i="2"/>
  <c r="BH15" i="70"/>
  <c r="BH52" i="70"/>
  <c r="AZ33" i="70"/>
  <c r="Z240" i="2"/>
  <c r="AZ37" i="69"/>
  <c r="X278" i="2"/>
  <c r="AZ6" i="69"/>
  <c r="X162" i="2"/>
  <c r="BH7" i="69"/>
  <c r="BI51" i="69"/>
  <c r="Y270" i="2"/>
  <c r="BI50" i="69"/>
  <c r="Y269" i="2"/>
  <c r="BH49" i="69"/>
  <c r="BH10" i="68"/>
  <c r="BI10" i="68"/>
  <c r="W150" i="2"/>
  <c r="N150" i="2"/>
  <c r="F150" i="2"/>
  <c r="I150" i="2"/>
  <c r="BH79" i="68"/>
  <c r="BI79" i="68"/>
  <c r="W320" i="2"/>
  <c r="AZ49" i="68"/>
  <c r="V304" i="2"/>
  <c r="BH71" i="68"/>
  <c r="BK71" i="68"/>
  <c r="BH49" i="68"/>
  <c r="BH91" i="67"/>
  <c r="AZ60" i="67"/>
  <c r="T303" i="2"/>
  <c r="BH12" i="67"/>
  <c r="BI12" i="67"/>
  <c r="U123" i="2"/>
  <c r="BH98" i="67"/>
  <c r="BH55" i="67"/>
  <c r="BH19" i="67"/>
  <c r="BI19" i="67"/>
  <c r="U130" i="2"/>
  <c r="BI30" i="67"/>
  <c r="U74" i="2"/>
  <c r="AZ36" i="67"/>
  <c r="T243" i="2"/>
  <c r="BH37" i="67"/>
  <c r="BI37" i="67"/>
  <c r="U229" i="2"/>
  <c r="AZ5" i="67"/>
  <c r="T106" i="2"/>
  <c r="BH98" i="66"/>
  <c r="BH83" i="66"/>
  <c r="BH39" i="66"/>
  <c r="BH106" i="1"/>
  <c r="BK106" i="1"/>
  <c r="BH94" i="1"/>
  <c r="BH69" i="1"/>
  <c r="BK69" i="1"/>
  <c r="BH55" i="1"/>
  <c r="BI55" i="1"/>
  <c r="Q255" i="2"/>
  <c r="BH41" i="1"/>
  <c r="BI41" i="1"/>
  <c r="Q233" i="2"/>
  <c r="BH39" i="1"/>
  <c r="BH10" i="1"/>
  <c r="BH61" i="77"/>
  <c r="AZ32" i="77"/>
  <c r="AL302" i="2"/>
  <c r="BI49" i="77"/>
  <c r="AM316" i="2"/>
  <c r="BH80" i="81"/>
  <c r="BH79" i="81"/>
  <c r="BK57" i="81"/>
  <c r="BH63" i="81"/>
  <c r="BH56" i="81"/>
  <c r="BH46" i="81"/>
  <c r="BH77" i="80"/>
  <c r="BH13" i="80"/>
  <c r="BH83" i="78"/>
  <c r="BI83" i="78"/>
  <c r="AO275" i="2"/>
  <c r="BH12" i="78"/>
  <c r="BH31" i="78"/>
  <c r="AZ92" i="75"/>
  <c r="AJ224" i="2"/>
  <c r="AZ53" i="75"/>
  <c r="AJ324" i="2"/>
  <c r="BB53" i="75"/>
  <c r="BH77" i="75"/>
  <c r="AZ10" i="75"/>
  <c r="AJ166" i="2"/>
  <c r="AZ46" i="75"/>
  <c r="AJ301" i="2"/>
  <c r="BH11" i="75"/>
  <c r="BI11" i="75"/>
  <c r="AK175" i="2"/>
  <c r="BK56" i="75"/>
  <c r="AZ8" i="75"/>
  <c r="AJ164" i="2"/>
  <c r="BH52" i="75"/>
  <c r="BI52" i="75"/>
  <c r="AK271" i="2"/>
  <c r="AZ32" i="75"/>
  <c r="AJ263" i="2"/>
  <c r="BI41" i="75"/>
  <c r="AK255" i="2"/>
  <c r="BI136" i="74"/>
  <c r="AI223" i="2"/>
  <c r="BB65" i="74"/>
  <c r="BI116" i="74"/>
  <c r="AI344" i="2"/>
  <c r="AZ69" i="74"/>
  <c r="AH328" i="2"/>
  <c r="BI110" i="74"/>
  <c r="AI338" i="2"/>
  <c r="BH117" i="74"/>
  <c r="BI117" i="74"/>
  <c r="AI345" i="2"/>
  <c r="AZ61" i="74"/>
  <c r="AH304" i="2"/>
  <c r="AZ7" i="74"/>
  <c r="AH108" i="2"/>
  <c r="AZ50" i="74"/>
  <c r="AH287" i="2"/>
  <c r="BH79" i="74"/>
  <c r="BI62" i="74"/>
  <c r="AI267" i="2"/>
  <c r="BH70" i="74"/>
  <c r="BI70" i="74"/>
  <c r="AI275" i="2"/>
  <c r="BH14" i="74"/>
  <c r="BI14" i="74"/>
  <c r="AI125" i="2"/>
  <c r="BH58" i="74"/>
  <c r="BH45" i="74"/>
  <c r="BH37" i="74"/>
  <c r="AZ25" i="74"/>
  <c r="AH226" i="2"/>
  <c r="BH44" i="74"/>
  <c r="AZ30" i="74"/>
  <c r="AH237" i="2"/>
  <c r="AU90" i="76"/>
  <c r="AU91" i="76"/>
  <c r="AZ51" i="76"/>
  <c r="AF322" i="2"/>
  <c r="BH88" i="76"/>
  <c r="BH6" i="76"/>
  <c r="BI6" i="76"/>
  <c r="AG170" i="2"/>
  <c r="BI55" i="76"/>
  <c r="AG274" i="2"/>
  <c r="BH20" i="73"/>
  <c r="BH115" i="73"/>
  <c r="BH106" i="73"/>
  <c r="BI106" i="73"/>
  <c r="AE334" i="2"/>
  <c r="BI97" i="73"/>
  <c r="AE317" i="2"/>
  <c r="BI86" i="73"/>
  <c r="AE306" i="2"/>
  <c r="BH63" i="73"/>
  <c r="BH50" i="73"/>
  <c r="BH39" i="73"/>
  <c r="BI39" i="73"/>
  <c r="AE231" i="2"/>
  <c r="BH42" i="73"/>
  <c r="BH46" i="73"/>
  <c r="BI46" i="73"/>
  <c r="AE246" i="2"/>
  <c r="AZ56" i="71"/>
  <c r="AB324" i="2"/>
  <c r="AZ48" i="71"/>
  <c r="AB300" i="2"/>
  <c r="BH75" i="71"/>
  <c r="BI23" i="71"/>
  <c r="AC72" i="2"/>
  <c r="AZ37" i="71"/>
  <c r="AB277" i="2"/>
  <c r="BH53" i="71"/>
  <c r="BH47" i="71"/>
  <c r="BI47" i="71"/>
  <c r="AC257" i="2"/>
  <c r="AZ19" i="71"/>
  <c r="AB78" i="2"/>
  <c r="AZ29" i="71"/>
  <c r="AB242" i="2"/>
  <c r="BH34" i="71"/>
  <c r="BI34" i="71"/>
  <c r="AC234" i="2"/>
  <c r="BI118" i="70"/>
  <c r="AA346" i="2"/>
  <c r="BI100" i="70"/>
  <c r="AA320" i="2"/>
  <c r="BK97" i="70"/>
  <c r="BI82" i="69"/>
  <c r="Y324" i="2"/>
  <c r="AZ57" i="69"/>
  <c r="X330" i="2"/>
  <c r="BH88" i="69"/>
  <c r="BI88" i="69"/>
  <c r="Y342" i="2"/>
  <c r="BI20" i="69"/>
  <c r="Y184" i="2"/>
  <c r="BH9" i="69"/>
  <c r="BI9" i="69"/>
  <c r="Y173" i="2"/>
  <c r="BI78" i="69"/>
  <c r="Y320" i="2"/>
  <c r="BH76" i="69"/>
  <c r="AZ46" i="69"/>
  <c r="X301" i="2"/>
  <c r="BH71" i="69"/>
  <c r="BH67" i="69"/>
  <c r="BH55" i="69"/>
  <c r="BK48" i="69"/>
  <c r="BI41" i="69"/>
  <c r="Y255" i="2"/>
  <c r="BH39" i="69"/>
  <c r="BH34" i="69"/>
  <c r="BH32" i="69"/>
  <c r="BI32" i="69"/>
  <c r="Y234" i="2"/>
  <c r="BK46" i="68"/>
  <c r="BH38" i="68"/>
  <c r="BK38" i="68"/>
  <c r="BH13" i="68"/>
  <c r="BI13" i="68"/>
  <c r="W153" i="2"/>
  <c r="N153" i="2"/>
  <c r="F153" i="2"/>
  <c r="I153" i="2"/>
  <c r="BI32" i="68"/>
  <c r="W233" i="2"/>
  <c r="BH33" i="68"/>
  <c r="BH103" i="67"/>
  <c r="BH58" i="67"/>
  <c r="BI58" i="67"/>
  <c r="U258" i="2"/>
  <c r="BH51" i="67"/>
  <c r="BH5" i="67"/>
  <c r="AZ6" i="67"/>
  <c r="T107" i="2"/>
  <c r="BH45" i="67"/>
  <c r="BH42" i="67"/>
  <c r="BI42" i="67"/>
  <c r="U234" i="2"/>
  <c r="BH76" i="66"/>
  <c r="BH82" i="66"/>
  <c r="BH61" i="66"/>
  <c r="BH7" i="66"/>
  <c r="BB47" i="1"/>
  <c r="BH76" i="1"/>
  <c r="BI76" i="1"/>
  <c r="Q281" i="2"/>
  <c r="BH64" i="77"/>
  <c r="BI64" i="77"/>
  <c r="AM347" i="2"/>
  <c r="BH46" i="77"/>
  <c r="BH22" i="77"/>
  <c r="BK22" i="77"/>
  <c r="AZ15" i="77"/>
  <c r="AL239" i="2"/>
  <c r="BH18" i="82"/>
  <c r="BH16" i="82"/>
  <c r="AY74" i="82"/>
  <c r="BH74" i="82"/>
  <c r="BK74" i="82"/>
  <c r="BH14" i="82"/>
  <c r="BH35" i="82"/>
  <c r="BH42" i="82"/>
  <c r="BH9" i="81"/>
  <c r="BH75" i="81"/>
  <c r="BK75" i="81"/>
  <c r="BH65" i="81"/>
  <c r="BH11" i="81"/>
  <c r="BK81" i="80"/>
  <c r="BH84" i="80"/>
  <c r="AY17" i="80"/>
  <c r="AZ17" i="80"/>
  <c r="AP111" i="2"/>
  <c r="BH9" i="80"/>
  <c r="BI9" i="80"/>
  <c r="AQ93" i="2"/>
  <c r="BH60" i="80"/>
  <c r="AY18" i="80"/>
  <c r="AY18" i="78"/>
  <c r="AY108" i="78"/>
  <c r="AZ108" i="78"/>
  <c r="AN358" i="2"/>
  <c r="BH13" i="78"/>
  <c r="BH32" i="78"/>
  <c r="BI32" i="78"/>
  <c r="AO124" i="2"/>
  <c r="AZ39" i="75"/>
  <c r="AJ280" i="2"/>
  <c r="BH71" i="75"/>
  <c r="BI54" i="75"/>
  <c r="AK273" i="2"/>
  <c r="BH48" i="75"/>
  <c r="BH18" i="75"/>
  <c r="BI18" i="75"/>
  <c r="AK182" i="2"/>
  <c r="AZ30" i="75"/>
  <c r="AJ261" i="2"/>
  <c r="BK38" i="75"/>
  <c r="AZ23" i="75"/>
  <c r="AJ238" i="2"/>
  <c r="AZ25" i="75"/>
  <c r="AJ240" i="2"/>
  <c r="BH14" i="75"/>
  <c r="BI14" i="75"/>
  <c r="AK178" i="2"/>
  <c r="AZ5" i="75"/>
  <c r="AJ161" i="2"/>
  <c r="BH6" i="75"/>
  <c r="BI6" i="75"/>
  <c r="AK170" i="2"/>
  <c r="BI137" i="74"/>
  <c r="AI224" i="2"/>
  <c r="BI135" i="74"/>
  <c r="AI222" i="2"/>
  <c r="AZ85" i="74"/>
  <c r="AH217" i="2"/>
  <c r="BB47" i="74"/>
  <c r="BI92" i="74"/>
  <c r="AI312" i="2"/>
  <c r="BI78" i="74"/>
  <c r="AI290" i="2"/>
  <c r="BI87" i="74"/>
  <c r="AI307" i="2"/>
  <c r="BH10" i="74"/>
  <c r="BI10" i="74"/>
  <c r="AI121" i="2"/>
  <c r="BH129" i="74"/>
  <c r="BI129" i="74"/>
  <c r="AI204" i="2"/>
  <c r="BH66" i="74"/>
  <c r="BH20" i="74"/>
  <c r="BI20" i="74"/>
  <c r="AI131" i="2"/>
  <c r="AZ10" i="74"/>
  <c r="AH111" i="2"/>
  <c r="AY139" i="74"/>
  <c r="BB139" i="74"/>
  <c r="BH5" i="74"/>
  <c r="BI5" i="74"/>
  <c r="AI116" i="2"/>
  <c r="AU98" i="74"/>
  <c r="AU99" i="74"/>
  <c r="BH71" i="76"/>
  <c r="BH7" i="76"/>
  <c r="BI7" i="76"/>
  <c r="AG171" i="2"/>
  <c r="AZ14" i="76"/>
  <c r="AF210" i="2"/>
  <c r="AZ48" i="76"/>
  <c r="AF303" i="2"/>
  <c r="AY83" i="76"/>
  <c r="BH102" i="76"/>
  <c r="BI102" i="76"/>
  <c r="AG189" i="2"/>
  <c r="AZ6" i="76"/>
  <c r="AF162" i="2"/>
  <c r="AZ46" i="76"/>
  <c r="AF301" i="2"/>
  <c r="BB42" i="76"/>
  <c r="AZ42" i="76"/>
  <c r="AF289" i="2"/>
  <c r="BH65" i="76"/>
  <c r="BI40" i="76"/>
  <c r="AG254" i="2"/>
  <c r="BI35" i="76"/>
  <c r="AG249" i="2"/>
  <c r="AZ23" i="76"/>
  <c r="AF238" i="2"/>
  <c r="AZ28" i="76"/>
  <c r="AF243" i="2"/>
  <c r="BI39" i="76"/>
  <c r="AG253" i="2"/>
  <c r="BH41" i="76"/>
  <c r="AZ26" i="76"/>
  <c r="AF241" i="2"/>
  <c r="AZ27" i="76"/>
  <c r="AF242" i="2"/>
  <c r="BH34" i="76"/>
  <c r="BI34" i="76"/>
  <c r="AG248" i="2"/>
  <c r="AZ21" i="76"/>
  <c r="AF228" i="2"/>
  <c r="BH31" i="76"/>
  <c r="BK31" i="76"/>
  <c r="AU90" i="73"/>
  <c r="AU91" i="73"/>
  <c r="AZ45" i="73"/>
  <c r="AD278" i="2"/>
  <c r="BI110" i="73"/>
  <c r="AE338" i="2"/>
  <c r="BI117" i="73"/>
  <c r="AE345" i="2"/>
  <c r="BI107" i="73"/>
  <c r="AE335" i="2"/>
  <c r="BI114" i="73"/>
  <c r="AE342" i="2"/>
  <c r="BH118" i="73"/>
  <c r="BI118" i="73"/>
  <c r="AE346" i="2"/>
  <c r="BH11" i="73"/>
  <c r="BI11" i="73"/>
  <c r="AE122" i="2"/>
  <c r="BI91" i="73"/>
  <c r="AE311" i="2"/>
  <c r="AZ7" i="73"/>
  <c r="AD108" i="2"/>
  <c r="BH9" i="73"/>
  <c r="BI9" i="73"/>
  <c r="AE120" i="2"/>
  <c r="BI68" i="73"/>
  <c r="AE273" i="2"/>
  <c r="AZ41" i="73"/>
  <c r="AD264" i="2"/>
  <c r="AZ11" i="73"/>
  <c r="AD112" i="2"/>
  <c r="AZ13" i="73"/>
  <c r="AD114" i="2"/>
  <c r="BH22" i="73"/>
  <c r="AY133" i="73"/>
  <c r="AZ133" i="73"/>
  <c r="AD354" i="2"/>
  <c r="BI20" i="73"/>
  <c r="AE131" i="2"/>
  <c r="AZ34" i="73"/>
  <c r="AD241" i="2"/>
  <c r="BI48" i="73"/>
  <c r="AE248" i="2"/>
  <c r="BK76" i="71"/>
  <c r="BI76" i="71"/>
  <c r="AC312" i="2"/>
  <c r="BI80" i="71"/>
  <c r="AC316" i="2"/>
  <c r="BH77" i="71"/>
  <c r="BI72" i="71"/>
  <c r="AC308" i="2"/>
  <c r="BH58" i="71"/>
  <c r="BH48" i="71"/>
  <c r="BK31" i="71"/>
  <c r="BI31" i="71"/>
  <c r="AC231" i="2"/>
  <c r="BH32" i="71"/>
  <c r="AZ65" i="70"/>
  <c r="Z324" i="2"/>
  <c r="BH117" i="70"/>
  <c r="BI117" i="70"/>
  <c r="AA345" i="2"/>
  <c r="BI94" i="70"/>
  <c r="AA314" i="2"/>
  <c r="BH62" i="70"/>
  <c r="BK62" i="70"/>
  <c r="AR86" i="70"/>
  <c r="AZ56" i="69"/>
  <c r="X329" i="2"/>
  <c r="BH86" i="69"/>
  <c r="BK86" i="69"/>
  <c r="BI86" i="69"/>
  <c r="Y340" i="2"/>
  <c r="AZ10" i="69"/>
  <c r="X166" i="2"/>
  <c r="BH15" i="69"/>
  <c r="BI15" i="69"/>
  <c r="Y179" i="2"/>
  <c r="BH53" i="69"/>
  <c r="BH18" i="69"/>
  <c r="BH7" i="68"/>
  <c r="AZ11" i="68"/>
  <c r="V143" i="2"/>
  <c r="N143" i="2"/>
  <c r="F143" i="2"/>
  <c r="I143" i="2"/>
  <c r="BI51" i="68"/>
  <c r="W269" i="2"/>
  <c r="BH16" i="68"/>
  <c r="BI16" i="68"/>
  <c r="W156" i="2"/>
  <c r="N156" i="2"/>
  <c r="F156" i="2"/>
  <c r="I156" i="2"/>
  <c r="BH54" i="68"/>
  <c r="BH17" i="68"/>
  <c r="BI20" i="68"/>
  <c r="W135" i="2"/>
  <c r="AZ47" i="67"/>
  <c r="T280" i="2"/>
  <c r="BI93" i="67"/>
  <c r="U313" i="2"/>
  <c r="AZ58" i="67"/>
  <c r="T301" i="2"/>
  <c r="AZ61" i="67"/>
  <c r="T304" i="2"/>
  <c r="AZ56" i="67"/>
  <c r="T299" i="2"/>
  <c r="BH7" i="67"/>
  <c r="BH78" i="67"/>
  <c r="BI78" i="67"/>
  <c r="U290" i="2"/>
  <c r="BH62" i="67"/>
  <c r="BI62" i="67"/>
  <c r="U267" i="2"/>
  <c r="BH65" i="67"/>
  <c r="BH103" i="66"/>
  <c r="BH77" i="66"/>
  <c r="BH78" i="66"/>
  <c r="BH52" i="66"/>
  <c r="BH32" i="66"/>
  <c r="BH73" i="1"/>
  <c r="BH19" i="1"/>
  <c r="BH113" i="1"/>
  <c r="BH95" i="1"/>
  <c r="BH99" i="1"/>
  <c r="BH16" i="1"/>
  <c r="BH57" i="1"/>
  <c r="BI57" i="1"/>
  <c r="Q257" i="2"/>
  <c r="BH58" i="1"/>
  <c r="BH49" i="1"/>
  <c r="BI49" i="1"/>
  <c r="Q249" i="2"/>
  <c r="BI38" i="77"/>
  <c r="AM277" i="2"/>
  <c r="AZ25" i="77"/>
  <c r="AL278" i="2"/>
  <c r="AZ28" i="77"/>
  <c r="AL281" i="2"/>
  <c r="AY75" i="77"/>
  <c r="BB75" i="77"/>
  <c r="BH28" i="77"/>
  <c r="BK55" i="81"/>
  <c r="BH61" i="81"/>
  <c r="BH17" i="81"/>
  <c r="BH51" i="81"/>
  <c r="BH18" i="81"/>
  <c r="AY84" i="81"/>
  <c r="AZ84" i="81"/>
  <c r="AR354" i="2"/>
  <c r="BH6" i="81"/>
  <c r="BH48" i="81"/>
  <c r="BI48" i="81"/>
  <c r="AS255" i="2"/>
  <c r="BK76" i="80"/>
  <c r="BH71" i="80"/>
  <c r="BK65" i="80"/>
  <c r="BH64" i="80"/>
  <c r="AY13" i="80"/>
  <c r="AZ13" i="80"/>
  <c r="AP107" i="2"/>
  <c r="BH6" i="80"/>
  <c r="BI6" i="80"/>
  <c r="AQ90" i="2"/>
  <c r="BH95" i="78"/>
  <c r="BH7" i="78"/>
  <c r="BH26" i="78"/>
  <c r="BH80" i="78"/>
  <c r="BK83" i="78"/>
  <c r="BB41" i="78"/>
  <c r="BH69" i="78"/>
  <c r="BH19" i="78"/>
  <c r="BI19" i="78"/>
  <c r="AO64" i="2"/>
  <c r="AY16" i="78"/>
  <c r="BH20" i="78"/>
  <c r="AZ89" i="75"/>
  <c r="AJ221" i="2"/>
  <c r="BI107" i="75"/>
  <c r="AK220" i="2"/>
  <c r="BI105" i="75"/>
  <c r="AK218" i="2"/>
  <c r="BI84" i="75"/>
  <c r="AK338" i="2"/>
  <c r="BH13" i="75"/>
  <c r="BI13" i="75"/>
  <c r="AK177" i="2"/>
  <c r="AY113" i="75"/>
  <c r="AZ113" i="75"/>
  <c r="AJ354" i="2"/>
  <c r="AZ84" i="75"/>
  <c r="AJ205" i="2"/>
  <c r="BI49" i="75"/>
  <c r="AK268" i="2"/>
  <c r="BH50" i="75"/>
  <c r="BK50" i="75"/>
  <c r="BI55" i="75"/>
  <c r="AK274" i="2"/>
  <c r="BI31" i="75"/>
  <c r="AK233" i="2"/>
  <c r="BB13" i="75"/>
  <c r="BI134" i="74"/>
  <c r="AI221" i="2"/>
  <c r="AU104" i="74"/>
  <c r="AZ65" i="74"/>
  <c r="AH324" i="2"/>
  <c r="BI72" i="74"/>
  <c r="AI277" i="2"/>
  <c r="BI74" i="74"/>
  <c r="AI279" i="2"/>
  <c r="AZ46" i="74"/>
  <c r="AH279" i="2"/>
  <c r="AY143" i="74"/>
  <c r="BH143" i="74"/>
  <c r="BI143" i="74"/>
  <c r="AI358" i="2"/>
  <c r="AZ47" i="74"/>
  <c r="AH280" i="2"/>
  <c r="AZ45" i="74"/>
  <c r="AH278" i="2"/>
  <c r="BI108" i="74"/>
  <c r="AI336" i="2"/>
  <c r="BH114" i="74"/>
  <c r="AU103" i="74"/>
  <c r="V87" i="74"/>
  <c r="AZ60" i="74"/>
  <c r="AH303" i="2"/>
  <c r="BH98" i="74"/>
  <c r="BI98" i="74"/>
  <c r="AI318" i="2"/>
  <c r="BI30" i="74"/>
  <c r="AI74" i="2"/>
  <c r="BH97" i="74"/>
  <c r="BK65" i="74"/>
  <c r="BI65" i="74"/>
  <c r="AI270" i="2"/>
  <c r="BI21" i="74"/>
  <c r="AI132" i="2"/>
  <c r="AZ32" i="74"/>
  <c r="AH239" i="2"/>
  <c r="AZ19" i="74"/>
  <c r="AH75" i="2"/>
  <c r="BH50" i="74"/>
  <c r="AZ5" i="74"/>
  <c r="AH106" i="2"/>
  <c r="AR86" i="76"/>
  <c r="BI60" i="76"/>
  <c r="AG279" i="2"/>
  <c r="AZ7" i="76"/>
  <c r="AF163" i="2"/>
  <c r="AZ13" i="76"/>
  <c r="AF209" i="2"/>
  <c r="AZ62" i="76"/>
  <c r="AF351" i="2"/>
  <c r="BH87" i="76"/>
  <c r="BI87" i="76"/>
  <c r="AG341" i="2"/>
  <c r="BH16" i="76"/>
  <c r="BH10" i="76"/>
  <c r="BI10" i="76"/>
  <c r="AG174" i="2"/>
  <c r="BK70" i="76"/>
  <c r="BI70" i="76"/>
  <c r="AG312" i="2"/>
  <c r="AZ84" i="76"/>
  <c r="AF194" i="2"/>
  <c r="N194" i="2"/>
  <c r="F194" i="2"/>
  <c r="I194" i="2"/>
  <c r="BH105" i="76"/>
  <c r="BI54" i="76"/>
  <c r="AG273" i="2"/>
  <c r="BH51" i="76"/>
  <c r="BI51" i="76"/>
  <c r="AG270" i="2"/>
  <c r="BH47" i="76"/>
  <c r="BI38" i="76"/>
  <c r="AG252" i="2"/>
  <c r="BI37" i="76"/>
  <c r="AG251" i="2"/>
  <c r="AZ25" i="76"/>
  <c r="AF240" i="2"/>
  <c r="AZ24" i="76"/>
  <c r="AF239" i="2"/>
  <c r="AZ10" i="76"/>
  <c r="AF166" i="2"/>
  <c r="BB27" i="76"/>
  <c r="BH43" i="76"/>
  <c r="BI32" i="76"/>
  <c r="AG234" i="2"/>
  <c r="BH102" i="73"/>
  <c r="BH103" i="73"/>
  <c r="AZ63" i="73"/>
  <c r="AD322" i="2"/>
  <c r="BH18" i="73"/>
  <c r="BH88" i="73"/>
  <c r="BI54" i="73"/>
  <c r="AE254" i="2"/>
  <c r="AZ8" i="73"/>
  <c r="AD109" i="2"/>
  <c r="BH55" i="73"/>
  <c r="BH58" i="73"/>
  <c r="AU90" i="71"/>
  <c r="AU91" i="71"/>
  <c r="AR87" i="71"/>
  <c r="AR86" i="71"/>
  <c r="AZ55" i="71"/>
  <c r="AB323" i="2"/>
  <c r="AZ54" i="71"/>
  <c r="AB322" i="2"/>
  <c r="AZ61" i="71"/>
  <c r="AB330" i="2"/>
  <c r="AZ7" i="71"/>
  <c r="AB83" i="2"/>
  <c r="AZ62" i="71"/>
  <c r="AB331" i="2"/>
  <c r="BI20" i="71"/>
  <c r="AC103" i="2"/>
  <c r="N103" i="2"/>
  <c r="F103" i="2"/>
  <c r="I103" i="2"/>
  <c r="BH10" i="71"/>
  <c r="BI10" i="71"/>
  <c r="AC94" i="2"/>
  <c r="BH99" i="71"/>
  <c r="BI99" i="71"/>
  <c r="AC345" i="2"/>
  <c r="BH101" i="71"/>
  <c r="BI82" i="71"/>
  <c r="AC318" i="2"/>
  <c r="BH18" i="71"/>
  <c r="BI18" i="71"/>
  <c r="AC102" i="2"/>
  <c r="AZ9" i="71"/>
  <c r="AB85" i="2"/>
  <c r="AZ11" i="71"/>
  <c r="AB87" i="2"/>
  <c r="BH13" i="71"/>
  <c r="BH67" i="71"/>
  <c r="BH7" i="71"/>
  <c r="BI7" i="71"/>
  <c r="AC91" i="2"/>
  <c r="BH68" i="71"/>
  <c r="BI62" i="71"/>
  <c r="AC279" i="2"/>
  <c r="BK62" i="71"/>
  <c r="BI51" i="71"/>
  <c r="AC266" i="2"/>
  <c r="BI56" i="71"/>
  <c r="AC271" i="2"/>
  <c r="AZ10" i="71"/>
  <c r="AB86" i="2"/>
  <c r="BI42" i="71"/>
  <c r="AC252" i="2"/>
  <c r="BK42" i="71"/>
  <c r="BI102" i="70"/>
  <c r="AA322" i="2"/>
  <c r="BI73" i="70"/>
  <c r="AA278" i="2"/>
  <c r="BI98" i="70"/>
  <c r="AA318" i="2"/>
  <c r="BI95" i="70"/>
  <c r="AA315" i="2"/>
  <c r="AZ60" i="70"/>
  <c r="Z303" i="2"/>
  <c r="BI80" i="70"/>
  <c r="AA292" i="2"/>
  <c r="BI82" i="70"/>
  <c r="AA294" i="2"/>
  <c r="BH88" i="70"/>
  <c r="BH83" i="70"/>
  <c r="BH10" i="70"/>
  <c r="AZ84" i="70"/>
  <c r="Z191" i="2"/>
  <c r="N191" i="2"/>
  <c r="F191" i="2"/>
  <c r="I191" i="2"/>
  <c r="AZ10" i="70"/>
  <c r="Z44" i="2"/>
  <c r="AZ30" i="70"/>
  <c r="Z237" i="2"/>
  <c r="BH38" i="70"/>
  <c r="BH46" i="70"/>
  <c r="AZ5" i="70"/>
  <c r="Z39" i="2"/>
  <c r="AZ26" i="70"/>
  <c r="Z227" i="2"/>
  <c r="BH6" i="70"/>
  <c r="BH80" i="69"/>
  <c r="BK80" i="69"/>
  <c r="AZ52" i="69"/>
  <c r="X323" i="2"/>
  <c r="BI97" i="69"/>
  <c r="Y351" i="2"/>
  <c r="BH92" i="69"/>
  <c r="BI56" i="69"/>
  <c r="Y275" i="2"/>
  <c r="AY101" i="69"/>
  <c r="BH101" i="69"/>
  <c r="BH6" i="69"/>
  <c r="BI6" i="69"/>
  <c r="Y170" i="2"/>
  <c r="AZ5" i="69"/>
  <c r="X161" i="2"/>
  <c r="AZ21" i="69"/>
  <c r="AZ53" i="68"/>
  <c r="V324" i="2"/>
  <c r="AY106" i="68"/>
  <c r="AZ106" i="68"/>
  <c r="V358" i="2"/>
  <c r="AZ51" i="68"/>
  <c r="V322" i="2"/>
  <c r="AZ8" i="68"/>
  <c r="V140" i="2"/>
  <c r="N140" i="2"/>
  <c r="F140" i="2"/>
  <c r="I140" i="2"/>
  <c r="BI65" i="68"/>
  <c r="W294" i="2"/>
  <c r="BH69" i="68"/>
  <c r="BI69" i="68"/>
  <c r="W310" i="2"/>
  <c r="BB34" i="68"/>
  <c r="BI57" i="68"/>
  <c r="W275" i="2"/>
  <c r="BI37" i="68"/>
  <c r="W250" i="2"/>
  <c r="AZ24" i="68"/>
  <c r="V239" i="2"/>
  <c r="BI24" i="68"/>
  <c r="W73" i="2"/>
  <c r="X228" i="2"/>
  <c r="AZ65" i="67"/>
  <c r="T324" i="2"/>
  <c r="BI110" i="67"/>
  <c r="U338" i="2"/>
  <c r="BI107" i="67"/>
  <c r="U335" i="2"/>
  <c r="BH111" i="67"/>
  <c r="BH116" i="67"/>
  <c r="BI116" i="67"/>
  <c r="U344" i="2"/>
  <c r="BH109" i="67"/>
  <c r="BH120" i="67"/>
  <c r="BI82" i="67"/>
  <c r="U294" i="2"/>
  <c r="BI79" i="67"/>
  <c r="U291" i="2"/>
  <c r="BK79" i="67"/>
  <c r="BI21" i="67"/>
  <c r="U132" i="2"/>
  <c r="AZ13" i="67"/>
  <c r="T114" i="2"/>
  <c r="AZ42" i="67"/>
  <c r="T265" i="2"/>
  <c r="BH22" i="67"/>
  <c r="BH69" i="67"/>
  <c r="BI50" i="67"/>
  <c r="U250" i="2"/>
  <c r="BH52" i="67"/>
  <c r="BI52" i="67"/>
  <c r="U252" i="2"/>
  <c r="BI44" i="67"/>
  <c r="U244" i="2"/>
  <c r="AZ78" i="67"/>
  <c r="T135" i="2"/>
  <c r="BI5" i="67"/>
  <c r="U116" i="2"/>
  <c r="AZ29" i="67"/>
  <c r="T236" i="2"/>
  <c r="BH6" i="66"/>
  <c r="BH57" i="66"/>
  <c r="BH36" i="66"/>
  <c r="BH116" i="1"/>
  <c r="BH12" i="1"/>
  <c r="BH13" i="1"/>
  <c r="BK54" i="1"/>
  <c r="AZ5" i="77"/>
  <c r="AL23" i="2"/>
  <c r="N23" i="2"/>
  <c r="F23" i="2"/>
  <c r="I23" i="2"/>
  <c r="BH6" i="77"/>
  <c r="BI6" i="77"/>
  <c r="AM30" i="2"/>
  <c r="N30" i="2"/>
  <c r="F30" i="2"/>
  <c r="I30" i="2"/>
  <c r="BI36" i="77"/>
  <c r="AM271" i="2"/>
  <c r="BI33" i="77"/>
  <c r="AM268" i="2"/>
  <c r="BH8" i="77"/>
  <c r="BI8" i="77"/>
  <c r="AM32" i="2"/>
  <c r="N32" i="2"/>
  <c r="F32" i="2"/>
  <c r="I32" i="2"/>
  <c r="BH27" i="77"/>
  <c r="AZ17" i="77"/>
  <c r="AL241" i="2"/>
  <c r="AZ18" i="77"/>
  <c r="AL242" i="2"/>
  <c r="AZ16" i="77"/>
  <c r="AL240" i="2"/>
  <c r="BB18" i="77"/>
  <c r="BH24" i="77"/>
  <c r="BH15" i="66"/>
  <c r="BI92" i="75"/>
  <c r="AK346" i="2"/>
  <c r="AU104" i="75"/>
  <c r="BI53" i="75"/>
  <c r="AK272" i="2"/>
  <c r="AY40" i="76"/>
  <c r="AY48" i="70"/>
  <c r="BH76" i="70"/>
  <c r="BI76" i="70"/>
  <c r="AA281" i="2"/>
  <c r="BI40" i="68"/>
  <c r="W253" i="2"/>
  <c r="BI59" i="77"/>
  <c r="AM342" i="2"/>
  <c r="BI44" i="77"/>
  <c r="AM311" i="2"/>
  <c r="AR87" i="76"/>
  <c r="BI88" i="74"/>
  <c r="AI308" i="2"/>
  <c r="BI52" i="74"/>
  <c r="AI252" i="2"/>
  <c r="BI48" i="74"/>
  <c r="AI248" i="2"/>
  <c r="BI111" i="73"/>
  <c r="AE339" i="2"/>
  <c r="BI89" i="73"/>
  <c r="AE309" i="2"/>
  <c r="BI56" i="73"/>
  <c r="AE256" i="2"/>
  <c r="BI52" i="73"/>
  <c r="AE252" i="2"/>
  <c r="BI41" i="71"/>
  <c r="AC251" i="2"/>
  <c r="BI110" i="70"/>
  <c r="AA338" i="2"/>
  <c r="BI63" i="70"/>
  <c r="AA268" i="2"/>
  <c r="BI15" i="70"/>
  <c r="AA60" i="2"/>
  <c r="BI52" i="70"/>
  <c r="AA252" i="2"/>
  <c r="BI7" i="69"/>
  <c r="Y171" i="2"/>
  <c r="BI49" i="69"/>
  <c r="Y268" i="2"/>
  <c r="BI49" i="68"/>
  <c r="W267" i="2"/>
  <c r="BI91" i="67"/>
  <c r="U311" i="2"/>
  <c r="BK91" i="67"/>
  <c r="BI55" i="67"/>
  <c r="U255" i="2"/>
  <c r="BI61" i="77"/>
  <c r="AM344" i="2"/>
  <c r="BH28" i="80"/>
  <c r="BI77" i="75"/>
  <c r="AK319" i="2"/>
  <c r="BI45" i="74"/>
  <c r="AI245" i="2"/>
  <c r="BI44" i="74"/>
  <c r="AI244" i="2"/>
  <c r="BI37" i="74"/>
  <c r="AI229" i="2"/>
  <c r="BI88" i="76"/>
  <c r="AG342" i="2"/>
  <c r="BI63" i="73"/>
  <c r="AE268" i="2"/>
  <c r="BI50" i="73"/>
  <c r="AE250" i="2"/>
  <c r="BI42" i="73"/>
  <c r="AE234" i="2"/>
  <c r="BI75" i="71"/>
  <c r="AC311" i="2"/>
  <c r="BK75" i="71"/>
  <c r="BI53" i="71"/>
  <c r="AC268" i="2"/>
  <c r="BK88" i="69"/>
  <c r="BI76" i="69"/>
  <c r="Y318" i="2"/>
  <c r="BI71" i="69"/>
  <c r="Y313" i="2"/>
  <c r="BI55" i="69"/>
  <c r="Y274" i="2"/>
  <c r="BI39" i="69"/>
  <c r="Y253" i="2"/>
  <c r="BI34" i="69"/>
  <c r="Y248" i="2"/>
  <c r="BI38" i="68"/>
  <c r="W251" i="2"/>
  <c r="BI33" i="68"/>
  <c r="W234" i="2"/>
  <c r="BI103" i="67"/>
  <c r="U323" i="2"/>
  <c r="BI51" i="67"/>
  <c r="U251" i="2"/>
  <c r="BI45" i="67"/>
  <c r="U245" i="2"/>
  <c r="BI46" i="77"/>
  <c r="AM313" i="2"/>
  <c r="BI22" i="77"/>
  <c r="AM250" i="2"/>
  <c r="BI71" i="75"/>
  <c r="AK313" i="2"/>
  <c r="BI48" i="75"/>
  <c r="AK267" i="2"/>
  <c r="BI66" i="74"/>
  <c r="AI271" i="2"/>
  <c r="BI71" i="76"/>
  <c r="AG313" i="2"/>
  <c r="BI65" i="76"/>
  <c r="AG295" i="2"/>
  <c r="BI16" i="76"/>
  <c r="AG180" i="2"/>
  <c r="BI41" i="76"/>
  <c r="AG255" i="2"/>
  <c r="BK41" i="76"/>
  <c r="BI31" i="76"/>
  <c r="AG233" i="2"/>
  <c r="BI22" i="73"/>
  <c r="AE133" i="2"/>
  <c r="BI77" i="71"/>
  <c r="AC313" i="2"/>
  <c r="BI58" i="71"/>
  <c r="AC273" i="2"/>
  <c r="BI48" i="71"/>
  <c r="AC258" i="2"/>
  <c r="BI62" i="70"/>
  <c r="AA267" i="2"/>
  <c r="BI18" i="69"/>
  <c r="Y182" i="2"/>
  <c r="BI53" i="69"/>
  <c r="Y272" i="2"/>
  <c r="BI17" i="68"/>
  <c r="W157" i="2"/>
  <c r="N157" i="2"/>
  <c r="F157" i="2"/>
  <c r="I157" i="2"/>
  <c r="BI54" i="68"/>
  <c r="W272" i="2"/>
  <c r="BK65" i="67"/>
  <c r="BI65" i="67"/>
  <c r="U270" i="2"/>
  <c r="BI28" i="77"/>
  <c r="AM256" i="2"/>
  <c r="BI114" i="74"/>
  <c r="AI342" i="2"/>
  <c r="BK97" i="74"/>
  <c r="BI97" i="74"/>
  <c r="AI317" i="2"/>
  <c r="BI50" i="74"/>
  <c r="AI250" i="2"/>
  <c r="BI47" i="76"/>
  <c r="AG266" i="2"/>
  <c r="BI103" i="73"/>
  <c r="AE323" i="2"/>
  <c r="BI102" i="73"/>
  <c r="AE322" i="2"/>
  <c r="BI18" i="73"/>
  <c r="AE129" i="2"/>
  <c r="BI88" i="73"/>
  <c r="AE308" i="2"/>
  <c r="BI58" i="73"/>
  <c r="AE258" i="2"/>
  <c r="BI55" i="73"/>
  <c r="AE255" i="2"/>
  <c r="BI101" i="71"/>
  <c r="AC347" i="2"/>
  <c r="BI13" i="71"/>
  <c r="AC97" i="2"/>
  <c r="BI67" i="71"/>
  <c r="AC293" i="2"/>
  <c r="BI68" i="71"/>
  <c r="AC294" i="2"/>
  <c r="BI83" i="70"/>
  <c r="AA295" i="2"/>
  <c r="BI46" i="70"/>
  <c r="AA246" i="2"/>
  <c r="BI38" i="70"/>
  <c r="AA230" i="2"/>
  <c r="BI80" i="69"/>
  <c r="Y322" i="2"/>
  <c r="BI92" i="69"/>
  <c r="Y346" i="2"/>
  <c r="BI120" i="67"/>
  <c r="U348" i="2"/>
  <c r="BI111" i="67"/>
  <c r="U339" i="2"/>
  <c r="BI109" i="67"/>
  <c r="U337" i="2"/>
  <c r="BI22" i="67"/>
  <c r="U133" i="2"/>
  <c r="BI27" i="77"/>
  <c r="AM255" i="2"/>
  <c r="BI24" i="77"/>
  <c r="AM252" i="2"/>
  <c r="BB74" i="82"/>
  <c r="BH65" i="82"/>
  <c r="BH62" i="82"/>
  <c r="BK55" i="80"/>
  <c r="BH56" i="80"/>
  <c r="BH30" i="80"/>
  <c r="BH36" i="80"/>
  <c r="BI36" i="80"/>
  <c r="AQ135" i="2"/>
  <c r="BK78" i="78"/>
  <c r="BH79" i="78"/>
  <c r="BH39" i="78"/>
  <c r="BI39" i="78"/>
  <c r="AO131" i="2"/>
  <c r="BH38" i="78"/>
  <c r="BH109" i="75"/>
  <c r="BI82" i="75"/>
  <c r="AK324" i="2"/>
  <c r="BK80" i="75"/>
  <c r="BI80" i="75"/>
  <c r="AK322" i="2"/>
  <c r="BI58" i="75"/>
  <c r="AK277" i="2"/>
  <c r="BI91" i="75"/>
  <c r="AK345" i="2"/>
  <c r="BI93" i="75"/>
  <c r="AK347" i="2"/>
  <c r="BI97" i="75"/>
  <c r="AK351" i="2"/>
  <c r="BI95" i="75"/>
  <c r="AK349" i="2"/>
  <c r="AZ60" i="75"/>
  <c r="AJ333" i="2"/>
  <c r="BI23" i="75"/>
  <c r="AK209" i="2"/>
  <c r="BH90" i="75"/>
  <c r="BH94" i="75"/>
  <c r="BI94" i="75"/>
  <c r="AK348" i="2"/>
  <c r="BH7" i="75"/>
  <c r="BI7" i="75"/>
  <c r="AK171" i="2"/>
  <c r="AZ58" i="75"/>
  <c r="AJ331" i="2"/>
  <c r="BI17" i="75"/>
  <c r="AK181" i="2"/>
  <c r="BI103" i="75"/>
  <c r="AK205" i="2"/>
  <c r="BI8" i="75"/>
  <c r="AK172" i="2"/>
  <c r="BI37" i="75"/>
  <c r="AK251" i="2"/>
  <c r="BI130" i="74"/>
  <c r="AI217" i="2"/>
  <c r="BI111" i="74"/>
  <c r="AI339" i="2"/>
  <c r="BI123" i="74"/>
  <c r="AI351" i="2"/>
  <c r="BI79" i="74"/>
  <c r="AI291" i="2"/>
  <c r="AZ139" i="74"/>
  <c r="AH354" i="2"/>
  <c r="BI69" i="74"/>
  <c r="AI274" i="2"/>
  <c r="BI51" i="74"/>
  <c r="AI251" i="2"/>
  <c r="BH56" i="74"/>
  <c r="BI58" i="74"/>
  <c r="AI258" i="2"/>
  <c r="AZ35" i="74"/>
  <c r="AH242" i="2"/>
  <c r="BH57" i="74"/>
  <c r="BI42" i="74"/>
  <c r="AI234" i="2"/>
  <c r="BB39" i="76"/>
  <c r="BI89" i="76"/>
  <c r="AG343" i="2"/>
  <c r="AZ40" i="76"/>
  <c r="AF281" i="2"/>
  <c r="AZ56" i="76"/>
  <c r="AF329" i="2"/>
  <c r="BH62" i="76"/>
  <c r="BI62" i="76"/>
  <c r="AG281" i="2"/>
  <c r="BI17" i="76"/>
  <c r="AG181" i="2"/>
  <c r="BI48" i="76"/>
  <c r="AG267" i="2"/>
  <c r="BI105" i="76"/>
  <c r="AG199" i="2"/>
  <c r="BI43" i="76"/>
  <c r="AG257" i="2"/>
  <c r="BI21" i="76"/>
  <c r="AG48" i="2"/>
  <c r="BI104" i="73"/>
  <c r="AE324" i="2"/>
  <c r="BK72" i="73"/>
  <c r="BI72" i="73"/>
  <c r="AE277" i="2"/>
  <c r="BK74" i="73"/>
  <c r="BI74" i="73"/>
  <c r="AE279" i="2"/>
  <c r="BI120" i="73"/>
  <c r="AE348" i="2"/>
  <c r="BI115" i="73"/>
  <c r="AE343" i="2"/>
  <c r="BI112" i="73"/>
  <c r="AE340" i="2"/>
  <c r="BI78" i="73"/>
  <c r="AE290" i="2"/>
  <c r="BI64" i="73"/>
  <c r="AE269" i="2"/>
  <c r="BI69" i="73"/>
  <c r="AE274" i="2"/>
  <c r="BI65" i="73"/>
  <c r="AE270" i="2"/>
  <c r="BI61" i="73"/>
  <c r="AE266" i="2"/>
  <c r="BI62" i="73"/>
  <c r="AE267" i="2"/>
  <c r="BH128" i="73"/>
  <c r="AZ83" i="73"/>
  <c r="AD189" i="2"/>
  <c r="BI59" i="73"/>
  <c r="AE259" i="2"/>
  <c r="BI131" i="73"/>
  <c r="AE199" i="2"/>
  <c r="BI87" i="71"/>
  <c r="AC323" i="2"/>
  <c r="BI94" i="71"/>
  <c r="AC340" i="2"/>
  <c r="BI98" i="71"/>
  <c r="AC344" i="2"/>
  <c r="BI93" i="71"/>
  <c r="AC339" i="2"/>
  <c r="BI102" i="71"/>
  <c r="AC348" i="2"/>
  <c r="BH112" i="71"/>
  <c r="BI112" i="71"/>
  <c r="AC196" i="2"/>
  <c r="AY115" i="71"/>
  <c r="AZ115" i="71"/>
  <c r="AB354" i="2"/>
  <c r="BI96" i="71"/>
  <c r="AC342" i="2"/>
  <c r="AZ8" i="71"/>
  <c r="AB84" i="2"/>
  <c r="AZ84" i="71"/>
  <c r="AB192" i="2"/>
  <c r="N192" i="2"/>
  <c r="F192" i="2"/>
  <c r="I192" i="2"/>
  <c r="BH11" i="71"/>
  <c r="AZ6" i="71"/>
  <c r="AB82" i="2"/>
  <c r="BI66" i="71"/>
  <c r="AC292" i="2"/>
  <c r="BI9" i="71"/>
  <c r="AC93" i="2"/>
  <c r="BK39" i="71"/>
  <c r="BI39" i="71"/>
  <c r="AC249" i="2"/>
  <c r="BI33" i="71"/>
  <c r="AC233" i="2"/>
  <c r="BI32" i="71"/>
  <c r="AC232" i="2"/>
  <c r="AZ24" i="71"/>
  <c r="AB237" i="2"/>
  <c r="BH37" i="71"/>
  <c r="BI37" i="71"/>
  <c r="AC247" i="2"/>
  <c r="AZ47" i="70"/>
  <c r="Z280" i="2"/>
  <c r="BI19" i="70"/>
  <c r="AA64" i="2"/>
  <c r="AY133" i="70"/>
  <c r="BH133" i="70"/>
  <c r="BI133" i="70"/>
  <c r="AA354" i="2"/>
  <c r="BH108" i="70"/>
  <c r="BI25" i="70"/>
  <c r="AA48" i="2"/>
  <c r="AZ68" i="70"/>
  <c r="Z327" i="2"/>
  <c r="BI10" i="70"/>
  <c r="AA55" i="2"/>
  <c r="BH131" i="70"/>
  <c r="BI131" i="70"/>
  <c r="AA197" i="2"/>
  <c r="N197" i="2"/>
  <c r="F197" i="2"/>
  <c r="I197" i="2"/>
  <c r="BK90" i="70"/>
  <c r="BI6" i="70"/>
  <c r="AA51" i="2"/>
  <c r="BI88" i="70"/>
  <c r="AA308" i="2"/>
  <c r="BI22" i="70"/>
  <c r="AA67" i="2"/>
  <c r="BK70" i="70"/>
  <c r="BI70" i="70"/>
  <c r="AA275" i="2"/>
  <c r="BI69" i="70"/>
  <c r="AA274" i="2"/>
  <c r="BK59" i="70"/>
  <c r="BI59" i="70"/>
  <c r="AA259" i="2"/>
  <c r="BI56" i="70"/>
  <c r="AA256" i="2"/>
  <c r="BI45" i="70"/>
  <c r="AA245" i="2"/>
  <c r="BI47" i="70"/>
  <c r="AA247" i="2"/>
  <c r="BI41" i="70"/>
  <c r="AA233" i="2"/>
  <c r="BI60" i="69"/>
  <c r="Y279" i="2"/>
  <c r="BI58" i="69"/>
  <c r="Y277" i="2"/>
  <c r="AZ36" i="69"/>
  <c r="X277" i="2"/>
  <c r="AZ38" i="69"/>
  <c r="X279" i="2"/>
  <c r="BI89" i="69"/>
  <c r="Y343" i="2"/>
  <c r="BI93" i="69"/>
  <c r="Y347" i="2"/>
  <c r="BI91" i="69"/>
  <c r="Y345" i="2"/>
  <c r="BI13" i="69"/>
  <c r="Y177" i="2"/>
  <c r="BI84" i="69"/>
  <c r="Y338" i="2"/>
  <c r="BI10" i="69"/>
  <c r="Y174" i="2"/>
  <c r="BI62" i="69"/>
  <c r="Y281" i="2"/>
  <c r="BI87" i="69"/>
  <c r="Y341" i="2"/>
  <c r="BI94" i="69"/>
  <c r="Y348" i="2"/>
  <c r="AZ15" i="69"/>
  <c r="X211" i="2"/>
  <c r="AZ58" i="69"/>
  <c r="X331" i="2"/>
  <c r="BH14" i="69"/>
  <c r="BI14" i="69"/>
  <c r="Y178" i="2"/>
  <c r="AZ9" i="69"/>
  <c r="X165" i="2"/>
  <c r="BH90" i="69"/>
  <c r="BI68" i="69"/>
  <c r="Y310" i="2"/>
  <c r="BI8" i="69"/>
  <c r="Y172" i="2"/>
  <c r="BI69" i="69"/>
  <c r="Y311" i="2"/>
  <c r="BI77" i="69"/>
  <c r="Y319" i="2"/>
  <c r="BI67" i="69"/>
  <c r="Y309" i="2"/>
  <c r="BI47" i="69"/>
  <c r="Y266" i="2"/>
  <c r="BI17" i="69"/>
  <c r="Y181" i="2"/>
  <c r="BI54" i="69"/>
  <c r="Y273" i="2"/>
  <c r="BI35" i="69"/>
  <c r="Y249" i="2"/>
  <c r="BK35" i="69"/>
  <c r="BB13" i="69"/>
  <c r="BI60" i="68"/>
  <c r="W278" i="2"/>
  <c r="BI62" i="68"/>
  <c r="W280" i="2"/>
  <c r="BI96" i="68"/>
  <c r="W349" i="2"/>
  <c r="BI91" i="68"/>
  <c r="W344" i="2"/>
  <c r="BH92" i="68"/>
  <c r="BI92" i="68"/>
  <c r="W345" i="2"/>
  <c r="BI7" i="68"/>
  <c r="W147" i="2"/>
  <c r="N147" i="2"/>
  <c r="F147" i="2"/>
  <c r="I147" i="2"/>
  <c r="BI71" i="68"/>
  <c r="W312" i="2"/>
  <c r="BI68" i="68"/>
  <c r="W309" i="2"/>
  <c r="BI56" i="68"/>
  <c r="W274" i="2"/>
  <c r="BI52" i="68"/>
  <c r="W270" i="2"/>
  <c r="AZ102" i="68"/>
  <c r="V354" i="2"/>
  <c r="BI104" i="67"/>
  <c r="U324" i="2"/>
  <c r="BK104" i="67"/>
  <c r="BI123" i="67"/>
  <c r="U351" i="2"/>
  <c r="BI121" i="67"/>
  <c r="U349" i="2"/>
  <c r="BI106" i="67"/>
  <c r="U334" i="2"/>
  <c r="BI117" i="67"/>
  <c r="U345" i="2"/>
  <c r="BI112" i="67"/>
  <c r="U340" i="2"/>
  <c r="AZ74" i="67"/>
  <c r="T333" i="2"/>
  <c r="AZ76" i="67"/>
  <c r="T351" i="2"/>
  <c r="BI95" i="67"/>
  <c r="U315" i="2"/>
  <c r="BI99" i="67"/>
  <c r="U319" i="2"/>
  <c r="BI98" i="67"/>
  <c r="U318" i="2"/>
  <c r="BI94" i="67"/>
  <c r="U314" i="2"/>
  <c r="BI88" i="67"/>
  <c r="U308" i="2"/>
  <c r="BI7" i="67"/>
  <c r="U118" i="2"/>
  <c r="BK70" i="67"/>
  <c r="BI70" i="67"/>
  <c r="U275" i="2"/>
  <c r="BI69" i="67"/>
  <c r="U274" i="2"/>
  <c r="BI53" i="67"/>
  <c r="U253" i="2"/>
  <c r="BI59" i="67"/>
  <c r="U259" i="2"/>
  <c r="BI11" i="67"/>
  <c r="U122" i="2"/>
  <c r="AY131" i="67"/>
  <c r="AZ131" i="67"/>
  <c r="T358" i="2"/>
  <c r="AZ8" i="67"/>
  <c r="T109" i="2"/>
  <c r="AZ10" i="67"/>
  <c r="T111" i="2"/>
  <c r="BH56" i="67"/>
  <c r="AY127" i="67"/>
  <c r="BH127" i="67"/>
  <c r="BI127" i="67"/>
  <c r="U354" i="2"/>
  <c r="AZ7" i="67"/>
  <c r="T108" i="2"/>
  <c r="BH9" i="67"/>
  <c r="BI9" i="67"/>
  <c r="U120" i="2"/>
  <c r="AZ25" i="67"/>
  <c r="T226" i="2"/>
  <c r="BI24" i="67"/>
  <c r="U135" i="2"/>
  <c r="BI49" i="67"/>
  <c r="U249" i="2"/>
  <c r="AZ27" i="67"/>
  <c r="T228" i="2"/>
  <c r="BH79" i="66"/>
  <c r="BK37" i="66"/>
  <c r="BH33" i="66"/>
  <c r="BK33" i="66"/>
  <c r="BK92" i="1"/>
  <c r="BH91" i="1"/>
  <c r="BK47" i="1"/>
  <c r="BI62" i="77"/>
  <c r="AM345" i="2"/>
  <c r="BH75" i="77"/>
  <c r="BI75" i="77"/>
  <c r="AM358" i="2"/>
  <c r="AZ75" i="77"/>
  <c r="AL358" i="2"/>
  <c r="BI11" i="77"/>
  <c r="AM35" i="2"/>
  <c r="N35" i="2"/>
  <c r="F35" i="2"/>
  <c r="I35" i="2"/>
  <c r="BI71" i="77"/>
  <c r="AM354" i="2"/>
  <c r="BI25" i="77"/>
  <c r="AM253" i="2"/>
  <c r="AY70" i="77"/>
  <c r="BH70" i="77"/>
  <c r="BI70" i="77"/>
  <c r="AM353" i="2"/>
  <c r="AZ6" i="77"/>
  <c r="AL24" i="2"/>
  <c r="N24" i="2"/>
  <c r="F24" i="2"/>
  <c r="I24" i="2"/>
  <c r="BH12" i="77"/>
  <c r="BI12" i="77"/>
  <c r="AM36" i="2"/>
  <c r="N36" i="2"/>
  <c r="F36" i="2"/>
  <c r="I36" i="2"/>
  <c r="BI23" i="77"/>
  <c r="AM251" i="2"/>
  <c r="AZ8" i="77"/>
  <c r="AL26" i="2"/>
  <c r="N26" i="2"/>
  <c r="F26" i="2"/>
  <c r="I26" i="2"/>
  <c r="BI109" i="75"/>
  <c r="AK222" i="2"/>
  <c r="BI90" i="75"/>
  <c r="AK344" i="2"/>
  <c r="BI56" i="74"/>
  <c r="AI256" i="2"/>
  <c r="BI57" i="74"/>
  <c r="AI257" i="2"/>
  <c r="BI128" i="73"/>
  <c r="AE189" i="2"/>
  <c r="BI11" i="71"/>
  <c r="AC95" i="2"/>
  <c r="BI108" i="70"/>
  <c r="AA336" i="2"/>
  <c r="BI90" i="69"/>
  <c r="Y344" i="2"/>
  <c r="BI56" i="67"/>
  <c r="U256" i="2"/>
  <c r="BK91" i="1"/>
  <c r="AZ98" i="61"/>
  <c r="BA98" i="61"/>
  <c r="AZ98" i="64"/>
  <c r="BA98" i="64"/>
  <c r="G434" i="2"/>
  <c r="H434" i="2"/>
  <c r="BJ87" i="66"/>
  <c r="BA52" i="75"/>
  <c r="BB52" i="75"/>
  <c r="BH99" i="64"/>
  <c r="BI99" i="64"/>
  <c r="BJ103" i="73"/>
  <c r="BK103" i="73"/>
  <c r="BJ81" i="75"/>
  <c r="BH99" i="60"/>
  <c r="BI99" i="60"/>
  <c r="BA55" i="66"/>
  <c r="BB55" i="66"/>
  <c r="BA64" i="1"/>
  <c r="BB64" i="1"/>
  <c r="BA52" i="68"/>
  <c r="BB52" i="68"/>
  <c r="BA64" i="74"/>
  <c r="BB64" i="74"/>
  <c r="BA52" i="76"/>
  <c r="BB52" i="76"/>
  <c r="BJ54" i="77"/>
  <c r="BJ103" i="1"/>
  <c r="BK103" i="1"/>
  <c r="BH99" i="61"/>
  <c r="BI99" i="61"/>
  <c r="G323" i="2"/>
  <c r="H323" i="2"/>
  <c r="BA64" i="70"/>
  <c r="BB64" i="70"/>
  <c r="BH99" i="47"/>
  <c r="BI99" i="47"/>
  <c r="BJ103" i="67"/>
  <c r="BK103" i="67"/>
  <c r="BJ103" i="70"/>
  <c r="BK103" i="70"/>
  <c r="BJ81" i="69"/>
  <c r="BH78" i="60"/>
  <c r="BI78" i="60"/>
  <c r="BA59" i="73"/>
  <c r="BB59" i="73"/>
  <c r="BA45" i="81"/>
  <c r="BB45" i="81"/>
  <c r="BA36" i="77"/>
  <c r="BB36" i="77"/>
  <c r="BJ121" i="73"/>
  <c r="BK121" i="73"/>
  <c r="BJ103" i="66"/>
  <c r="BK103" i="66"/>
  <c r="BJ121" i="70"/>
  <c r="BJ121" i="67"/>
  <c r="BK121" i="67"/>
  <c r="BJ103" i="71"/>
  <c r="BK103" i="71"/>
  <c r="BJ96" i="68"/>
  <c r="BK96" i="68"/>
  <c r="BA55" i="69"/>
  <c r="BB55" i="69"/>
  <c r="BA69" i="73"/>
  <c r="BB69" i="73"/>
  <c r="BH104" i="60"/>
  <c r="BI104" i="60"/>
  <c r="BA55" i="68"/>
  <c r="BB55" i="68"/>
  <c r="G328" i="2"/>
  <c r="H328" i="2"/>
  <c r="BH104" i="47"/>
  <c r="BI104" i="47"/>
  <c r="BH104" i="61"/>
  <c r="BI104" i="61"/>
  <c r="BA59" i="66"/>
  <c r="BB59" i="66"/>
  <c r="BH104" i="64"/>
  <c r="BI104" i="64"/>
  <c r="BA27" i="66"/>
  <c r="BB27" i="66"/>
  <c r="BA33" i="1"/>
  <c r="BB33" i="1"/>
  <c r="BA25" i="68"/>
  <c r="BB25" i="68"/>
  <c r="BA39" i="78"/>
  <c r="BB39" i="78"/>
  <c r="BA33" i="67"/>
  <c r="BB33" i="67"/>
  <c r="BA25" i="75"/>
  <c r="BB25" i="75"/>
  <c r="BA33" i="74"/>
  <c r="BB33" i="74"/>
  <c r="BA16" i="77"/>
  <c r="BB16" i="77"/>
  <c r="BJ54" i="81"/>
  <c r="BK54" i="81"/>
  <c r="BJ47" i="69"/>
  <c r="BK47" i="69"/>
  <c r="BJ74" i="78"/>
  <c r="BK74" i="78"/>
  <c r="AZ50" i="60"/>
  <c r="BA50" i="60"/>
  <c r="BJ48" i="68"/>
  <c r="AZ50" i="64"/>
  <c r="BA50" i="64"/>
  <c r="AZ50" i="47"/>
  <c r="BA50" i="47"/>
  <c r="BJ38" i="70"/>
  <c r="BK38" i="70"/>
  <c r="G230" i="2"/>
  <c r="H230" i="2"/>
  <c r="BJ38" i="73"/>
  <c r="AZ83" i="60"/>
  <c r="BA83" i="60"/>
  <c r="BA40" i="70"/>
  <c r="BB40" i="70"/>
  <c r="BA30" i="82"/>
  <c r="BB30" i="82"/>
  <c r="BA34" i="71"/>
  <c r="BB34" i="71"/>
  <c r="BA22" i="77"/>
  <c r="BB22" i="77"/>
  <c r="BA40" i="1"/>
  <c r="BB40" i="1"/>
  <c r="BA34" i="66"/>
  <c r="BB34" i="66"/>
  <c r="BA32" i="76"/>
  <c r="BB32" i="76"/>
  <c r="BA32" i="75"/>
  <c r="BB32" i="75"/>
  <c r="AZ47" i="61"/>
  <c r="BA47" i="61"/>
  <c r="BA46" i="78"/>
  <c r="BB46" i="78"/>
  <c r="AZ47" i="64"/>
  <c r="BA47" i="64"/>
  <c r="G343" i="2"/>
  <c r="H343" i="2"/>
  <c r="BH119" i="61"/>
  <c r="BI119" i="61"/>
  <c r="BH119" i="47"/>
  <c r="BI119" i="47"/>
  <c r="BJ115" i="74"/>
  <c r="BJ115" i="70"/>
  <c r="BK115" i="70"/>
  <c r="BH119" i="64"/>
  <c r="BI119" i="64"/>
  <c r="BJ97" i="66"/>
  <c r="BJ89" i="75"/>
  <c r="BK89" i="75"/>
  <c r="BJ97" i="71"/>
  <c r="BJ90" i="68"/>
  <c r="BJ89" i="69"/>
  <c r="BK89" i="69"/>
  <c r="BJ115" i="67"/>
  <c r="BK115" i="67"/>
  <c r="BJ115" i="73"/>
  <c r="BK115" i="73"/>
  <c r="BJ45" i="67"/>
  <c r="BK45" i="67"/>
  <c r="G245" i="2"/>
  <c r="H245" i="2"/>
  <c r="BJ58" i="78"/>
  <c r="BJ45" i="73"/>
  <c r="BK45" i="73"/>
  <c r="BJ38" i="81"/>
  <c r="BJ45" i="70"/>
  <c r="BK45" i="70"/>
  <c r="BJ45" i="74"/>
  <c r="BK45" i="74"/>
  <c r="BH110" i="61"/>
  <c r="BI110" i="61"/>
  <c r="BJ106" i="70"/>
  <c r="BJ44" i="73"/>
  <c r="BK44" i="73"/>
  <c r="BJ57" i="78"/>
  <c r="BJ44" i="74"/>
  <c r="BK44" i="74"/>
  <c r="BJ37" i="81"/>
  <c r="AZ93" i="60"/>
  <c r="BA93" i="60"/>
  <c r="G244" i="2"/>
  <c r="H244" i="2"/>
  <c r="BA45" i="75"/>
  <c r="BB45" i="75"/>
  <c r="BA53" i="78"/>
  <c r="BB53" i="78"/>
  <c r="BA48" i="71"/>
  <c r="BB48" i="71"/>
  <c r="BA30" i="77"/>
  <c r="BB30" i="77"/>
  <c r="BA57" i="1"/>
  <c r="BB57" i="1"/>
  <c r="G300" i="2"/>
  <c r="H300" i="2"/>
  <c r="BH76" i="60"/>
  <c r="BI76" i="60"/>
  <c r="BA43" i="81"/>
  <c r="BB43" i="81"/>
  <c r="BA45" i="76"/>
  <c r="BB45" i="76"/>
  <c r="BH76" i="64"/>
  <c r="BI76" i="64"/>
  <c r="BH76" i="61"/>
  <c r="BI76" i="61"/>
  <c r="G299" i="2"/>
  <c r="H299" i="2"/>
  <c r="BH75" i="64"/>
  <c r="BI75" i="64"/>
  <c r="BH75" i="47"/>
  <c r="BI75" i="47"/>
  <c r="BA56" i="73"/>
  <c r="BB56" i="73"/>
  <c r="BA44" i="69"/>
  <c r="BB44" i="69"/>
  <c r="BH75" i="60"/>
  <c r="BI75" i="60"/>
  <c r="BA34" i="82"/>
  <c r="BB34" i="82"/>
  <c r="BA42" i="81"/>
  <c r="BB42" i="81"/>
  <c r="BA56" i="70"/>
  <c r="BB56" i="70"/>
  <c r="BA44" i="68"/>
  <c r="BB44" i="68"/>
  <c r="BA47" i="71"/>
  <c r="BB47" i="71"/>
  <c r="BA52" i="78"/>
  <c r="BB52" i="78"/>
  <c r="BA44" i="75"/>
  <c r="BB44" i="75"/>
  <c r="BA44" i="76"/>
  <c r="BB44" i="76"/>
  <c r="BH67" i="61"/>
  <c r="BI67" i="61"/>
  <c r="BH67" i="64"/>
  <c r="BI67" i="64"/>
  <c r="G291" i="2"/>
  <c r="H291" i="2"/>
  <c r="BA47" i="75"/>
  <c r="BB47" i="75"/>
  <c r="BA59" i="70"/>
  <c r="BB59" i="70"/>
  <c r="BA55" i="78"/>
  <c r="BB55" i="78"/>
  <c r="G302" i="2"/>
  <c r="H302" i="2"/>
  <c r="BA50" i="71"/>
  <c r="BB50" i="71"/>
  <c r="BA47" i="76"/>
  <c r="BB47" i="76"/>
  <c r="BA55" i="71"/>
  <c r="BB55" i="71"/>
  <c r="BA47" i="69"/>
  <c r="BB47" i="69"/>
  <c r="BH78" i="47"/>
  <c r="BI78" i="47"/>
  <c r="BA46" i="80"/>
  <c r="BB46" i="80"/>
  <c r="BA59" i="67"/>
  <c r="BB59" i="67"/>
  <c r="BJ103" i="74"/>
  <c r="BK103" i="74"/>
  <c r="BA64" i="73"/>
  <c r="BB64" i="73"/>
  <c r="BA24" i="68"/>
  <c r="BB24" i="68"/>
  <c r="BA32" i="70"/>
  <c r="BB32" i="70"/>
  <c r="BJ85" i="70"/>
  <c r="BK85" i="70"/>
  <c r="BJ85" i="78"/>
  <c r="BK85" i="78"/>
  <c r="G305" i="2"/>
  <c r="H305" i="2"/>
  <c r="BJ65" i="81"/>
  <c r="BK65" i="81"/>
  <c r="G210" i="2"/>
  <c r="H210" i="2"/>
  <c r="BA14" i="75"/>
  <c r="BB14" i="75"/>
  <c r="BJ24" i="69"/>
  <c r="BK24" i="69"/>
  <c r="G314" i="2"/>
  <c r="H314" i="2"/>
  <c r="BJ74" i="81"/>
  <c r="BK74" i="81"/>
  <c r="BJ72" i="76"/>
  <c r="BH90" i="64"/>
  <c r="BI90" i="64"/>
  <c r="BJ73" i="68"/>
  <c r="BK73" i="68"/>
  <c r="BA15" i="75"/>
  <c r="BB15" i="75"/>
  <c r="BA15" i="82"/>
  <c r="BB15" i="82"/>
  <c r="BJ25" i="75"/>
  <c r="BK25" i="75"/>
  <c r="BJ25" i="76"/>
  <c r="BK25" i="76"/>
  <c r="BA15" i="69"/>
  <c r="BB15" i="69"/>
  <c r="BJ53" i="66"/>
  <c r="BK53" i="66"/>
  <c r="BJ63" i="73"/>
  <c r="BK63" i="73"/>
  <c r="BJ49" i="69"/>
  <c r="BK49" i="69"/>
  <c r="AZ52" i="64"/>
  <c r="BA52" i="64"/>
  <c r="BJ63" i="67"/>
  <c r="BJ56" i="81"/>
  <c r="BK56" i="81"/>
  <c r="AZ52" i="47"/>
  <c r="BA52" i="47"/>
  <c r="BJ63" i="70"/>
  <c r="BK63" i="70"/>
  <c r="BJ50" i="68"/>
  <c r="BK50" i="68"/>
  <c r="BJ49" i="76"/>
  <c r="BK49" i="76"/>
  <c r="BJ49" i="75"/>
  <c r="BK49" i="75"/>
  <c r="BJ46" i="82"/>
  <c r="BK46" i="82"/>
  <c r="BJ76" i="78"/>
  <c r="BJ55" i="67"/>
  <c r="BK55" i="67"/>
  <c r="BJ38" i="82"/>
  <c r="BK38" i="82"/>
  <c r="BJ45" i="71"/>
  <c r="BK45" i="71"/>
  <c r="BJ45" i="66"/>
  <c r="G255" i="2"/>
  <c r="H255" i="2"/>
  <c r="BJ41" i="69"/>
  <c r="BK41" i="69"/>
  <c r="BJ55" i="74"/>
  <c r="BJ55" i="1"/>
  <c r="BJ41" i="75"/>
  <c r="BK41" i="75"/>
  <c r="BJ55" i="73"/>
  <c r="BK55" i="73"/>
  <c r="BJ44" i="71"/>
  <c r="BK44" i="71"/>
  <c r="BJ54" i="73"/>
  <c r="BK54" i="73"/>
  <c r="BJ37" i="82"/>
  <c r="BK37" i="82"/>
  <c r="BJ40" i="69"/>
  <c r="BK40" i="69"/>
  <c r="BJ54" i="70"/>
  <c r="BJ44" i="66"/>
  <c r="BJ26" i="77"/>
  <c r="BJ67" i="78"/>
  <c r="BJ40" i="76"/>
  <c r="BK40" i="76"/>
  <c r="BJ40" i="75"/>
  <c r="BK40" i="75"/>
  <c r="BJ47" i="81"/>
  <c r="BJ67" i="76"/>
  <c r="BK67" i="76"/>
  <c r="BJ67" i="75"/>
  <c r="BJ89" i="74"/>
  <c r="BJ89" i="67"/>
  <c r="BK89" i="67"/>
  <c r="BJ89" i="78"/>
  <c r="BK89" i="78"/>
  <c r="BJ73" i="71"/>
  <c r="BJ55" i="82"/>
  <c r="BJ89" i="70"/>
  <c r="BK89" i="70"/>
  <c r="BJ67" i="69"/>
  <c r="BK67" i="69"/>
  <c r="BA59" i="1"/>
  <c r="BB59" i="1"/>
  <c r="BA47" i="68"/>
  <c r="BB47" i="68"/>
  <c r="BA37" i="82"/>
  <c r="BB37" i="82"/>
  <c r="BJ110" i="74"/>
  <c r="BK110" i="74"/>
  <c r="BJ110" i="70"/>
  <c r="BK110" i="70"/>
  <c r="BJ84" i="69"/>
  <c r="BK84" i="69"/>
  <c r="G338" i="2"/>
  <c r="H338" i="2"/>
  <c r="BJ92" i="71"/>
  <c r="BH114" i="60"/>
  <c r="BI114" i="60"/>
  <c r="BJ84" i="76"/>
  <c r="BK84" i="76"/>
  <c r="BH62" i="61"/>
  <c r="BI62" i="61"/>
  <c r="BA88" i="74"/>
  <c r="BB88" i="74"/>
  <c r="BJ83" i="66"/>
  <c r="BK83" i="66"/>
  <c r="G249" i="2"/>
  <c r="H249" i="2"/>
  <c r="BJ41" i="73"/>
  <c r="BA35" i="67"/>
  <c r="BB35" i="67"/>
  <c r="BJ104" i="69"/>
  <c r="BK104" i="69"/>
  <c r="BA73" i="82"/>
  <c r="BB73" i="82"/>
  <c r="BJ110" i="76"/>
  <c r="BA74" i="77"/>
  <c r="BB74" i="77"/>
  <c r="BA110" i="76"/>
  <c r="BB110" i="76"/>
  <c r="BA107" i="78"/>
  <c r="BB107" i="78"/>
  <c r="BA87" i="81"/>
  <c r="BB87" i="81"/>
  <c r="BJ142" i="74"/>
  <c r="BK142" i="74"/>
  <c r="BJ74" i="77"/>
  <c r="BK74" i="77"/>
  <c r="BA130" i="67"/>
  <c r="BB130" i="67"/>
  <c r="BA112" i="66"/>
  <c r="BB112" i="66"/>
  <c r="G357" i="2"/>
  <c r="H357" i="2"/>
  <c r="AZ12" i="38"/>
  <c r="BA12" i="38"/>
  <c r="BA102" i="68"/>
  <c r="BB102" i="68"/>
  <c r="BJ127" i="67"/>
  <c r="BJ133" i="70"/>
  <c r="AZ9" i="38"/>
  <c r="BA9" i="38"/>
  <c r="BJ107" i="76"/>
  <c r="BJ104" i="78"/>
  <c r="BA113" i="75"/>
  <c r="BA71" i="77"/>
  <c r="BB71" i="77"/>
  <c r="BA104" i="78"/>
  <c r="G354" i="2"/>
  <c r="H354" i="2"/>
  <c r="BJ88" i="80"/>
  <c r="BA88" i="80"/>
  <c r="BJ113" i="75"/>
  <c r="BA133" i="73"/>
  <c r="BA70" i="82"/>
  <c r="BB70" i="82"/>
  <c r="BJ115" i="71"/>
  <c r="BA101" i="69"/>
  <c r="BJ94" i="66"/>
  <c r="BK94" i="66"/>
  <c r="BJ112" i="70"/>
  <c r="BK112" i="70"/>
  <c r="BJ74" i="70"/>
  <c r="BJ76" i="70"/>
  <c r="BJ74" i="67"/>
  <c r="G358" i="2"/>
  <c r="H358" i="2"/>
  <c r="BA58" i="66"/>
  <c r="BB58" i="66"/>
  <c r="BJ60" i="68"/>
  <c r="BK60" i="68"/>
  <c r="BA57" i="74"/>
  <c r="BB57" i="74"/>
  <c r="BA45" i="69"/>
  <c r="BB45" i="69"/>
  <c r="BH76" i="47"/>
  <c r="BI76" i="47"/>
  <c r="BA38" i="69"/>
  <c r="BB38" i="69"/>
  <c r="BA39" i="71"/>
  <c r="BB39" i="71"/>
  <c r="BJ63" i="68"/>
  <c r="BJ62" i="69"/>
  <c r="BK62" i="69"/>
  <c r="BA40" i="68"/>
  <c r="BB40" i="68"/>
  <c r="BJ136" i="74"/>
  <c r="BK136" i="74"/>
  <c r="M131" i="7"/>
  <c r="M69" i="7"/>
  <c r="M747" i="7"/>
  <c r="M681" i="7"/>
  <c r="M46" i="7"/>
  <c r="M460" i="7"/>
  <c r="M66" i="7"/>
  <c r="M370" i="7"/>
  <c r="M717" i="7"/>
  <c r="M940" i="7"/>
  <c r="M900" i="7"/>
  <c r="M829" i="7"/>
  <c r="M573" i="7"/>
  <c r="M971" i="7"/>
  <c r="M273" i="7"/>
  <c r="M70" i="7"/>
  <c r="M35" i="7"/>
  <c r="M332" i="7"/>
  <c r="M854" i="7"/>
  <c r="M88" i="7"/>
  <c r="M600" i="7"/>
  <c r="M99" i="7"/>
  <c r="M625" i="7"/>
  <c r="M164" i="7"/>
  <c r="M356" i="7"/>
  <c r="M363" i="7"/>
  <c r="M151" i="7"/>
  <c r="M440" i="7"/>
  <c r="M212" i="7"/>
  <c r="M452" i="7"/>
  <c r="M342" i="7"/>
  <c r="M980" i="7"/>
  <c r="M515" i="7"/>
  <c r="M146" i="7"/>
  <c r="M269" i="7"/>
  <c r="M210" i="7"/>
  <c r="M197" i="7"/>
  <c r="M468" i="7"/>
  <c r="M362" i="7"/>
  <c r="M41" i="7"/>
  <c r="M824" i="7"/>
  <c r="M715" i="7"/>
  <c r="M504" i="7"/>
  <c r="M988" i="7"/>
  <c r="M645" i="7"/>
  <c r="M485" i="7"/>
  <c r="M757" i="7"/>
  <c r="M790" i="7"/>
  <c r="M15" i="7"/>
  <c r="M93" i="7"/>
  <c r="M89" i="7"/>
  <c r="M719" i="7"/>
  <c r="M230" i="7"/>
  <c r="M401" i="7"/>
  <c r="M597" i="7"/>
  <c r="M160" i="7"/>
  <c r="M125" i="7"/>
  <c r="M239" i="7"/>
  <c r="M1007" i="7"/>
  <c r="M142" i="7"/>
  <c r="M157" i="7"/>
  <c r="M36" i="7"/>
  <c r="M646" i="7"/>
  <c r="M114" i="7"/>
  <c r="M1005" i="7"/>
  <c r="M299" i="7"/>
  <c r="M222" i="7"/>
  <c r="M816" i="7"/>
  <c r="M683" i="7"/>
  <c r="M71" i="7"/>
  <c r="M304" i="7"/>
  <c r="M245" i="7"/>
  <c r="M983" i="7"/>
  <c r="M744" i="7"/>
  <c r="BJ109" i="75"/>
  <c r="BK109" i="75"/>
  <c r="BF109" i="75"/>
  <c r="BE109" i="75"/>
  <c r="AZ48" i="73"/>
  <c r="AD281" i="2"/>
  <c r="BE62" i="61"/>
  <c r="AV88" i="74"/>
  <c r="AV92" i="75"/>
  <c r="BF136" i="74"/>
  <c r="AW36" i="47"/>
  <c r="AU90" i="75"/>
  <c r="BA90" i="75"/>
  <c r="BB90" i="75"/>
  <c r="AU85" i="74"/>
  <c r="BD130" i="74"/>
  <c r="BC60" i="47"/>
  <c r="AU37" i="61"/>
  <c r="AW37" i="61"/>
  <c r="BD132" i="74"/>
  <c r="K219" i="2"/>
  <c r="Q80" i="76"/>
  <c r="AU101" i="76"/>
  <c r="AC80" i="76"/>
  <c r="Q81" i="73"/>
  <c r="BD62" i="61"/>
  <c r="AW92" i="75"/>
  <c r="BE136" i="74"/>
  <c r="L222" i="2"/>
  <c r="AW36" i="61"/>
  <c r="L217" i="2"/>
  <c r="AU85" i="75"/>
  <c r="BA85" i="75"/>
  <c r="BB85" i="75"/>
  <c r="BD59" i="47"/>
  <c r="C222" i="2"/>
  <c r="BC60" i="61"/>
  <c r="AV89" i="74"/>
  <c r="AU87" i="75"/>
  <c r="C219" i="2"/>
  <c r="G219" i="2"/>
  <c r="H219" i="2"/>
  <c r="BD106" i="75"/>
  <c r="Y80" i="71"/>
  <c r="U80" i="73"/>
  <c r="Q79" i="76"/>
  <c r="Y81" i="76"/>
  <c r="AC81" i="76"/>
  <c r="U80" i="76"/>
  <c r="Q80" i="71"/>
  <c r="BE111" i="75"/>
  <c r="BE110" i="75"/>
  <c r="G222" i="2"/>
  <c r="H222" i="2"/>
  <c r="K217" i="2"/>
  <c r="BD104" i="75"/>
  <c r="BF104" i="75"/>
  <c r="BH59" i="47"/>
  <c r="BI59" i="47"/>
  <c r="AU90" i="74"/>
  <c r="AU37" i="47"/>
  <c r="AV37" i="47"/>
  <c r="BD135" i="74"/>
  <c r="BJ135" i="74"/>
  <c r="BK135" i="74"/>
  <c r="BD59" i="61"/>
  <c r="E219" i="2"/>
  <c r="AU87" i="74"/>
  <c r="AW87" i="74"/>
  <c r="AG81" i="73"/>
  <c r="Y81" i="73"/>
  <c r="AU93" i="73"/>
  <c r="AG79" i="76"/>
  <c r="U81" i="76"/>
  <c r="AU93" i="76"/>
  <c r="AG80" i="76"/>
  <c r="AI79" i="75"/>
  <c r="AE80" i="75"/>
  <c r="U81" i="71"/>
  <c r="AU93" i="71"/>
  <c r="AZ17" i="71"/>
  <c r="AB76" i="2"/>
  <c r="AZ74" i="77"/>
  <c r="BI57" i="77"/>
  <c r="AM340" i="2"/>
  <c r="BI31" i="77"/>
  <c r="AM266" i="2"/>
  <c r="AZ42" i="77"/>
  <c r="AL332" i="2"/>
  <c r="BI99" i="73"/>
  <c r="AE319" i="2"/>
  <c r="AZ135" i="73"/>
  <c r="BI37" i="73"/>
  <c r="AE229" i="2"/>
  <c r="AZ32" i="73"/>
  <c r="AD239" i="2"/>
  <c r="AZ40" i="73"/>
  <c r="AD263" i="2"/>
  <c r="AZ22" i="73"/>
  <c r="AD78" i="2"/>
  <c r="BI134" i="73"/>
  <c r="AZ31" i="73"/>
  <c r="AD238" i="2"/>
  <c r="BI80" i="73"/>
  <c r="AE292" i="2"/>
  <c r="BI70" i="73"/>
  <c r="AE275" i="2"/>
  <c r="BI73" i="76"/>
  <c r="AG315" i="2"/>
  <c r="BI85" i="76"/>
  <c r="AG339" i="2"/>
  <c r="BI56" i="76"/>
  <c r="AG275" i="2"/>
  <c r="AZ108" i="76"/>
  <c r="BI78" i="76"/>
  <c r="AG320" i="2"/>
  <c r="AZ57" i="76"/>
  <c r="AF330" i="2"/>
  <c r="AZ39" i="76"/>
  <c r="AF280" i="2"/>
  <c r="AZ49" i="76"/>
  <c r="AF304" i="2"/>
  <c r="AZ58" i="76"/>
  <c r="AF331" i="2"/>
  <c r="AZ47" i="76"/>
  <c r="AF302" i="2"/>
  <c r="BI53" i="76"/>
  <c r="AG272" i="2"/>
  <c r="BI18" i="76"/>
  <c r="AG182" i="2"/>
  <c r="AZ110" i="76"/>
  <c r="AZ33" i="76"/>
  <c r="AF264" i="2"/>
  <c r="AZ32" i="76"/>
  <c r="AF263" i="2"/>
  <c r="AZ45" i="76"/>
  <c r="AF300" i="2"/>
  <c r="BI50" i="76"/>
  <c r="AG269" i="2"/>
  <c r="AZ102" i="69"/>
  <c r="BI40" i="69"/>
  <c r="Y254" i="2"/>
  <c r="BI64" i="69"/>
  <c r="Y294" i="2"/>
  <c r="AZ40" i="69"/>
  <c r="X281" i="2"/>
  <c r="AZ49" i="69"/>
  <c r="X304" i="2"/>
  <c r="AZ62" i="69"/>
  <c r="X351" i="2"/>
  <c r="AZ44" i="69"/>
  <c r="X299" i="2"/>
  <c r="BI27" i="69"/>
  <c r="Y213" i="2"/>
  <c r="AZ39" i="69"/>
  <c r="X280" i="2"/>
  <c r="AZ51" i="69"/>
  <c r="X322" i="2"/>
  <c r="AZ14" i="69"/>
  <c r="X210" i="2"/>
  <c r="BI74" i="69"/>
  <c r="Y316" i="2"/>
  <c r="AZ103" i="69"/>
  <c r="BI70" i="69"/>
  <c r="Y312" i="2"/>
  <c r="BI95" i="69"/>
  <c r="Y349" i="2"/>
  <c r="AZ47" i="69"/>
  <c r="X302" i="2"/>
  <c r="AZ24" i="69"/>
  <c r="X239" i="2"/>
  <c r="AZ23" i="69"/>
  <c r="X238" i="2"/>
  <c r="AZ42" i="69"/>
  <c r="X289" i="2"/>
  <c r="AZ15" i="74"/>
  <c r="AH71" i="2"/>
  <c r="AZ17" i="74"/>
  <c r="AH73" i="2"/>
  <c r="BI94" i="74"/>
  <c r="AI314" i="2"/>
  <c r="BI83" i="74"/>
  <c r="AI295" i="2"/>
  <c r="AZ141" i="74"/>
  <c r="BI81" i="74"/>
  <c r="AI293" i="2"/>
  <c r="AZ26" i="74"/>
  <c r="AH227" i="2"/>
  <c r="AZ71" i="74"/>
  <c r="AH330" i="2"/>
  <c r="AZ63" i="74"/>
  <c r="AH322" i="2"/>
  <c r="BI28" i="74"/>
  <c r="AI72" i="2"/>
  <c r="AZ42" i="74"/>
  <c r="AH265" i="2"/>
  <c r="AZ78" i="74"/>
  <c r="BI140" i="74"/>
  <c r="AZ13" i="74"/>
  <c r="AH114" i="2"/>
  <c r="BI95" i="74"/>
  <c r="AI315" i="2"/>
  <c r="BI112" i="74"/>
  <c r="AI340" i="2"/>
  <c r="AZ44" i="74"/>
  <c r="AH277" i="2"/>
  <c r="AZ92" i="74"/>
  <c r="AH224" i="2"/>
  <c r="BI82" i="74"/>
  <c r="AI294" i="2"/>
  <c r="AZ19" i="73"/>
  <c r="AD75" i="2"/>
  <c r="AZ15" i="73"/>
  <c r="AD71" i="2"/>
  <c r="AZ116" i="75"/>
  <c r="BI40" i="75"/>
  <c r="AK254" i="2"/>
  <c r="BI38" i="75"/>
  <c r="AK252" i="2"/>
  <c r="BI114" i="75"/>
  <c r="AZ16" i="74"/>
  <c r="AH72" i="2"/>
  <c r="AZ18" i="74"/>
  <c r="AH74" i="2"/>
  <c r="AZ22" i="74"/>
  <c r="AH78" i="2"/>
  <c r="AZ21" i="67"/>
  <c r="T77" i="2"/>
  <c r="AZ18" i="68"/>
  <c r="V78" i="2"/>
  <c r="AZ23" i="73"/>
  <c r="AD79" i="2"/>
  <c r="AZ20" i="73"/>
  <c r="AD76" i="2"/>
  <c r="AZ21" i="74"/>
  <c r="AH77" i="2"/>
  <c r="BI119" i="70"/>
  <c r="AA347" i="2"/>
  <c r="BI99" i="70"/>
  <c r="AA319" i="2"/>
  <c r="AZ23" i="67"/>
  <c r="T79" i="2"/>
  <c r="G2" i="81"/>
  <c r="G2" i="82"/>
  <c r="G2" i="80"/>
  <c r="G2" i="78"/>
  <c r="G67" i="75"/>
  <c r="G67" i="74"/>
  <c r="G2" i="76"/>
  <c r="G2" i="77"/>
  <c r="G67" i="76"/>
  <c r="G67" i="61"/>
  <c r="G2" i="75"/>
  <c r="G2" i="74"/>
  <c r="G2" i="1"/>
  <c r="G2" i="67"/>
  <c r="G2" i="66"/>
  <c r="G2" i="4"/>
  <c r="G2" i="10"/>
  <c r="G2" i="61"/>
  <c r="G67" i="64"/>
  <c r="G2" i="60"/>
  <c r="G67" i="60"/>
  <c r="G2" i="38"/>
  <c r="G2" i="47"/>
  <c r="G2" i="70"/>
  <c r="G2" i="73"/>
  <c r="G2" i="65"/>
  <c r="G2" i="64"/>
  <c r="G67" i="71"/>
  <c r="G67" i="73"/>
  <c r="G2" i="68"/>
  <c r="G2" i="71"/>
  <c r="G2" i="69"/>
  <c r="G67" i="47"/>
  <c r="G2" i="20"/>
  <c r="G67" i="70"/>
  <c r="AA2" i="78"/>
  <c r="AA2" i="81"/>
  <c r="AA2" i="82"/>
  <c r="AA67" i="76"/>
  <c r="AA67" i="75"/>
  <c r="AA67" i="74"/>
  <c r="AA2" i="80"/>
  <c r="AA2" i="75"/>
  <c r="AA2" i="38"/>
  <c r="AA2" i="1"/>
  <c r="AA2" i="74"/>
  <c r="AA67" i="64"/>
  <c r="AA2" i="60"/>
  <c r="AA2" i="10"/>
  <c r="AA2" i="68"/>
  <c r="AA2" i="76"/>
  <c r="AA2" i="64"/>
  <c r="AA2" i="61"/>
  <c r="AA2" i="47"/>
  <c r="AA67" i="61"/>
  <c r="AA2" i="77"/>
  <c r="AA2" i="20"/>
  <c r="AA67" i="60"/>
  <c r="AA67" i="70"/>
  <c r="AA2" i="69"/>
  <c r="AA67" i="73"/>
  <c r="AA2" i="66"/>
  <c r="AA2" i="71"/>
  <c r="AA2" i="4"/>
  <c r="AA2" i="70"/>
  <c r="AA2" i="65"/>
  <c r="AA2" i="67"/>
  <c r="AA67" i="47"/>
  <c r="AA2" i="73"/>
  <c r="AA67" i="71"/>
  <c r="Q85" i="4"/>
  <c r="C85" i="4"/>
  <c r="G339" i="2"/>
  <c r="H339" i="2"/>
  <c r="BH115" i="64"/>
  <c r="BI115" i="64"/>
  <c r="BJ86" i="68"/>
  <c r="BJ111" i="70"/>
  <c r="BJ85" i="75"/>
  <c r="BK85" i="75"/>
  <c r="BH115" i="47"/>
  <c r="BI115" i="47"/>
  <c r="BJ85" i="76"/>
  <c r="BK85" i="76"/>
  <c r="BH115" i="61"/>
  <c r="BI115" i="61"/>
  <c r="BJ85" i="69"/>
  <c r="BK85" i="69"/>
  <c r="BJ111" i="73"/>
  <c r="BK111" i="73"/>
  <c r="BJ93" i="71"/>
  <c r="BK93" i="71"/>
  <c r="BJ111" i="74"/>
  <c r="BK111" i="74"/>
  <c r="BH115" i="60"/>
  <c r="BI115" i="60"/>
  <c r="BJ111" i="67"/>
  <c r="BK111" i="67"/>
  <c r="BA28" i="76"/>
  <c r="BB28" i="76"/>
  <c r="BA28" i="75"/>
  <c r="BB28" i="75"/>
  <c r="BA36" i="70"/>
  <c r="BB36" i="70"/>
  <c r="BA30" i="71"/>
  <c r="BB30" i="71"/>
  <c r="BA32" i="81"/>
  <c r="BB32" i="81"/>
  <c r="AZ92" i="60"/>
  <c r="BA92" i="60"/>
  <c r="BA36" i="67"/>
  <c r="BB36" i="67"/>
  <c r="BA30" i="66"/>
  <c r="BB30" i="66"/>
  <c r="BA26" i="82"/>
  <c r="BB26" i="82"/>
  <c r="BA28" i="69"/>
  <c r="BB28" i="69"/>
  <c r="BA36" i="74"/>
  <c r="BB36" i="74"/>
  <c r="BA35" i="80"/>
  <c r="BB35" i="80"/>
  <c r="AZ92" i="64"/>
  <c r="BA92" i="64"/>
  <c r="BA36" i="1"/>
  <c r="BB36" i="1"/>
  <c r="BA58" i="69"/>
  <c r="BB58" i="69"/>
  <c r="G331" i="2"/>
  <c r="H331" i="2"/>
  <c r="BA72" i="67"/>
  <c r="BB72" i="67"/>
  <c r="BH107" i="60"/>
  <c r="BI107" i="60"/>
  <c r="BH107" i="47"/>
  <c r="BI107" i="47"/>
  <c r="BA72" i="1"/>
  <c r="BB72" i="1"/>
  <c r="BA72" i="73"/>
  <c r="BB72" i="73"/>
  <c r="BH107" i="64"/>
  <c r="BI107" i="64"/>
  <c r="BA41" i="77"/>
  <c r="BB41" i="77"/>
  <c r="BA58" i="76"/>
  <c r="BB58" i="76"/>
  <c r="BH107" i="61"/>
  <c r="BI107" i="61"/>
  <c r="BA72" i="74"/>
  <c r="BB72" i="74"/>
  <c r="BA58" i="75"/>
  <c r="BB58" i="75"/>
  <c r="BA62" i="66"/>
  <c r="BB62" i="66"/>
  <c r="AZ95" i="61"/>
  <c r="BA95" i="61"/>
  <c r="AZ95" i="64"/>
  <c r="BA95" i="64"/>
  <c r="G433" i="2"/>
  <c r="H433" i="2"/>
  <c r="G355" i="2"/>
  <c r="H355" i="2"/>
  <c r="BJ134" i="70"/>
  <c r="BK134" i="70"/>
  <c r="BJ102" i="69"/>
  <c r="BA105" i="78"/>
  <c r="BB105" i="78"/>
  <c r="BA89" i="80"/>
  <c r="BB89" i="80"/>
  <c r="BA116" i="71"/>
  <c r="BB116" i="71"/>
  <c r="BJ108" i="76"/>
  <c r="BK108" i="76"/>
  <c r="BJ71" i="82"/>
  <c r="BJ128" i="1"/>
  <c r="BK128" i="1"/>
  <c r="BJ128" i="67"/>
  <c r="BA134" i="70"/>
  <c r="BB134" i="70"/>
  <c r="BA72" i="77"/>
  <c r="BB72" i="77"/>
  <c r="BA134" i="73"/>
  <c r="BB134" i="73"/>
  <c r="BJ114" i="75"/>
  <c r="BK114" i="75"/>
  <c r="BJ134" i="73"/>
  <c r="BK134" i="73"/>
  <c r="BJ140" i="74"/>
  <c r="BK140" i="74"/>
  <c r="BJ89" i="80"/>
  <c r="BJ72" i="77"/>
  <c r="BJ110" i="66"/>
  <c r="AZ10" i="38"/>
  <c r="BA10" i="38"/>
  <c r="BA102" i="69"/>
  <c r="BB102" i="69"/>
  <c r="BA85" i="81"/>
  <c r="BB85" i="81"/>
  <c r="BA71" i="82"/>
  <c r="BB71" i="82"/>
  <c r="BA114" i="75"/>
  <c r="BB114" i="75"/>
  <c r="BJ85" i="81"/>
  <c r="BJ103" i="68"/>
  <c r="BA140" i="74"/>
  <c r="BB140" i="74"/>
  <c r="BJ116" i="71"/>
  <c r="BK116" i="71"/>
  <c r="BA103" i="68"/>
  <c r="BB103" i="68"/>
  <c r="BA110" i="66"/>
  <c r="BB110" i="66"/>
  <c r="G356" i="2"/>
  <c r="H356" i="2"/>
  <c r="AZ11" i="38"/>
  <c r="BA11" i="38"/>
  <c r="BA104" i="68"/>
  <c r="BB104" i="68"/>
  <c r="BA111" i="66"/>
  <c r="BB111" i="66"/>
  <c r="BA117" i="71"/>
  <c r="BB117" i="71"/>
  <c r="BA72" i="82"/>
  <c r="BB72" i="82"/>
  <c r="BJ115" i="75"/>
  <c r="BA115" i="75"/>
  <c r="BB115" i="75"/>
  <c r="BJ117" i="71"/>
  <c r="BJ90" i="80"/>
  <c r="BJ135" i="73"/>
  <c r="BA90" i="80"/>
  <c r="BB90" i="80"/>
  <c r="BJ73" i="77"/>
  <c r="BJ106" i="78"/>
  <c r="BJ72" i="82"/>
  <c r="BA129" i="67"/>
  <c r="BB129" i="67"/>
  <c r="BJ129" i="67"/>
  <c r="BJ104" i="68"/>
  <c r="BA73" i="77"/>
  <c r="BB73" i="77"/>
  <c r="BA141" i="74"/>
  <c r="BB141" i="74"/>
  <c r="BA106" i="78"/>
  <c r="BB106" i="78"/>
  <c r="BA71" i="67"/>
  <c r="BB71" i="67"/>
  <c r="BA71" i="1"/>
  <c r="BB71" i="1"/>
  <c r="BA57" i="69"/>
  <c r="BB57" i="69"/>
  <c r="BA61" i="66"/>
  <c r="BB61" i="66"/>
  <c r="BA57" i="76"/>
  <c r="BB57" i="76"/>
  <c r="BA61" i="71"/>
  <c r="BB61" i="71"/>
  <c r="BA45" i="70"/>
  <c r="BB45" i="70"/>
  <c r="BA37" i="75"/>
  <c r="BB37" i="75"/>
  <c r="BA37" i="68"/>
  <c r="BB37" i="68"/>
  <c r="BA30" i="69"/>
  <c r="BB30" i="69"/>
  <c r="BH113" i="61"/>
  <c r="BI113" i="61"/>
  <c r="BJ109" i="74"/>
  <c r="BK109" i="74"/>
  <c r="BJ91" i="71"/>
  <c r="BK91" i="71"/>
  <c r="BH113" i="47"/>
  <c r="BI113" i="47"/>
  <c r="BJ108" i="1"/>
  <c r="BK108" i="1"/>
  <c r="BJ108" i="73"/>
  <c r="BJ51" i="71"/>
  <c r="BK51" i="71"/>
  <c r="BJ61" i="74"/>
  <c r="BK61" i="74"/>
  <c r="BJ31" i="77"/>
  <c r="BK31" i="77"/>
  <c r="BJ47" i="76"/>
  <c r="BK47" i="76"/>
  <c r="BJ51" i="66"/>
  <c r="BK51" i="66"/>
  <c r="BA60" i="73"/>
  <c r="BB60" i="73"/>
  <c r="G303" i="2"/>
  <c r="H303" i="2"/>
  <c r="BA51" i="71"/>
  <c r="BB51" i="71"/>
  <c r="BA60" i="74"/>
  <c r="BB60" i="74"/>
  <c r="BJ98" i="74"/>
  <c r="BH94" i="64"/>
  <c r="BI94" i="64"/>
  <c r="G318" i="2"/>
  <c r="H318" i="2"/>
  <c r="BH94" i="47"/>
  <c r="BI94" i="47"/>
  <c r="BJ59" i="67"/>
  <c r="BK59" i="67"/>
  <c r="BJ59" i="73"/>
  <c r="BK59" i="73"/>
  <c r="G334" i="2"/>
  <c r="H334" i="2"/>
  <c r="BJ106" i="67"/>
  <c r="BK106" i="67"/>
  <c r="BJ106" i="1"/>
  <c r="BH110" i="64"/>
  <c r="BI110" i="64"/>
  <c r="BJ106" i="74"/>
  <c r="BH110" i="60"/>
  <c r="BI110" i="60"/>
  <c r="BH110" i="47"/>
  <c r="BI110" i="47"/>
  <c r="BJ106" i="73"/>
  <c r="BK106" i="73"/>
  <c r="BJ74" i="80"/>
  <c r="BJ68" i="69"/>
  <c r="BK68" i="69"/>
  <c r="G310" i="2"/>
  <c r="H310" i="2"/>
  <c r="G285" i="2"/>
  <c r="H285" i="2"/>
  <c r="AZ69" i="47"/>
  <c r="BA69" i="47"/>
  <c r="G267" i="2"/>
  <c r="H267" i="2"/>
  <c r="BJ48" i="75"/>
  <c r="BK48" i="75"/>
  <c r="BJ48" i="76"/>
  <c r="BK48" i="76"/>
  <c r="BJ52" i="66"/>
  <c r="BK52" i="66"/>
  <c r="BJ62" i="1"/>
  <c r="BK62" i="1"/>
  <c r="AZ51" i="60"/>
  <c r="BA51" i="60"/>
  <c r="BJ62" i="73"/>
  <c r="BK62" i="73"/>
  <c r="BJ79" i="1"/>
  <c r="BK79" i="1"/>
  <c r="BH67" i="60"/>
  <c r="BI67" i="60"/>
  <c r="BI21" i="75"/>
  <c r="AK48" i="2"/>
  <c r="AZ90" i="75"/>
  <c r="AJ222" i="2"/>
  <c r="BI106" i="75"/>
  <c r="AK219" i="2"/>
  <c r="BI24" i="75"/>
  <c r="AK210" i="2"/>
  <c r="AZ7" i="75"/>
  <c r="AJ163" i="2"/>
  <c r="BI26" i="75"/>
  <c r="AK212" i="2"/>
  <c r="AZ9" i="75"/>
  <c r="AJ165" i="2"/>
  <c r="AZ19" i="75"/>
  <c r="AJ215" i="2"/>
  <c r="AZ17" i="75"/>
  <c r="AJ213" i="2"/>
  <c r="AZ40" i="75"/>
  <c r="AJ281" i="2"/>
  <c r="BI104" i="75"/>
  <c r="AK217" i="2"/>
  <c r="AZ49" i="75"/>
  <c r="AJ304" i="2"/>
  <c r="BI25" i="75"/>
  <c r="AK211" i="2"/>
  <c r="AZ15" i="75"/>
  <c r="AJ211" i="2"/>
  <c r="AZ13" i="75"/>
  <c r="AJ209" i="2"/>
  <c r="AZ18" i="75"/>
  <c r="AJ214" i="2"/>
  <c r="AZ16" i="75"/>
  <c r="AJ212" i="2"/>
  <c r="BI56" i="75"/>
  <c r="AK275" i="2"/>
  <c r="BI28" i="75"/>
  <c r="AK214" i="2"/>
  <c r="BI73" i="75"/>
  <c r="AK315" i="2"/>
  <c r="BI78" i="75"/>
  <c r="AK320" i="2"/>
  <c r="BI116" i="75"/>
  <c r="BI36" i="75"/>
  <c r="AK250" i="2"/>
  <c r="BI69" i="75"/>
  <c r="AK311" i="2"/>
  <c r="G309" i="2"/>
  <c r="H309" i="2"/>
  <c r="BH85" i="60"/>
  <c r="BI85" i="60"/>
  <c r="BJ89" i="73"/>
  <c r="BK89" i="73"/>
  <c r="BH85" i="47"/>
  <c r="BI85" i="47"/>
  <c r="BJ68" i="68"/>
  <c r="BK68" i="68"/>
  <c r="BJ89" i="1"/>
  <c r="BK89" i="1"/>
  <c r="BI20" i="77"/>
  <c r="AM77" i="2"/>
  <c r="BI32" i="77"/>
  <c r="AM267" i="2"/>
  <c r="BI18" i="77"/>
  <c r="AM75" i="2"/>
  <c r="BI19" i="77"/>
  <c r="AM76" i="2"/>
  <c r="BI17" i="77"/>
  <c r="AM74" i="2"/>
  <c r="BI40" i="77"/>
  <c r="AM279" i="2"/>
  <c r="BI39" i="77"/>
  <c r="AM278" i="2"/>
  <c r="BI41" i="77"/>
  <c r="AM280" i="2"/>
  <c r="BI51" i="77"/>
  <c r="AM318" i="2"/>
  <c r="BI35" i="77"/>
  <c r="AM270" i="2"/>
  <c r="AZ13" i="77"/>
  <c r="AL77" i="2"/>
  <c r="BI74" i="77"/>
  <c r="AZ11" i="77"/>
  <c r="AL75" i="2"/>
  <c r="AZ59" i="60"/>
  <c r="BA59" i="60"/>
  <c r="AZ59" i="47"/>
  <c r="BA59" i="47"/>
  <c r="BJ70" i="73"/>
  <c r="BK70" i="73"/>
  <c r="AZ59" i="61"/>
  <c r="BA59" i="61"/>
  <c r="BH98" i="61"/>
  <c r="BI98" i="61"/>
  <c r="BJ86" i="66"/>
  <c r="BK86" i="66"/>
  <c r="BA51" i="68"/>
  <c r="BB51" i="68"/>
  <c r="BH98" i="60"/>
  <c r="BI98" i="60"/>
  <c r="BJ102" i="74"/>
  <c r="BA63" i="67"/>
  <c r="BB63" i="67"/>
  <c r="G322" i="2"/>
  <c r="H322" i="2"/>
  <c r="BJ53" i="77"/>
  <c r="BJ102" i="1"/>
  <c r="BK102" i="1"/>
  <c r="BI21" i="71"/>
  <c r="AC48" i="2"/>
  <c r="BI26" i="71"/>
  <c r="AC75" i="2"/>
  <c r="BI29" i="71"/>
  <c r="AC78" i="2"/>
  <c r="BI25" i="71"/>
  <c r="AC74" i="2"/>
  <c r="BI28" i="71"/>
  <c r="AC77" i="2"/>
  <c r="BI16" i="71"/>
  <c r="AC100" i="2"/>
  <c r="BI27" i="71"/>
  <c r="AC76" i="2"/>
  <c r="BI95" i="71"/>
  <c r="AC341" i="2"/>
  <c r="AZ18" i="71"/>
  <c r="AB77" i="2"/>
  <c r="BI89" i="75"/>
  <c r="AK343" i="2"/>
  <c r="AZ16" i="71"/>
  <c r="AB75" i="2"/>
  <c r="H19" i="60"/>
  <c r="H19" i="61"/>
  <c r="H19" i="47"/>
  <c r="B17" i="61"/>
  <c r="B17" i="60"/>
  <c r="B17" i="47"/>
  <c r="M389" i="7"/>
  <c r="M853" i="7"/>
  <c r="M710" i="7"/>
  <c r="M616" i="7"/>
  <c r="M463" i="7"/>
  <c r="M582" i="7"/>
  <c r="M986" i="7"/>
  <c r="M61" i="7"/>
  <c r="M207" i="7"/>
  <c r="M822" i="7"/>
  <c r="M834" i="7"/>
  <c r="M973" i="7"/>
  <c r="M1021" i="7"/>
  <c r="M506" i="7"/>
  <c r="M935" i="7"/>
  <c r="M604" i="7"/>
  <c r="M994" i="7"/>
  <c r="M776" i="7"/>
  <c r="M1019" i="7"/>
  <c r="M24" i="7"/>
  <c r="M500" i="7"/>
  <c r="M496" i="7"/>
  <c r="M295" i="7"/>
  <c r="M493" i="7"/>
  <c r="M922" i="7"/>
  <c r="M728" i="7"/>
  <c r="M996" i="7"/>
  <c r="M713" i="7"/>
  <c r="M599" i="7"/>
  <c r="M503" i="7"/>
  <c r="M969" i="7"/>
  <c r="M448" i="7"/>
  <c r="M964" i="7"/>
  <c r="M377" i="7"/>
  <c r="BA65" i="68"/>
  <c r="M480" i="7"/>
  <c r="M44" i="7"/>
  <c r="M718" i="7"/>
  <c r="M879" i="7"/>
  <c r="M55" i="7"/>
  <c r="M129" i="7"/>
  <c r="M84" i="7"/>
  <c r="M302" i="7"/>
  <c r="M298" i="7"/>
  <c r="M671" i="7"/>
  <c r="M769" i="7"/>
  <c r="M768" i="7"/>
  <c r="M152" i="7"/>
  <c r="M330" i="7"/>
  <c r="M1023" i="7"/>
  <c r="M664" i="7"/>
  <c r="M425" i="7"/>
  <c r="M174" i="7"/>
  <c r="M336" i="7"/>
  <c r="M532" i="7"/>
  <c r="M314" i="7"/>
  <c r="M253" i="7"/>
  <c r="M886" i="7"/>
  <c r="M311" i="7"/>
  <c r="M657" i="7"/>
  <c r="M905" i="7"/>
  <c r="M859" i="7"/>
  <c r="M714" i="7"/>
  <c r="M995" i="7"/>
  <c r="M627" i="7"/>
  <c r="M725" i="7"/>
  <c r="M692" i="7"/>
  <c r="M361" i="7"/>
  <c r="M47" i="7"/>
  <c r="M523" i="7"/>
  <c r="M636" i="7"/>
  <c r="M339" i="7"/>
  <c r="M329" i="7"/>
  <c r="M708" i="7"/>
  <c r="M54" i="7"/>
  <c r="B13" i="81"/>
  <c r="B13" i="78"/>
  <c r="B13" i="77"/>
  <c r="B13" i="76"/>
  <c r="B13" i="75"/>
  <c r="B13" i="74"/>
  <c r="B13" i="66"/>
  <c r="B13" i="82"/>
  <c r="B13" i="68"/>
  <c r="B11" i="64"/>
  <c r="B11" i="47"/>
  <c r="B13" i="70"/>
  <c r="B13" i="80"/>
  <c r="B11" i="60"/>
  <c r="B13" i="73"/>
  <c r="B13" i="1"/>
  <c r="B84" i="75"/>
  <c r="B84" i="76"/>
  <c r="B84" i="47"/>
  <c r="B84" i="71"/>
  <c r="B84" i="61"/>
  <c r="B84" i="74"/>
  <c r="AR86" i="60"/>
  <c r="AR86" i="47"/>
  <c r="AR86" i="61"/>
  <c r="AZ12" i="77"/>
  <c r="AL76" i="2"/>
  <c r="BI21" i="69"/>
  <c r="Y48" i="2"/>
  <c r="BI25" i="69"/>
  <c r="Y211" i="2"/>
  <c r="AZ16" i="69"/>
  <c r="X212" i="2"/>
  <c r="BI28" i="69"/>
  <c r="Y214" i="2"/>
  <c r="BI26" i="69"/>
  <c r="Y212" i="2"/>
  <c r="AZ48" i="69"/>
  <c r="X303" i="2"/>
  <c r="BI29" i="69"/>
  <c r="Y215" i="2"/>
  <c r="BI23" i="69"/>
  <c r="Y209" i="2"/>
  <c r="AZ13" i="69"/>
  <c r="X209" i="2"/>
  <c r="BI24" i="69"/>
  <c r="Y210" i="2"/>
  <c r="AZ18" i="69"/>
  <c r="X214" i="2"/>
  <c r="BI85" i="69"/>
  <c r="Y339" i="2"/>
  <c r="AA8" i="2"/>
  <c r="Q8" i="2"/>
  <c r="J10" i="7"/>
  <c r="L22" i="2"/>
  <c r="AZ46" i="77"/>
  <c r="AL37" i="2"/>
  <c r="N37" i="2"/>
  <c r="F37" i="2"/>
  <c r="I37" i="2"/>
  <c r="AT76" i="4"/>
  <c r="AF76" i="4"/>
  <c r="AF53" i="4"/>
  <c r="Q76" i="4"/>
  <c r="C64" i="4"/>
  <c r="AF35" i="4"/>
  <c r="AF45" i="4"/>
  <c r="AF27" i="4"/>
  <c r="C76" i="4"/>
  <c r="AF9" i="4"/>
  <c r="AF17" i="4"/>
  <c r="C9" i="4"/>
  <c r="AT9" i="4"/>
  <c r="Q9" i="4"/>
  <c r="C27" i="4"/>
  <c r="AF17" i="65"/>
  <c r="C9" i="65"/>
  <c r="Q17" i="65"/>
  <c r="C25" i="65"/>
  <c r="AF9" i="65"/>
  <c r="AF25" i="65"/>
  <c r="V30" i="61"/>
  <c r="V24" i="47"/>
  <c r="AZ13" i="71"/>
  <c r="AB72" i="2"/>
  <c r="AZ14" i="71"/>
  <c r="AB73" i="2"/>
  <c r="BI75" i="69"/>
  <c r="Y317" i="2"/>
  <c r="BI65" i="69"/>
  <c r="Y295" i="2"/>
  <c r="E10" i="7"/>
  <c r="AO2" i="82"/>
  <c r="AO2" i="80"/>
  <c r="AO2" i="78"/>
  <c r="AO2" i="76"/>
  <c r="AO2" i="77"/>
  <c r="AO2" i="75"/>
  <c r="AO2" i="74"/>
  <c r="AO67" i="60"/>
  <c r="AO2" i="10"/>
  <c r="AO2" i="20"/>
  <c r="AO2" i="81"/>
  <c r="AO67" i="76"/>
  <c r="AO67" i="75"/>
  <c r="AO67" i="74"/>
  <c r="AO67" i="71"/>
  <c r="AO2" i="71"/>
  <c r="AO2" i="70"/>
  <c r="AO2" i="66"/>
  <c r="AO2" i="38"/>
  <c r="AO2" i="64"/>
  <c r="AO2" i="60"/>
  <c r="AO2" i="68"/>
  <c r="AO67" i="64"/>
  <c r="AO2" i="61"/>
  <c r="AO2" i="4"/>
  <c r="AO2" i="69"/>
  <c r="AO67" i="70"/>
  <c r="AO2" i="73"/>
  <c r="AO2" i="47"/>
  <c r="AO67" i="61"/>
  <c r="BI25" i="67"/>
  <c r="U48" i="2"/>
  <c r="AZ64" i="67"/>
  <c r="T323" i="2"/>
  <c r="BI34" i="67"/>
  <c r="U78" i="2"/>
  <c r="BI28" i="67"/>
  <c r="U72" i="2"/>
  <c r="BI40" i="67"/>
  <c r="U232" i="2"/>
  <c r="BI115" i="67"/>
  <c r="U343" i="2"/>
  <c r="AZ31" i="67"/>
  <c r="T238" i="2"/>
  <c r="BI31" i="67"/>
  <c r="U75" i="2"/>
  <c r="BI39" i="67"/>
  <c r="U231" i="2"/>
  <c r="BI27" i="67"/>
  <c r="U71" i="2"/>
  <c r="BI33" i="67"/>
  <c r="U77" i="2"/>
  <c r="BI25" i="73"/>
  <c r="AE48" i="2"/>
  <c r="BI83" i="73"/>
  <c r="AE295" i="2"/>
  <c r="BI29" i="73"/>
  <c r="AE73" i="2"/>
  <c r="BI35" i="73"/>
  <c r="AE79" i="2"/>
  <c r="BI32" i="73"/>
  <c r="AE76" i="2"/>
  <c r="BI28" i="73"/>
  <c r="AE72" i="2"/>
  <c r="BI24" i="73"/>
  <c r="AE134" i="2"/>
  <c r="N134" i="2"/>
  <c r="F134" i="2"/>
  <c r="I134" i="2"/>
  <c r="AZ33" i="73"/>
  <c r="AD240" i="2"/>
  <c r="BI30" i="73"/>
  <c r="AE74" i="2"/>
  <c r="BI34" i="73"/>
  <c r="AE78" i="2"/>
  <c r="BI33" i="73"/>
  <c r="AE77" i="2"/>
  <c r="BI31" i="73"/>
  <c r="AE75" i="2"/>
  <c r="BI22" i="68"/>
  <c r="W48" i="2"/>
  <c r="BI29" i="68"/>
  <c r="W78" i="2"/>
  <c r="BI27" i="68"/>
  <c r="W76" i="2"/>
  <c r="BI25" i="68"/>
  <c r="W74" i="2"/>
  <c r="BI44" i="68"/>
  <c r="W257" i="2"/>
  <c r="BI114" i="70"/>
  <c r="AA342" i="2"/>
  <c r="BI6" i="68"/>
  <c r="W146" i="2"/>
  <c r="N146" i="2"/>
  <c r="F146" i="2"/>
  <c r="I146" i="2"/>
  <c r="AZ20" i="67"/>
  <c r="T76" i="2"/>
  <c r="AW4" i="1"/>
  <c r="AZ18" i="1"/>
  <c r="P74" i="2"/>
  <c r="AW4" i="80"/>
  <c r="AW4" i="78"/>
  <c r="AW4" i="81"/>
  <c r="AW4" i="82"/>
  <c r="AW4" i="66"/>
  <c r="AA9" i="2"/>
  <c r="Q9" i="2"/>
  <c r="Y14" i="10"/>
  <c r="AY50" i="80"/>
  <c r="BB50" i="80"/>
  <c r="AY49" i="81"/>
  <c r="T9" i="2"/>
  <c r="AY59" i="78"/>
  <c r="BB59" i="78"/>
  <c r="AY41" i="82"/>
  <c r="BB41" i="82"/>
  <c r="AY68" i="66"/>
  <c r="AZ68" i="66"/>
  <c r="R104" i="2"/>
  <c r="AY53" i="80"/>
  <c r="AZ53" i="80" s="1"/>
  <c r="AP207" i="2" s="1"/>
  <c r="AY43" i="82"/>
  <c r="AZ43" i="82" s="1"/>
  <c r="AT207" i="2" s="1"/>
  <c r="B207" i="2"/>
  <c r="D207" i="2" s="1"/>
  <c r="AZ19" i="76"/>
  <c r="AF215" i="2"/>
  <c r="AZ17" i="76"/>
  <c r="AF213" i="2"/>
  <c r="BI82" i="76"/>
  <c r="AG324" i="2"/>
  <c r="BI80" i="76"/>
  <c r="AG322" i="2"/>
  <c r="BI27" i="76"/>
  <c r="AG213" i="2"/>
  <c r="BI25" i="76"/>
  <c r="AG211" i="2"/>
  <c r="AZ15" i="76"/>
  <c r="AF211" i="2"/>
  <c r="AZ55" i="76"/>
  <c r="AF328" i="2"/>
  <c r="AZ31" i="76"/>
  <c r="AF262" i="2"/>
  <c r="BI24" i="76"/>
  <c r="AG210" i="2"/>
  <c r="BI23" i="76"/>
  <c r="AG209" i="2"/>
  <c r="AZ5" i="76"/>
  <c r="AF161" i="2"/>
  <c r="BI28" i="76"/>
  <c r="AG214" i="2"/>
  <c r="BI26" i="76"/>
  <c r="AG212" i="2"/>
  <c r="BI33" i="70"/>
  <c r="AA77" i="2"/>
  <c r="AZ32" i="70"/>
  <c r="Z239" i="2"/>
  <c r="BI30" i="70"/>
  <c r="AA74" i="2"/>
  <c r="BI28" i="70"/>
  <c r="AA72" i="2"/>
  <c r="AZ76" i="70"/>
  <c r="Z351" i="2"/>
  <c r="AZ56" i="70"/>
  <c r="Z299" i="2"/>
  <c r="BI27" i="70"/>
  <c r="AA71" i="2"/>
  <c r="AZ25" i="70"/>
  <c r="Z226" i="2"/>
  <c r="BI31" i="70"/>
  <c r="AA75" i="2"/>
  <c r="BI32" i="74"/>
  <c r="AI76" i="2"/>
  <c r="BI34" i="74"/>
  <c r="AI78" i="2"/>
  <c r="AZ33" i="74"/>
  <c r="AH240" i="2"/>
  <c r="BI31" i="74"/>
  <c r="AI75" i="2"/>
  <c r="BI33" i="74"/>
  <c r="AI77" i="2"/>
  <c r="BI29" i="74"/>
  <c r="AI73" i="2"/>
  <c r="AZ86" i="74"/>
  <c r="AH218" i="2"/>
  <c r="AZ84" i="74"/>
  <c r="AH204" i="2"/>
  <c r="AZ29" i="74"/>
  <c r="AH236" i="2"/>
  <c r="BI66" i="73"/>
  <c r="AE271" i="2"/>
  <c r="BI82" i="73"/>
  <c r="AE294" i="2"/>
  <c r="BI123" i="70"/>
  <c r="AA351" i="2"/>
  <c r="BI79" i="70"/>
  <c r="AA291" i="2"/>
  <c r="BI68" i="70"/>
  <c r="AA273" i="2"/>
  <c r="BI58" i="70"/>
  <c r="AA258" i="2"/>
  <c r="BI36" i="68"/>
  <c r="W249" i="2"/>
  <c r="BI94" i="68"/>
  <c r="W347" i="2"/>
  <c r="B10" i="81"/>
  <c r="B10" i="82"/>
  <c r="B10" i="80"/>
  <c r="B10" i="77"/>
  <c r="B10" i="74"/>
  <c r="B10" i="76"/>
  <c r="B10" i="75"/>
  <c r="B10" i="78"/>
  <c r="B10" i="70"/>
  <c r="B10" i="47"/>
  <c r="B10" i="61"/>
  <c r="B10" i="67"/>
  <c r="B10" i="1"/>
  <c r="B10" i="66"/>
  <c r="Q95" i="4"/>
  <c r="Q86" i="4"/>
  <c r="AT75" i="4"/>
  <c r="AF52" i="4"/>
  <c r="AF16" i="4"/>
  <c r="AT95" i="4"/>
  <c r="AF34" i="4"/>
  <c r="V24" i="60"/>
  <c r="V30" i="64"/>
  <c r="B82" i="76"/>
  <c r="B82" i="75"/>
  <c r="B82" i="74"/>
  <c r="B82" i="64"/>
  <c r="B82" i="60"/>
  <c r="AV102" i="64"/>
  <c r="AV102" i="60"/>
  <c r="AV102" i="61"/>
  <c r="O28" i="81"/>
  <c r="O28" i="80"/>
  <c r="O28" i="82"/>
  <c r="O28" i="78"/>
  <c r="AY22" i="81"/>
  <c r="AZ22" i="81"/>
  <c r="AR78" i="2"/>
  <c r="AY19" i="81"/>
  <c r="AZ19" i="81"/>
  <c r="AR75" i="2"/>
  <c r="AY15" i="81"/>
  <c r="AZ15" i="81"/>
  <c r="AR71" i="2"/>
  <c r="AY24" i="80"/>
  <c r="AZ24" i="80"/>
  <c r="AP75" i="2"/>
  <c r="AY33" i="78"/>
  <c r="AY31" i="78"/>
  <c r="AZ31" i="78"/>
  <c r="AN77" i="2"/>
  <c r="AY29" i="78"/>
  <c r="AZ29" i="78"/>
  <c r="AN75" i="2"/>
  <c r="AA6" i="2"/>
  <c r="AA7" i="2"/>
  <c r="AY23" i="81"/>
  <c r="AY20" i="81"/>
  <c r="AZ20" i="81"/>
  <c r="AR76" i="2"/>
  <c r="AY16" i="81"/>
  <c r="AZ16" i="81"/>
  <c r="AR72" i="2"/>
  <c r="AY25" i="80"/>
  <c r="AZ25" i="80"/>
  <c r="AP76" i="2"/>
  <c r="AY21" i="80"/>
  <c r="AZ21" i="80"/>
  <c r="AP72" i="2"/>
  <c r="AY32" i="78"/>
  <c r="AZ32" i="78"/>
  <c r="AN78" i="2"/>
  <c r="AY30" i="78"/>
  <c r="AZ30" i="78"/>
  <c r="AN76" i="2"/>
  <c r="AY18" i="81"/>
  <c r="AZ18" i="81"/>
  <c r="AR74" i="2"/>
  <c r="AY17" i="81"/>
  <c r="AZ17" i="81"/>
  <c r="AR73" i="2"/>
  <c r="AY26" i="80"/>
  <c r="AZ26" i="80"/>
  <c r="AP77" i="2"/>
  <c r="AY23" i="80"/>
  <c r="AZ23" i="80"/>
  <c r="AP74" i="2"/>
  <c r="AY22" i="80"/>
  <c r="AZ22" i="80"/>
  <c r="AP73" i="2"/>
  <c r="AY27" i="78"/>
  <c r="AY25" i="78"/>
  <c r="AZ25" i="78"/>
  <c r="AN71" i="2"/>
  <c r="AY27" i="80"/>
  <c r="AZ27" i="80"/>
  <c r="AP78" i="2"/>
  <c r="AY28" i="78"/>
  <c r="AY26" i="78"/>
  <c r="AY10" i="77"/>
  <c r="AZ10" i="77"/>
  <c r="AL74" i="2"/>
  <c r="AY23" i="74"/>
  <c r="AZ23" i="74"/>
  <c r="AH79" i="2"/>
  <c r="AY21" i="81"/>
  <c r="AY22" i="1"/>
  <c r="AZ22" i="1"/>
  <c r="P78" i="2"/>
  <c r="AY16" i="1"/>
  <c r="AZ16" i="1"/>
  <c r="P72" i="2"/>
  <c r="AY17" i="1"/>
  <c r="AZ17" i="1"/>
  <c r="P73" i="2"/>
  <c r="AY13" i="68"/>
  <c r="AZ13" i="68"/>
  <c r="V73" i="2"/>
  <c r="AY19" i="66"/>
  <c r="AZ19" i="66"/>
  <c r="R78" i="2"/>
  <c r="AY16" i="67"/>
  <c r="AZ16" i="67"/>
  <c r="T72" i="2"/>
  <c r="AY13" i="66"/>
  <c r="AZ13" i="66"/>
  <c r="R72" i="2"/>
  <c r="AY15" i="67"/>
  <c r="AZ15" i="67"/>
  <c r="T71" i="2"/>
  <c r="AY19" i="68"/>
  <c r="AZ19" i="68"/>
  <c r="V79" i="2"/>
  <c r="AY22" i="67"/>
  <c r="AZ22" i="67"/>
  <c r="T78" i="2"/>
  <c r="AY21" i="1"/>
  <c r="AZ21" i="1"/>
  <c r="P77" i="2"/>
  <c r="AY17" i="68"/>
  <c r="AZ17" i="68"/>
  <c r="V77" i="2"/>
  <c r="AY16" i="66"/>
  <c r="AZ16" i="66"/>
  <c r="R75" i="2"/>
  <c r="AY15" i="1"/>
  <c r="AZ15" i="1"/>
  <c r="P71" i="2"/>
  <c r="BI34" i="70"/>
  <c r="AA78" i="2"/>
  <c r="H582" i="7"/>
  <c r="H834" i="7"/>
  <c r="O2" i="82"/>
  <c r="O2" i="80"/>
  <c r="O2" i="78"/>
  <c r="O2" i="76"/>
  <c r="O2" i="77"/>
  <c r="O2" i="75"/>
  <c r="O2" i="74"/>
  <c r="O67" i="76"/>
  <c r="O67" i="75"/>
  <c r="O67" i="74"/>
  <c r="O2" i="64"/>
  <c r="AT94" i="4"/>
  <c r="Q94" i="4"/>
  <c r="AK9" i="76"/>
  <c r="AK9" i="73"/>
  <c r="O81" i="75"/>
  <c r="O82" i="76"/>
  <c r="O82" i="61"/>
  <c r="U2" i="69"/>
  <c r="H27" i="75"/>
  <c r="H28" i="75"/>
  <c r="U2" i="80"/>
  <c r="U2" i="78"/>
  <c r="U2" i="81"/>
  <c r="U2" i="77"/>
  <c r="U2" i="75"/>
  <c r="U2" i="74"/>
  <c r="U67" i="76"/>
  <c r="U2" i="76"/>
  <c r="U67" i="73"/>
  <c r="H19" i="81"/>
  <c r="H25" i="80"/>
  <c r="H30" i="77"/>
  <c r="H25" i="78"/>
  <c r="H20" i="78"/>
  <c r="H25" i="82"/>
  <c r="H20" i="82"/>
  <c r="H20" i="80"/>
  <c r="H19" i="78"/>
  <c r="H27" i="77"/>
  <c r="H20" i="77"/>
  <c r="H19" i="82"/>
  <c r="H25" i="81"/>
  <c r="H22" i="77"/>
  <c r="H20" i="76"/>
  <c r="H30" i="75"/>
  <c r="H20" i="75"/>
  <c r="H27" i="74"/>
  <c r="H19" i="77"/>
  <c r="H30" i="76"/>
  <c r="H27" i="76"/>
  <c r="H19" i="75"/>
  <c r="H30" i="74"/>
  <c r="H22" i="74"/>
  <c r="H19" i="80"/>
  <c r="H22" i="76"/>
  <c r="H19" i="76"/>
  <c r="H28" i="77"/>
  <c r="H28" i="76"/>
  <c r="H22" i="75"/>
  <c r="H20" i="74"/>
  <c r="H28" i="68"/>
  <c r="H27" i="64"/>
  <c r="H20" i="60"/>
  <c r="H27" i="61"/>
  <c r="H28" i="74"/>
  <c r="H19" i="74"/>
  <c r="AE17" i="47"/>
  <c r="AE17" i="61"/>
  <c r="B6" i="78"/>
  <c r="B6" i="77"/>
  <c r="B6" i="81"/>
  <c r="B6" i="82"/>
  <c r="B6" i="76"/>
  <c r="B6" i="80"/>
  <c r="B6" i="73"/>
  <c r="B6" i="71"/>
  <c r="B6" i="75"/>
  <c r="B6" i="61"/>
  <c r="B6" i="74"/>
  <c r="C86" i="4"/>
  <c r="AF75" i="4"/>
  <c r="C95" i="4"/>
  <c r="Q75" i="4"/>
  <c r="C75" i="4"/>
  <c r="C63" i="4"/>
  <c r="AT8" i="4"/>
  <c r="AF44" i="4"/>
  <c r="N83" i="76"/>
  <c r="N83" i="75"/>
  <c r="N83" i="73"/>
  <c r="AA10" i="2"/>
  <c r="Q10" i="2"/>
  <c r="O2" i="81"/>
  <c r="U2" i="82"/>
  <c r="BH71" i="82"/>
  <c r="BI71" i="82"/>
  <c r="AU355" i="2"/>
  <c r="BH85" i="81"/>
  <c r="BI85" i="81"/>
  <c r="AS355" i="2"/>
  <c r="BH72" i="77"/>
  <c r="BI72" i="77"/>
  <c r="AM355" i="2"/>
  <c r="T8" i="2"/>
  <c r="BH102" i="69"/>
  <c r="U67" i="74"/>
  <c r="AI2" i="81"/>
  <c r="AI2" i="82"/>
  <c r="AI2" i="80"/>
  <c r="AI67" i="75"/>
  <c r="AI67" i="74"/>
  <c r="AI2" i="76"/>
  <c r="B2" i="78"/>
  <c r="B2" i="81"/>
  <c r="B2" i="82"/>
  <c r="B67" i="76"/>
  <c r="B67" i="74"/>
  <c r="N18" i="82"/>
  <c r="N18" i="80"/>
  <c r="N24" i="78"/>
  <c r="N26" i="77"/>
  <c r="N18" i="77"/>
  <c r="N18" i="81"/>
  <c r="N24" i="81"/>
  <c r="N18" i="78"/>
  <c r="N24" i="80"/>
  <c r="N26" i="74"/>
  <c r="N18" i="74"/>
  <c r="N24" i="82"/>
  <c r="N26" i="75"/>
  <c r="N18" i="75"/>
  <c r="B7" i="81"/>
  <c r="B7" i="80"/>
  <c r="B7" i="82"/>
  <c r="B7" i="77"/>
  <c r="B7" i="76"/>
  <c r="C67" i="4"/>
  <c r="AF38" i="4"/>
  <c r="B8" i="80"/>
  <c r="B8" i="78"/>
  <c r="B8" i="82"/>
  <c r="B8" i="81"/>
  <c r="B8" i="76"/>
  <c r="B8" i="1"/>
  <c r="AI2" i="74"/>
  <c r="B11" i="75"/>
  <c r="B67" i="75"/>
  <c r="B2" i="76"/>
  <c r="B11" i="76"/>
  <c r="B2" i="77"/>
  <c r="B11" i="82"/>
  <c r="B11" i="80"/>
  <c r="B11" i="78"/>
  <c r="B11" i="81"/>
  <c r="B11" i="74"/>
  <c r="B7" i="70"/>
  <c r="C30" i="4"/>
  <c r="B2" i="74"/>
  <c r="AI2" i="75"/>
  <c r="O82" i="75"/>
  <c r="C68" i="4"/>
  <c r="AF57" i="4"/>
  <c r="Q13" i="4"/>
  <c r="AF31" i="4"/>
  <c r="AF49" i="4"/>
  <c r="C13" i="4"/>
  <c r="Q31" i="4"/>
  <c r="AF13" i="4"/>
  <c r="B8" i="77"/>
  <c r="AT74" i="4"/>
  <c r="AF74" i="4"/>
  <c r="BH96" i="47"/>
  <c r="BI96" i="47"/>
  <c r="BJ78" i="69"/>
  <c r="BK78" i="69"/>
  <c r="BJ79" i="68"/>
  <c r="BK79" i="68"/>
  <c r="BJ78" i="75"/>
  <c r="BK78" i="75"/>
  <c r="BJ80" i="81"/>
  <c r="BK80" i="81"/>
  <c r="BH96" i="64"/>
  <c r="BI96" i="64"/>
  <c r="BJ84" i="80"/>
  <c r="BK84" i="80"/>
  <c r="G320" i="2"/>
  <c r="H320" i="2"/>
  <c r="BJ100" i="78"/>
  <c r="BK100" i="78"/>
  <c r="BH96" i="60"/>
  <c r="BI96" i="60"/>
  <c r="BJ100" i="1"/>
  <c r="BK100" i="1"/>
  <c r="BJ100" i="74"/>
  <c r="BJ84" i="66"/>
  <c r="BJ78" i="76"/>
  <c r="BK78" i="76"/>
  <c r="BJ100" i="73"/>
  <c r="BJ84" i="71"/>
  <c r="BK84" i="71"/>
  <c r="BJ66" i="82"/>
  <c r="BK66" i="82"/>
  <c r="BJ100" i="70"/>
  <c r="BK100" i="70"/>
  <c r="BH96" i="61"/>
  <c r="BI96" i="61"/>
  <c r="BJ100" i="67"/>
  <c r="BK100" i="67"/>
  <c r="AZ66" i="64"/>
  <c r="BA66" i="64"/>
  <c r="AZ66" i="60"/>
  <c r="BA66" i="60"/>
  <c r="AZ66" i="47"/>
  <c r="BA66" i="47"/>
  <c r="G282" i="2"/>
  <c r="H282" i="2"/>
  <c r="AZ66" i="61"/>
  <c r="BA66" i="61"/>
  <c r="BA24" i="71"/>
  <c r="BB24" i="71"/>
  <c r="BA24" i="66"/>
  <c r="BB24" i="66"/>
  <c r="BA36" i="78"/>
  <c r="BB36" i="78"/>
  <c r="BA30" i="73"/>
  <c r="G237" i="2"/>
  <c r="H237" i="2"/>
  <c r="BA30" i="1"/>
  <c r="BB30" i="1"/>
  <c r="BA26" i="81"/>
  <c r="BB26" i="81"/>
  <c r="BA30" i="67"/>
  <c r="BB30" i="67"/>
  <c r="BA30" i="74"/>
  <c r="BB30" i="74"/>
  <c r="BA30" i="70"/>
  <c r="BB30" i="70"/>
  <c r="BA29" i="80"/>
  <c r="BB29" i="80"/>
  <c r="BA89" i="74"/>
  <c r="BB89" i="74"/>
  <c r="BA89" i="75"/>
  <c r="BB89" i="75"/>
  <c r="G221" i="2"/>
  <c r="H221" i="2"/>
  <c r="BJ134" i="74"/>
  <c r="BK134" i="74"/>
  <c r="BJ108" i="75"/>
  <c r="AZ36" i="61"/>
  <c r="BA36" i="61"/>
  <c r="G68" i="2"/>
  <c r="H68" i="2"/>
  <c r="BJ24" i="70"/>
  <c r="BK24" i="70"/>
  <c r="BJ82" i="71"/>
  <c r="BK82" i="71"/>
  <c r="BJ76" i="69"/>
  <c r="BK76" i="69"/>
  <c r="BJ76" i="75"/>
  <c r="BJ98" i="70"/>
  <c r="BK98" i="70"/>
  <c r="BJ82" i="80"/>
  <c r="BJ64" i="82"/>
  <c r="BJ98" i="67"/>
  <c r="BK98" i="67"/>
  <c r="BJ51" i="77"/>
  <c r="BK51" i="77"/>
  <c r="BJ98" i="1"/>
  <c r="BK98" i="1"/>
  <c r="BJ98" i="78"/>
  <c r="BJ78" i="81"/>
  <c r="BK78" i="81"/>
  <c r="BJ76" i="76"/>
  <c r="BK76" i="76"/>
  <c r="BH94" i="61"/>
  <c r="BI94" i="61"/>
  <c r="BH94" i="60"/>
  <c r="BI94" i="60"/>
  <c r="BJ77" i="68"/>
  <c r="BK77" i="68"/>
  <c r="BJ98" i="73"/>
  <c r="BJ82" i="66"/>
  <c r="BK82" i="66"/>
  <c r="AZ36" i="47"/>
  <c r="BA36" i="47"/>
  <c r="AZ67" i="60"/>
  <c r="BA67" i="60"/>
  <c r="AZ67" i="47"/>
  <c r="BA67" i="47"/>
  <c r="G283" i="2"/>
  <c r="H283" i="2"/>
  <c r="AZ67" i="64"/>
  <c r="BA67" i="64"/>
  <c r="AZ67" i="61"/>
  <c r="BA67" i="61"/>
  <c r="BJ32" i="75"/>
  <c r="BJ42" i="73"/>
  <c r="BK42" i="73"/>
  <c r="BJ32" i="69"/>
  <c r="BJ33" i="68"/>
  <c r="BK33" i="68"/>
  <c r="G234" i="2"/>
  <c r="H234" i="2"/>
  <c r="BJ42" i="67"/>
  <c r="BK42" i="67"/>
  <c r="BJ42" i="70"/>
  <c r="BJ42" i="74"/>
  <c r="BK42" i="74"/>
  <c r="BJ34" i="66"/>
  <c r="BK34" i="66"/>
  <c r="BJ32" i="76"/>
  <c r="BK32" i="76"/>
  <c r="BJ34" i="71"/>
  <c r="BJ42" i="1"/>
  <c r="BA33" i="66"/>
  <c r="BB33" i="66"/>
  <c r="G262" i="2"/>
  <c r="H262" i="2"/>
  <c r="AZ46" i="64"/>
  <c r="BA46" i="64"/>
  <c r="BA39" i="74"/>
  <c r="BB39" i="74"/>
  <c r="BA31" i="76"/>
  <c r="BB31" i="76"/>
  <c r="BA33" i="71"/>
  <c r="BB33" i="71"/>
  <c r="BA31" i="69"/>
  <c r="BB31" i="69"/>
  <c r="BA35" i="81"/>
  <c r="BB35" i="81"/>
  <c r="BA38" i="80"/>
  <c r="BB38" i="80"/>
  <c r="BA31" i="75"/>
  <c r="BB31" i="75"/>
  <c r="BA39" i="67"/>
  <c r="BB39" i="67"/>
  <c r="AZ46" i="47"/>
  <c r="BA46" i="47"/>
  <c r="AZ46" i="61"/>
  <c r="BA46" i="61"/>
  <c r="BA39" i="1"/>
  <c r="BB39" i="1"/>
  <c r="BA29" i="82"/>
  <c r="BB29" i="82"/>
  <c r="BA31" i="68"/>
  <c r="BB31" i="68"/>
  <c r="BA39" i="73"/>
  <c r="BB39" i="73"/>
  <c r="BA21" i="77"/>
  <c r="BB21" i="77"/>
  <c r="BA45" i="78"/>
  <c r="BB45" i="78"/>
  <c r="AZ46" i="60"/>
  <c r="BA46" i="60"/>
  <c r="BA39" i="70"/>
  <c r="BB39" i="70"/>
  <c r="BH59" i="61"/>
  <c r="BI59" i="61"/>
  <c r="BF130" i="74"/>
  <c r="BJ130" i="74"/>
  <c r="BK130" i="74"/>
  <c r="BE130" i="74"/>
  <c r="AW37" i="47"/>
  <c r="BA87" i="75"/>
  <c r="BB87" i="75"/>
  <c r="BJ132" i="74"/>
  <c r="BK132" i="74"/>
  <c r="BA85" i="74"/>
  <c r="BB85" i="74"/>
  <c r="AW90" i="74"/>
  <c r="BA90" i="74"/>
  <c r="BB90" i="74"/>
  <c r="AV90" i="74"/>
  <c r="BE106" i="75"/>
  <c r="AW85" i="75"/>
  <c r="AZ37" i="61"/>
  <c r="BA37" i="61"/>
  <c r="AV90" i="75"/>
  <c r="BE60" i="61"/>
  <c r="BH60" i="61"/>
  <c r="BI60" i="61"/>
  <c r="BD60" i="61"/>
  <c r="BH60" i="47"/>
  <c r="BI60" i="47"/>
  <c r="BE60" i="47"/>
  <c r="BD60" i="47"/>
  <c r="AZ49" i="81"/>
  <c r="AR135" i="2"/>
  <c r="AZ78" i="1"/>
  <c r="P69" i="2"/>
  <c r="AZ41" i="82"/>
  <c r="AT184" i="2"/>
  <c r="AZ26" i="78"/>
  <c r="AN72" i="2"/>
  <c r="AZ27" i="78"/>
  <c r="AN73" i="2"/>
  <c r="AZ23" i="81"/>
  <c r="AR79" i="2"/>
  <c r="AZ33" i="78"/>
  <c r="AN79" i="2"/>
  <c r="AZ50" i="80"/>
  <c r="AP104" i="2"/>
  <c r="BI21" i="66"/>
  <c r="S48" i="2"/>
  <c r="BI25" i="66"/>
  <c r="S74" i="2"/>
  <c r="BI23" i="66"/>
  <c r="S72" i="2"/>
  <c r="AZ38" i="66"/>
  <c r="R278" i="2"/>
  <c r="AZ26" i="66"/>
  <c r="R239" i="2"/>
  <c r="BI29" i="66"/>
  <c r="S78" i="2"/>
  <c r="BI96" i="66"/>
  <c r="S342" i="2"/>
  <c r="BI60" i="66"/>
  <c r="S277" i="2"/>
  <c r="BI47" i="66"/>
  <c r="S257" i="2"/>
  <c r="BI92" i="66"/>
  <c r="S338" i="2"/>
  <c r="BI66" i="66"/>
  <c r="S292" i="2"/>
  <c r="AZ14" i="66"/>
  <c r="R73" i="2"/>
  <c r="AZ110" i="66"/>
  <c r="BI53" i="66"/>
  <c r="S268" i="2"/>
  <c r="BI112" i="66"/>
  <c r="AZ43" i="66"/>
  <c r="R288" i="2"/>
  <c r="BI28" i="66"/>
  <c r="S77" i="2"/>
  <c r="AZ52" i="66"/>
  <c r="R304" i="2"/>
  <c r="AZ54" i="66"/>
  <c r="R322" i="2"/>
  <c r="AZ59" i="66"/>
  <c r="R328" i="2"/>
  <c r="AZ48" i="66"/>
  <c r="R300" i="2"/>
  <c r="AZ44" i="66"/>
  <c r="R289" i="2"/>
  <c r="AZ50" i="66"/>
  <c r="R302" i="2"/>
  <c r="AZ37" i="66"/>
  <c r="R277" i="2"/>
  <c r="AZ32" i="66"/>
  <c r="R261" i="2"/>
  <c r="AZ11" i="66"/>
  <c r="R87" i="2"/>
  <c r="AZ46" i="66"/>
  <c r="R298" i="2"/>
  <c r="AZ64" i="66"/>
  <c r="R333" i="2"/>
  <c r="AZ47" i="66"/>
  <c r="R299" i="2"/>
  <c r="AZ21" i="66"/>
  <c r="R227" i="2"/>
  <c r="BI42" i="66"/>
  <c r="S252" i="2"/>
  <c r="AZ112" i="66"/>
  <c r="AZ27" i="66"/>
  <c r="R240" i="2"/>
  <c r="BI49" i="66"/>
  <c r="S259" i="2"/>
  <c r="AZ49" i="66"/>
  <c r="R301" i="2"/>
  <c r="BI24" i="66"/>
  <c r="S73" i="2"/>
  <c r="AZ61" i="66"/>
  <c r="R330" i="2"/>
  <c r="AZ63" i="66"/>
  <c r="R332" i="2"/>
  <c r="AZ35" i="66"/>
  <c r="R264" i="2"/>
  <c r="AZ24" i="66"/>
  <c r="R237" i="2"/>
  <c r="BI48" i="66"/>
  <c r="S258" i="2"/>
  <c r="AZ40" i="66"/>
  <c r="R280" i="2"/>
  <c r="AZ30" i="66"/>
  <c r="R243" i="2"/>
  <c r="AZ33" i="66"/>
  <c r="R262" i="2"/>
  <c r="BI72" i="66"/>
  <c r="S308" i="2"/>
  <c r="BI73" i="66"/>
  <c r="S309" i="2"/>
  <c r="AZ8" i="66"/>
  <c r="R84" i="2"/>
  <c r="BI68" i="66"/>
  <c r="S294" i="2"/>
  <c r="AZ55" i="66"/>
  <c r="R323" i="2"/>
  <c r="AZ29" i="66"/>
  <c r="R242" i="2"/>
  <c r="BI94" i="66"/>
  <c r="S340" i="2"/>
  <c r="AZ111" i="66"/>
  <c r="BI90" i="66"/>
  <c r="S336" i="2"/>
  <c r="AZ9" i="66"/>
  <c r="R85" i="2"/>
  <c r="AZ60" i="66"/>
  <c r="R329" i="2"/>
  <c r="AZ5" i="66"/>
  <c r="R81" i="2"/>
  <c r="AZ7" i="66"/>
  <c r="R83" i="2"/>
  <c r="AZ41" i="66"/>
  <c r="R281" i="2"/>
  <c r="AZ66" i="66"/>
  <c r="R351" i="2"/>
  <c r="BI10" i="66"/>
  <c r="S94" i="2"/>
  <c r="BI14" i="66"/>
  <c r="S98" i="2"/>
  <c r="AZ58" i="66"/>
  <c r="R327" i="2"/>
  <c r="AZ39" i="66"/>
  <c r="R279" i="2"/>
  <c r="BI7" i="66"/>
  <c r="S91" i="2"/>
  <c r="AZ22" i="66"/>
  <c r="R228" i="2"/>
  <c r="BI102" i="66"/>
  <c r="S348" i="2"/>
  <c r="BI39" i="66"/>
  <c r="S249" i="2"/>
  <c r="AZ6" i="66"/>
  <c r="R82" i="2"/>
  <c r="BI13" i="66"/>
  <c r="S97" i="2"/>
  <c r="BI88" i="66"/>
  <c r="S324" i="2"/>
  <c r="AZ56" i="66"/>
  <c r="R324" i="2"/>
  <c r="BI6" i="66"/>
  <c r="S90" i="2"/>
  <c r="BI56" i="66"/>
  <c r="S271" i="2"/>
  <c r="BI83" i="66"/>
  <c r="S319" i="2"/>
  <c r="BI40" i="66"/>
  <c r="S250" i="2"/>
  <c r="AZ62" i="66"/>
  <c r="R331" i="2"/>
  <c r="AZ25" i="66"/>
  <c r="R238" i="2"/>
  <c r="AZ51" i="66"/>
  <c r="R303" i="2"/>
  <c r="BI98" i="66"/>
  <c r="S344" i="2"/>
  <c r="BI61" i="66"/>
  <c r="S278" i="2"/>
  <c r="BI27" i="66"/>
  <c r="S76" i="2"/>
  <c r="BI58" i="66"/>
  <c r="S273" i="2"/>
  <c r="BI51" i="66"/>
  <c r="S266" i="2"/>
  <c r="BI36" i="66"/>
  <c r="S246" i="2"/>
  <c r="AZ10" i="66"/>
  <c r="R86" i="2"/>
  <c r="BI82" i="66"/>
  <c r="S318" i="2"/>
  <c r="BI77" i="66"/>
  <c r="S313" i="2"/>
  <c r="BI32" i="66"/>
  <c r="S232" i="2"/>
  <c r="BI69" i="66"/>
  <c r="S295" i="2"/>
  <c r="AZ34" i="66"/>
  <c r="R263" i="2"/>
  <c r="BI78" i="66"/>
  <c r="S314" i="2"/>
  <c r="BI57" i="66"/>
  <c r="S272" i="2"/>
  <c r="BI86" i="66"/>
  <c r="S322" i="2"/>
  <c r="BI91" i="66"/>
  <c r="S337" i="2"/>
  <c r="BI15" i="66"/>
  <c r="S99" i="2"/>
  <c r="BI34" i="66"/>
  <c r="S234" i="2"/>
  <c r="BI76" i="66"/>
  <c r="S312" i="2"/>
  <c r="BI95" i="66"/>
  <c r="S341" i="2"/>
  <c r="BI75" i="66"/>
  <c r="S311" i="2"/>
  <c r="BI55" i="66"/>
  <c r="S270" i="2"/>
  <c r="BI54" i="66"/>
  <c r="S269" i="2"/>
  <c r="BI31" i="66"/>
  <c r="S231" i="2"/>
  <c r="BI33" i="66"/>
  <c r="S233" i="2"/>
  <c r="BI103" i="66"/>
  <c r="S349" i="2"/>
  <c r="BI99" i="66"/>
  <c r="S345" i="2"/>
  <c r="BI101" i="66"/>
  <c r="S347" i="2"/>
  <c r="BI80" i="66"/>
  <c r="S316" i="2"/>
  <c r="BI74" i="66"/>
  <c r="S310" i="2"/>
  <c r="BI52" i="66"/>
  <c r="S267" i="2"/>
  <c r="BI37" i="66"/>
  <c r="S247" i="2"/>
  <c r="BI79" i="66"/>
  <c r="S315" i="2"/>
  <c r="BI45" i="80"/>
  <c r="AQ78" i="2"/>
  <c r="BI37" i="80"/>
  <c r="AQ48" i="2"/>
  <c r="BI42" i="80"/>
  <c r="AQ75" i="2"/>
  <c r="AZ90" i="80"/>
  <c r="AZ89" i="80"/>
  <c r="AZ43" i="80"/>
  <c r="AP299" i="2"/>
  <c r="AZ46" i="80"/>
  <c r="AP302" i="2"/>
  <c r="BI81" i="80"/>
  <c r="AQ317" i="2"/>
  <c r="AZ91" i="80"/>
  <c r="BI91" i="80"/>
  <c r="AZ42" i="80"/>
  <c r="AP298" i="2"/>
  <c r="AZ29" i="80"/>
  <c r="AP237" i="2"/>
  <c r="AZ38" i="80"/>
  <c r="AP262" i="2"/>
  <c r="AZ40" i="80"/>
  <c r="AP264" i="2"/>
  <c r="AZ47" i="80"/>
  <c r="AP303" i="2"/>
  <c r="AZ44" i="80"/>
  <c r="AP300" i="2"/>
  <c r="AZ45" i="80"/>
  <c r="AP301" i="2"/>
  <c r="AZ48" i="80"/>
  <c r="AP304" i="2"/>
  <c r="BI15" i="80"/>
  <c r="AQ99" i="2"/>
  <c r="BI75" i="80"/>
  <c r="AQ311" i="2"/>
  <c r="AZ39" i="80"/>
  <c r="AP263" i="2"/>
  <c r="BI40" i="80"/>
  <c r="AQ73" i="2"/>
  <c r="BI79" i="80"/>
  <c r="AQ315" i="2"/>
  <c r="AZ31" i="80"/>
  <c r="AP239" i="2"/>
  <c r="BI13" i="80"/>
  <c r="AQ97" i="2"/>
  <c r="AZ35" i="80"/>
  <c r="AP243" i="2"/>
  <c r="BI65" i="80"/>
  <c r="AQ269" i="2"/>
  <c r="BI59" i="80"/>
  <c r="AQ258" i="2"/>
  <c r="AZ5" i="80"/>
  <c r="AP81" i="2"/>
  <c r="AZ9" i="80"/>
  <c r="AP85" i="2"/>
  <c r="AZ10" i="80"/>
  <c r="AP86" i="2"/>
  <c r="AZ7" i="80"/>
  <c r="AP83" i="2"/>
  <c r="AZ18" i="80"/>
  <c r="AP112" i="2"/>
  <c r="AZ15" i="80"/>
  <c r="AP109" i="2"/>
  <c r="BI48" i="80"/>
  <c r="AQ247" i="2"/>
  <c r="BI76" i="80"/>
  <c r="AQ312" i="2"/>
  <c r="BI68" i="80"/>
  <c r="AQ272" i="2"/>
  <c r="BI52" i="80"/>
  <c r="AQ251" i="2"/>
  <c r="AZ37" i="80"/>
  <c r="AP261" i="2"/>
  <c r="BI62" i="80"/>
  <c r="AQ266" i="2"/>
  <c r="BI67" i="80"/>
  <c r="AQ271" i="2"/>
  <c r="BI60" i="80"/>
  <c r="AQ259" i="2"/>
  <c r="BI77" i="80"/>
  <c r="AQ313" i="2"/>
  <c r="AZ33" i="80"/>
  <c r="AP241" i="2"/>
  <c r="BI84" i="80"/>
  <c r="AQ320" i="2"/>
  <c r="BI71" i="80"/>
  <c r="AQ307" i="2"/>
  <c r="BI64" i="80"/>
  <c r="AQ268" i="2"/>
  <c r="BI55" i="80"/>
  <c r="AQ254" i="2"/>
  <c r="BI44" i="80"/>
  <c r="AQ77" i="2"/>
  <c r="BI56" i="80"/>
  <c r="AQ255" i="2"/>
  <c r="BI69" i="80"/>
  <c r="AQ273" i="2"/>
  <c r="BI47" i="80"/>
  <c r="AQ246" i="2"/>
  <c r="BI30" i="80"/>
  <c r="AQ128" i="2"/>
  <c r="B170" i="2"/>
  <c r="B176" i="2"/>
  <c r="B94" i="2"/>
  <c r="K94" i="2" s="1"/>
  <c r="B177" i="2"/>
  <c r="B150" i="2"/>
  <c r="B145" i="2"/>
  <c r="B108" i="2"/>
  <c r="AU7" i="73" s="1"/>
  <c r="AV7" i="73" s="1"/>
  <c r="B92" i="2"/>
  <c r="B165" i="2"/>
  <c r="B132" i="2"/>
  <c r="B54" i="2"/>
  <c r="B142" i="2"/>
  <c r="B126" i="2"/>
  <c r="B102" i="2"/>
  <c r="B26" i="2"/>
  <c r="C26" i="2" s="1"/>
  <c r="B147" i="2"/>
  <c r="B61" i="2"/>
  <c r="B141" i="2"/>
  <c r="B30" i="2"/>
  <c r="AU10" i="61" s="1"/>
  <c r="AV10" i="61" s="1"/>
  <c r="B138" i="2"/>
  <c r="B45" i="2"/>
  <c r="B167" i="2"/>
  <c r="B91" i="2"/>
  <c r="B93" i="2"/>
  <c r="B130" i="2"/>
  <c r="BD19" i="73" s="1"/>
  <c r="B148" i="2"/>
  <c r="B122" i="2"/>
  <c r="B192" i="2"/>
  <c r="B57" i="2"/>
  <c r="B83" i="2"/>
  <c r="B120" i="2"/>
  <c r="BD9" i="74" s="1"/>
  <c r="B158" i="2"/>
  <c r="B178" i="2"/>
  <c r="B58" i="2"/>
  <c r="B197" i="2"/>
  <c r="D197" i="2" s="1"/>
  <c r="B181" i="2"/>
  <c r="B205" i="2"/>
  <c r="B180" i="2"/>
  <c r="B50" i="2"/>
  <c r="B101" i="2"/>
  <c r="B40" i="2"/>
  <c r="C40" i="2" s="1"/>
  <c r="B41" i="2"/>
  <c r="B193" i="2"/>
  <c r="B124" i="2"/>
  <c r="B81" i="2"/>
  <c r="B163" i="2"/>
  <c r="B85" i="2"/>
  <c r="B86" i="2"/>
  <c r="B131" i="2"/>
  <c r="B149" i="2"/>
  <c r="B31" i="2"/>
  <c r="D31" i="2" s="1"/>
  <c r="B119" i="2"/>
  <c r="B152" i="2"/>
  <c r="B84" i="2"/>
  <c r="B63" i="2"/>
  <c r="BD18" i="1" s="1"/>
  <c r="BF18" i="1" s="1"/>
  <c r="B125" i="2"/>
  <c r="B201" i="2"/>
  <c r="B203" i="2"/>
  <c r="B111" i="2"/>
  <c r="G111" i="2" s="1"/>
  <c r="H111" i="2" s="1"/>
  <c r="B146" i="2"/>
  <c r="B34" i="2"/>
  <c r="B100" i="2"/>
  <c r="B155" i="2"/>
  <c r="B32" i="2"/>
  <c r="B59" i="2"/>
  <c r="B25" i="2"/>
  <c r="B43" i="2"/>
  <c r="AU20" i="47" s="1"/>
  <c r="AV20" i="47" s="1"/>
  <c r="B129" i="2"/>
  <c r="B143" i="2"/>
  <c r="BC55" i="61" s="1"/>
  <c r="B99" i="2"/>
  <c r="B87" i="2"/>
  <c r="E87" i="2" s="1"/>
  <c r="B189" i="2"/>
  <c r="B64" i="2"/>
  <c r="BC7" i="47" s="1"/>
  <c r="B98" i="2"/>
  <c r="B42" i="2"/>
  <c r="B127" i="2"/>
  <c r="B90" i="2"/>
  <c r="B118" i="2"/>
  <c r="B153" i="2"/>
  <c r="B107" i="2"/>
  <c r="B52" i="2"/>
  <c r="B137" i="2"/>
  <c r="B65" i="2"/>
  <c r="B56" i="2"/>
  <c r="B82" i="2"/>
  <c r="B188" i="2"/>
  <c r="B154" i="2"/>
  <c r="B174" i="2"/>
  <c r="B191" i="2"/>
  <c r="D191" i="2" s="1"/>
  <c r="B187" i="2"/>
  <c r="B157" i="2"/>
  <c r="B55" i="2"/>
  <c r="B166" i="2"/>
  <c r="B133" i="2"/>
  <c r="B173" i="2"/>
  <c r="B62" i="2"/>
  <c r="B110" i="2"/>
  <c r="B140" i="2"/>
  <c r="B33" i="2"/>
  <c r="D33" i="2" s="1"/>
  <c r="B36" i="2"/>
  <c r="B199" i="2"/>
  <c r="B66" i="2"/>
  <c r="B67" i="2"/>
  <c r="B161" i="2"/>
  <c r="B156" i="2"/>
  <c r="B53" i="2"/>
  <c r="B171" i="2"/>
  <c r="B169" i="2"/>
  <c r="B46" i="2"/>
  <c r="B179" i="2"/>
  <c r="B35" i="2"/>
  <c r="D35" i="2" s="1"/>
  <c r="B109" i="2"/>
  <c r="B23" i="2"/>
  <c r="G23" i="2" s="1"/>
  <c r="H23" i="2" s="1"/>
  <c r="B128" i="2"/>
  <c r="B51" i="2"/>
  <c r="C51" i="2" s="1"/>
  <c r="B24" i="2"/>
  <c r="B164" i="2"/>
  <c r="D164" i="2" s="1"/>
  <c r="B112" i="2"/>
  <c r="B204" i="2"/>
  <c r="L204" i="2" s="1"/>
  <c r="B106" i="2"/>
  <c r="B175" i="2"/>
  <c r="B114" i="2"/>
  <c r="B116" i="2"/>
  <c r="E116" i="2" s="1"/>
  <c r="B117" i="2"/>
  <c r="B194" i="2"/>
  <c r="B47" i="2"/>
  <c r="B113" i="2"/>
  <c r="B139" i="2"/>
  <c r="B39" i="2"/>
  <c r="B89" i="2"/>
  <c r="B44" i="2"/>
  <c r="B97" i="2"/>
  <c r="B162" i="2"/>
  <c r="AU6" i="69" s="1"/>
  <c r="B95" i="2"/>
  <c r="B121" i="2"/>
  <c r="BD10" i="81" s="1"/>
  <c r="B96" i="2"/>
  <c r="B172" i="2"/>
  <c r="B182" i="2"/>
  <c r="B60" i="2"/>
  <c r="B151" i="2"/>
  <c r="B198" i="2"/>
  <c r="B123" i="2"/>
  <c r="B29" i="2"/>
  <c r="C29" i="2" s="1"/>
  <c r="BA40" i="80"/>
  <c r="BB40" i="80"/>
  <c r="G264" i="2"/>
  <c r="H264" i="2"/>
  <c r="BA37" i="81"/>
  <c r="BB37" i="81"/>
  <c r="AZ48" i="61"/>
  <c r="BA48" i="61"/>
  <c r="BA33" i="76"/>
  <c r="BB33" i="76"/>
  <c r="BA31" i="82"/>
  <c r="BB31" i="82"/>
  <c r="BA33" i="69"/>
  <c r="BB33" i="69"/>
  <c r="AZ48" i="64"/>
  <c r="BA48" i="64"/>
  <c r="AZ48" i="47"/>
  <c r="BA48" i="47"/>
  <c r="BA35" i="71"/>
  <c r="BB35" i="71"/>
  <c r="BA41" i="67"/>
  <c r="BB41" i="67"/>
  <c r="BA41" i="73"/>
  <c r="BB41" i="73"/>
  <c r="BA47" i="78"/>
  <c r="BB47" i="78"/>
  <c r="BA41" i="70"/>
  <c r="BB41" i="70"/>
  <c r="BA33" i="68"/>
  <c r="BB33" i="68"/>
  <c r="BA41" i="1"/>
  <c r="BB41" i="1"/>
  <c r="BA35" i="66"/>
  <c r="BB35" i="66"/>
  <c r="AZ48" i="60"/>
  <c r="BA48" i="60"/>
  <c r="BA41" i="74"/>
  <c r="BB41" i="74"/>
  <c r="BA33" i="75"/>
  <c r="BB33" i="75"/>
  <c r="BJ88" i="73"/>
  <c r="BK88" i="73"/>
  <c r="BJ72" i="71"/>
  <c r="BK72" i="71"/>
  <c r="G308" i="2"/>
  <c r="H308" i="2"/>
  <c r="BJ72" i="66"/>
  <c r="BK72" i="66"/>
  <c r="BH84" i="60"/>
  <c r="BI84" i="60"/>
  <c r="BJ88" i="67"/>
  <c r="BK88" i="67"/>
  <c r="BJ68" i="81"/>
  <c r="BK68" i="81"/>
  <c r="BH84" i="47"/>
  <c r="BI84" i="47"/>
  <c r="BJ88" i="78"/>
  <c r="BK88" i="78"/>
  <c r="BH84" i="64"/>
  <c r="BI84" i="64"/>
  <c r="BJ72" i="80"/>
  <c r="BJ88" i="74"/>
  <c r="BK88" i="74"/>
  <c r="BJ88" i="70"/>
  <c r="BK88" i="70"/>
  <c r="BJ88" i="1"/>
  <c r="BK88" i="1"/>
  <c r="BH84" i="61"/>
  <c r="BI84" i="61"/>
  <c r="BA40" i="78"/>
  <c r="BB40" i="78"/>
  <c r="BA26" i="76"/>
  <c r="BB26" i="76"/>
  <c r="G241" i="2"/>
  <c r="H241" i="2"/>
  <c r="BA33" i="80"/>
  <c r="BB33" i="80"/>
  <c r="BA17" i="77"/>
  <c r="BB17" i="77"/>
  <c r="BA34" i="74"/>
  <c r="BB34" i="74"/>
  <c r="BA34" i="70"/>
  <c r="BB34" i="70"/>
  <c r="BA26" i="75"/>
  <c r="BB26" i="75"/>
  <c r="BA28" i="66"/>
  <c r="BA26" i="68"/>
  <c r="BB26" i="68"/>
  <c r="BA34" i="1"/>
  <c r="BB34" i="1"/>
  <c r="BA34" i="67"/>
  <c r="BB34" i="67"/>
  <c r="BA34" i="73"/>
  <c r="BB34" i="73"/>
  <c r="BA24" i="82"/>
  <c r="BB24" i="82"/>
  <c r="BA30" i="81"/>
  <c r="BB30" i="81"/>
  <c r="AZ90" i="64"/>
  <c r="BA90" i="64"/>
  <c r="BA26" i="69"/>
  <c r="BB26" i="69"/>
  <c r="BA28" i="71"/>
  <c r="BB28" i="71"/>
  <c r="AZ90" i="60"/>
  <c r="BA90" i="60"/>
  <c r="BJ40" i="68"/>
  <c r="BK40" i="68"/>
  <c r="G253" i="2"/>
  <c r="H253" i="2"/>
  <c r="BJ53" i="1"/>
  <c r="BK53" i="1"/>
  <c r="BJ43" i="66"/>
  <c r="BJ46" i="81"/>
  <c r="BJ66" i="78"/>
  <c r="BK66" i="78"/>
  <c r="BJ39" i="75"/>
  <c r="BJ36" i="82"/>
  <c r="BK36" i="82"/>
  <c r="BJ53" i="74"/>
  <c r="BK53" i="74"/>
  <c r="BJ53" i="70"/>
  <c r="BK53" i="70"/>
  <c r="BJ43" i="71"/>
  <c r="BK43" i="71"/>
  <c r="BJ53" i="67"/>
  <c r="BK53" i="67"/>
  <c r="BJ25" i="77"/>
  <c r="BK25" i="77"/>
  <c r="BJ39" i="76"/>
  <c r="BK39" i="76"/>
  <c r="BJ54" i="80"/>
  <c r="BJ53" i="73"/>
  <c r="BK53" i="73"/>
  <c r="BJ39" i="69"/>
  <c r="BK39" i="69"/>
  <c r="AZ15" i="66"/>
  <c r="R74" i="2"/>
  <c r="B159" i="2"/>
  <c r="B69" i="2"/>
  <c r="B184" i="2"/>
  <c r="B37" i="2"/>
  <c r="B104" i="2"/>
  <c r="B135" i="2"/>
  <c r="AZ21" i="81"/>
  <c r="AR77" i="2"/>
  <c r="AZ28" i="78"/>
  <c r="AN74" i="2"/>
  <c r="B74" i="2"/>
  <c r="B78" i="2"/>
  <c r="B79" i="2"/>
  <c r="B77" i="2"/>
  <c r="AU13" i="77" s="1"/>
  <c r="AW13" i="77" s="1"/>
  <c r="B76" i="2"/>
  <c r="B75" i="2"/>
  <c r="BD31" i="81" s="1"/>
  <c r="BJ31" i="81" s="1"/>
  <c r="BK31" i="81" s="1"/>
  <c r="BH68" i="82"/>
  <c r="BI68" i="82" s="1"/>
  <c r="AU207" i="2" s="1"/>
  <c r="AY60" i="78"/>
  <c r="AZ60" i="78"/>
  <c r="AN135" i="2"/>
  <c r="AZ59" i="78"/>
  <c r="AN69" i="2"/>
  <c r="BI21" i="82"/>
  <c r="AU48" i="2"/>
  <c r="BI9" i="82"/>
  <c r="AU173" i="2"/>
  <c r="AZ73" i="82"/>
  <c r="BI58" i="82"/>
  <c r="AU312" i="2"/>
  <c r="AZ39" i="82"/>
  <c r="AT304" i="2"/>
  <c r="AZ5" i="82"/>
  <c r="AT161" i="2"/>
  <c r="AZ34" i="82"/>
  <c r="AT299" i="2"/>
  <c r="AZ72" i="82"/>
  <c r="BI73" i="82"/>
  <c r="BI37" i="82"/>
  <c r="AU254" i="2"/>
  <c r="AZ7" i="82"/>
  <c r="AT163" i="2"/>
  <c r="AZ38" i="82"/>
  <c r="AT303" i="2"/>
  <c r="AZ19" i="82"/>
  <c r="AT215" i="2"/>
  <c r="BI56" i="82"/>
  <c r="AU310" i="2"/>
  <c r="AZ71" i="82"/>
  <c r="AZ31" i="82"/>
  <c r="AT264" i="2"/>
  <c r="AZ21" i="82"/>
  <c r="AT238" i="2"/>
  <c r="AZ18" i="82"/>
  <c r="AT214" i="2"/>
  <c r="AZ28" i="82"/>
  <c r="AT261" i="2"/>
  <c r="AZ36" i="82"/>
  <c r="AT301" i="2"/>
  <c r="AZ22" i="82"/>
  <c r="AT239" i="2"/>
  <c r="AZ26" i="82"/>
  <c r="AT243" i="2"/>
  <c r="BI7" i="82"/>
  <c r="AU171" i="2"/>
  <c r="BI5" i="82"/>
  <c r="AU169" i="2"/>
  <c r="AZ30" i="82"/>
  <c r="AT263" i="2"/>
  <c r="AZ24" i="82"/>
  <c r="AT241" i="2"/>
  <c r="BI6" i="82"/>
  <c r="AU170" i="2"/>
  <c r="BI31" i="82"/>
  <c r="AU248" i="2"/>
  <c r="BI63" i="82"/>
  <c r="AU317" i="2"/>
  <c r="BI60" i="82"/>
  <c r="AU314" i="2"/>
  <c r="BI45" i="82"/>
  <c r="AU267" i="2"/>
  <c r="AZ35" i="82"/>
  <c r="AT300" i="2"/>
  <c r="AZ32" i="82"/>
  <c r="AT265" i="2"/>
  <c r="BI10" i="82"/>
  <c r="AU174" i="2"/>
  <c r="AZ13" i="82"/>
  <c r="AT209" i="2"/>
  <c r="BI40" i="82"/>
  <c r="AU257" i="2"/>
  <c r="AZ16" i="82"/>
  <c r="AT212" i="2"/>
  <c r="AZ8" i="82"/>
  <c r="AT164" i="2"/>
  <c r="AZ29" i="82"/>
  <c r="AT262" i="2"/>
  <c r="AZ6" i="82"/>
  <c r="AT162" i="2"/>
  <c r="BI46" i="82"/>
  <c r="AU268" i="2"/>
  <c r="AZ15" i="82"/>
  <c r="AT211" i="2"/>
  <c r="AZ25" i="82"/>
  <c r="AT242" i="2"/>
  <c r="BI32" i="82"/>
  <c r="AU249" i="2"/>
  <c r="BI14" i="82"/>
  <c r="AU178" i="2"/>
  <c r="BI52" i="82"/>
  <c r="AU274" i="2"/>
  <c r="BI20" i="82"/>
  <c r="AU184" i="2"/>
  <c r="BI41" i="82"/>
  <c r="AU258" i="2"/>
  <c r="AZ23" i="82"/>
  <c r="AT240" i="2"/>
  <c r="BI34" i="82"/>
  <c r="AU251" i="2"/>
  <c r="BI38" i="82"/>
  <c r="AU255" i="2"/>
  <c r="BI47" i="82"/>
  <c r="AU269" i="2"/>
  <c r="BI57" i="82"/>
  <c r="AU311" i="2"/>
  <c r="BI33" i="82"/>
  <c r="AU250" i="2"/>
  <c r="AZ10" i="82"/>
  <c r="AT166" i="2"/>
  <c r="AZ11" i="82"/>
  <c r="AT167" i="2"/>
  <c r="BI16" i="82"/>
  <c r="AU180" i="2"/>
  <c r="AZ17" i="82"/>
  <c r="AT213" i="2"/>
  <c r="AZ9" i="82"/>
  <c r="AT165" i="2"/>
  <c r="BI66" i="82"/>
  <c r="AU320" i="2"/>
  <c r="BI23" i="82"/>
  <c r="AU209" i="2"/>
  <c r="AZ70" i="82"/>
  <c r="AT354" i="2"/>
  <c r="BI53" i="82"/>
  <c r="AU275" i="2"/>
  <c r="BI35" i="82"/>
  <c r="AU252" i="2"/>
  <c r="BI18" i="82"/>
  <c r="AU182" i="2"/>
  <c r="AZ74" i="82"/>
  <c r="AT358" i="2"/>
  <c r="AZ14" i="82"/>
  <c r="AT210" i="2"/>
  <c r="BI29" i="82"/>
  <c r="AU215" i="2"/>
  <c r="BI65" i="82"/>
  <c r="AU319" i="2"/>
  <c r="BI61" i="82"/>
  <c r="AU315" i="2"/>
  <c r="BI36" i="82"/>
  <c r="AU253" i="2"/>
  <c r="BI27" i="82"/>
  <c r="AU213" i="2"/>
  <c r="BI42" i="82"/>
  <c r="AU259" i="2"/>
  <c r="AZ37" i="82"/>
  <c r="AT302" i="2"/>
  <c r="BI62" i="82"/>
  <c r="AU316" i="2"/>
  <c r="AZ129" i="1"/>
  <c r="BI32" i="1"/>
  <c r="Q76" i="2"/>
  <c r="BI29" i="1"/>
  <c r="Q73" i="2"/>
  <c r="AZ45" i="1"/>
  <c r="P278" i="2"/>
  <c r="BI33" i="1"/>
  <c r="Q77" i="2"/>
  <c r="AZ46" i="1"/>
  <c r="P279" i="2"/>
  <c r="BI28" i="1"/>
  <c r="Q72" i="2"/>
  <c r="AZ48" i="1"/>
  <c r="P281" i="2"/>
  <c r="AZ63" i="1"/>
  <c r="P322" i="2"/>
  <c r="BI61" i="1"/>
  <c r="Q266" i="2"/>
  <c r="BI97" i="1"/>
  <c r="Q317" i="2"/>
  <c r="BI5" i="1"/>
  <c r="Q50" i="2"/>
  <c r="BI31" i="1"/>
  <c r="Q75" i="2"/>
  <c r="BI118" i="1"/>
  <c r="Q346" i="2"/>
  <c r="BI67" i="1"/>
  <c r="Q272" i="2"/>
  <c r="BI89" i="1"/>
  <c r="Q309" i="2"/>
  <c r="BI119" i="1"/>
  <c r="Q347" i="2"/>
  <c r="BI108" i="1"/>
  <c r="Q336" i="2"/>
  <c r="BI81" i="1"/>
  <c r="Q293" i="2"/>
  <c r="AZ52" i="1"/>
  <c r="P289" i="2"/>
  <c r="AZ23" i="1"/>
  <c r="P79" i="2"/>
  <c r="AZ55" i="1"/>
  <c r="P298" i="2"/>
  <c r="BI115" i="1"/>
  <c r="Q343" i="2"/>
  <c r="BI82" i="1"/>
  <c r="Q294" i="2"/>
  <c r="AZ56" i="1"/>
  <c r="P299" i="2"/>
  <c r="BI79" i="1"/>
  <c r="Q291" i="2"/>
  <c r="AZ54" i="1"/>
  <c r="P297" i="2"/>
  <c r="AZ5" i="1"/>
  <c r="P39" i="2"/>
  <c r="AZ13" i="1"/>
  <c r="P47" i="2"/>
  <c r="BI74" i="1"/>
  <c r="Q279" i="2"/>
  <c r="AZ20" i="1"/>
  <c r="P76" i="2"/>
  <c r="BI68" i="1"/>
  <c r="Q273" i="2"/>
  <c r="AZ68" i="1"/>
  <c r="P327" i="2"/>
  <c r="AZ73" i="1"/>
  <c r="P332" i="2"/>
  <c r="AZ69" i="1"/>
  <c r="P328" i="2"/>
  <c r="AZ72" i="1"/>
  <c r="P331" i="2"/>
  <c r="BI62" i="1"/>
  <c r="Q267" i="2"/>
  <c r="AZ36" i="1"/>
  <c r="P243" i="2"/>
  <c r="AZ50" i="1"/>
  <c r="P287" i="2"/>
  <c r="AZ38" i="1"/>
  <c r="P261" i="2"/>
  <c r="AZ41" i="1"/>
  <c r="P264" i="2"/>
  <c r="BI88" i="1"/>
  <c r="Q308" i="2"/>
  <c r="BI24" i="1"/>
  <c r="Q69" i="2"/>
  <c r="AZ128" i="1"/>
  <c r="BI130" i="1"/>
  <c r="AZ130" i="1"/>
  <c r="AZ60" i="1"/>
  <c r="P303" i="2"/>
  <c r="BI65" i="1"/>
  <c r="Q270" i="2"/>
  <c r="BI106" i="1"/>
  <c r="Q334" i="2"/>
  <c r="AZ42" i="1"/>
  <c r="P265" i="2"/>
  <c r="AZ8" i="1"/>
  <c r="P42" i="2"/>
  <c r="BI98" i="1"/>
  <c r="Q318" i="2"/>
  <c r="AZ11" i="1"/>
  <c r="P45" i="2"/>
  <c r="AZ40" i="1"/>
  <c r="P263" i="2"/>
  <c r="BI85" i="1"/>
  <c r="Q305" i="2"/>
  <c r="BI30" i="1"/>
  <c r="Q74" i="2"/>
  <c r="AZ39" i="1"/>
  <c r="P262" i="2"/>
  <c r="BI110" i="1"/>
  <c r="Q338" i="2"/>
  <c r="BI53" i="1"/>
  <c r="Q253" i="2"/>
  <c r="AZ67" i="1"/>
  <c r="P326" i="2"/>
  <c r="AZ58" i="1"/>
  <c r="P301" i="2"/>
  <c r="AZ31" i="1"/>
  <c r="P238" i="2"/>
  <c r="BI93" i="1"/>
  <c r="Q313" i="2"/>
  <c r="BI46" i="1"/>
  <c r="Q246" i="2"/>
  <c r="AZ74" i="1"/>
  <c r="P333" i="2"/>
  <c r="BI25" i="1"/>
  <c r="Q48" i="2"/>
  <c r="BI59" i="1"/>
  <c r="Q259" i="2"/>
  <c r="AZ10" i="1"/>
  <c r="P44" i="2"/>
  <c r="AZ26" i="1"/>
  <c r="P227" i="2"/>
  <c r="AZ65" i="1"/>
  <c r="P324" i="2"/>
  <c r="BI13" i="1"/>
  <c r="Q58" i="2"/>
  <c r="AZ9" i="1"/>
  <c r="P43" i="2"/>
  <c r="BI94" i="1"/>
  <c r="Q314" i="2"/>
  <c r="AZ51" i="1"/>
  <c r="P288" i="2"/>
  <c r="BI22" i="1"/>
  <c r="Q67" i="2"/>
  <c r="AZ33" i="1"/>
  <c r="P240" i="2"/>
  <c r="BI34" i="1"/>
  <c r="Q78" i="2"/>
  <c r="BI52" i="1"/>
  <c r="Q252" i="2"/>
  <c r="AZ70" i="1"/>
  <c r="P329" i="2"/>
  <c r="BI16" i="1"/>
  <c r="Q61" i="2"/>
  <c r="AZ71" i="1"/>
  <c r="P330" i="2"/>
  <c r="BI56" i="1"/>
  <c r="Q256" i="2"/>
  <c r="AZ34" i="1"/>
  <c r="P241" i="2"/>
  <c r="BI51" i="1"/>
  <c r="Q251" i="2"/>
  <c r="AZ7" i="1"/>
  <c r="P41" i="2"/>
  <c r="AZ64" i="1"/>
  <c r="P323" i="2"/>
  <c r="AZ47" i="1"/>
  <c r="P280" i="2"/>
  <c r="BI102" i="1"/>
  <c r="Q322" i="2"/>
  <c r="BI121" i="1"/>
  <c r="Q349" i="2"/>
  <c r="BI64" i="1"/>
  <c r="Q269" i="2"/>
  <c r="BI103" i="1"/>
  <c r="Q323" i="2"/>
  <c r="AZ76" i="1"/>
  <c r="P351" i="2"/>
  <c r="BI90" i="1"/>
  <c r="Q310" i="2"/>
  <c r="BI35" i="1"/>
  <c r="Q79" i="2"/>
  <c r="BI54" i="1"/>
  <c r="Q254" i="2"/>
  <c r="BI40" i="1"/>
  <c r="Q232" i="2"/>
  <c r="BI120" i="1"/>
  <c r="Q348" i="2"/>
  <c r="AZ32" i="1"/>
  <c r="P239" i="2"/>
  <c r="BI50" i="1"/>
  <c r="Q250" i="2"/>
  <c r="BI80" i="1"/>
  <c r="Q292" i="2"/>
  <c r="AZ59" i="1"/>
  <c r="P302" i="2"/>
  <c r="BI19" i="1"/>
  <c r="Q64" i="2"/>
  <c r="AZ35" i="1"/>
  <c r="P242" i="2"/>
  <c r="AZ12" i="1"/>
  <c r="P46" i="2"/>
  <c r="BI69" i="1"/>
  <c r="Q274" i="2"/>
  <c r="BI39" i="1"/>
  <c r="Q231" i="2"/>
  <c r="BI99" i="1"/>
  <c r="Q319" i="2"/>
  <c r="BI116" i="1"/>
  <c r="Q344" i="2"/>
  <c r="BI114" i="1"/>
  <c r="Q342" i="2"/>
  <c r="BI111" i="1"/>
  <c r="Q339" i="2"/>
  <c r="BI92" i="1"/>
  <c r="Q312" i="2"/>
  <c r="BI96" i="1"/>
  <c r="Q316" i="2"/>
  <c r="AZ61" i="1"/>
  <c r="P304" i="2"/>
  <c r="BI87" i="1"/>
  <c r="Q307" i="2"/>
  <c r="BI70" i="1"/>
  <c r="Q275" i="2"/>
  <c r="BI47" i="1"/>
  <c r="Q247" i="2"/>
  <c r="BI10" i="1"/>
  <c r="Q55" i="2"/>
  <c r="BI113" i="1"/>
  <c r="Q341" i="2"/>
  <c r="BI95" i="1"/>
  <c r="Q315" i="2"/>
  <c r="AZ44" i="1"/>
  <c r="P277" i="2"/>
  <c r="BI100" i="1"/>
  <c r="Q320" i="2"/>
  <c r="BI91" i="1"/>
  <c r="Q311" i="2"/>
  <c r="BI73" i="1"/>
  <c r="Q278" i="2"/>
  <c r="BI107" i="1"/>
  <c r="Q335" i="2"/>
  <c r="BI83" i="1"/>
  <c r="Q295" i="2"/>
  <c r="AZ30" i="1"/>
  <c r="P237" i="2"/>
  <c r="BI58" i="1"/>
  <c r="Q258" i="2"/>
  <c r="BI12" i="1"/>
  <c r="Q57" i="2"/>
  <c r="BI123" i="1"/>
  <c r="Q351" i="2"/>
  <c r="AZ57" i="1"/>
  <c r="P300" i="2"/>
  <c r="BI78" i="1"/>
  <c r="Q290" i="2"/>
  <c r="BI86" i="1"/>
  <c r="Q306" i="2"/>
  <c r="BI128" i="1"/>
  <c r="Q355" i="2"/>
  <c r="BJ82" i="67"/>
  <c r="BK82" i="67"/>
  <c r="G294" i="2"/>
  <c r="H294" i="2"/>
  <c r="BH70" i="61"/>
  <c r="BI70" i="61"/>
  <c r="BJ82" i="73"/>
  <c r="BK82" i="73"/>
  <c r="BJ82" i="1"/>
  <c r="BK82" i="1"/>
  <c r="BJ68" i="66"/>
  <c r="BK68" i="66"/>
  <c r="BJ82" i="70"/>
  <c r="BK82" i="70"/>
  <c r="BJ82" i="74"/>
  <c r="BK82" i="74"/>
  <c r="BJ64" i="75"/>
  <c r="BK64" i="75"/>
  <c r="BJ64" i="69"/>
  <c r="BK64" i="69"/>
  <c r="BH70" i="64"/>
  <c r="BI70" i="64"/>
  <c r="BH70" i="47"/>
  <c r="BI70" i="47"/>
  <c r="BJ68" i="71"/>
  <c r="BK68" i="71"/>
  <c r="BJ64" i="76"/>
  <c r="BH70" i="60"/>
  <c r="BI70" i="60"/>
  <c r="BJ65" i="68"/>
  <c r="BK65" i="68"/>
  <c r="BJ119" i="73"/>
  <c r="BH123" i="61"/>
  <c r="BI123" i="61"/>
  <c r="BH123" i="60"/>
  <c r="BI123" i="60"/>
  <c r="BJ101" i="71"/>
  <c r="BK101" i="71"/>
  <c r="G347" i="2"/>
  <c r="H347" i="2"/>
  <c r="BJ93" i="76"/>
  <c r="BH123" i="47"/>
  <c r="BI123" i="47"/>
  <c r="BJ119" i="74"/>
  <c r="BJ119" i="70"/>
  <c r="BK119" i="70"/>
  <c r="BH123" i="64"/>
  <c r="BI123" i="64"/>
  <c r="BJ101" i="66"/>
  <c r="BK101" i="66"/>
  <c r="BJ64" i="77"/>
  <c r="BK64" i="77"/>
  <c r="BJ119" i="1"/>
  <c r="BK119" i="1"/>
  <c r="BJ119" i="67"/>
  <c r="BK119" i="67"/>
  <c r="BJ94" i="68"/>
  <c r="BK94" i="68"/>
  <c r="BJ93" i="69"/>
  <c r="BK93" i="69"/>
  <c r="BJ93" i="75"/>
  <c r="BK93" i="75"/>
  <c r="BI29" i="81"/>
  <c r="AS73" i="2"/>
  <c r="BI34" i="81"/>
  <c r="AS78" i="2"/>
  <c r="BI27" i="81"/>
  <c r="AS71" i="2"/>
  <c r="AZ47" i="81"/>
  <c r="AR304" i="2"/>
  <c r="BI32" i="81"/>
  <c r="AS76" i="2"/>
  <c r="BI41" i="81"/>
  <c r="AS248" i="2"/>
  <c r="AZ11" i="81"/>
  <c r="AR112" i="2"/>
  <c r="BI25" i="81"/>
  <c r="AS48" i="2"/>
  <c r="AZ26" i="81"/>
  <c r="AR237" i="2"/>
  <c r="BI71" i="81"/>
  <c r="AS311" i="2"/>
  <c r="BI30" i="81"/>
  <c r="AS74" i="2"/>
  <c r="BI74" i="81"/>
  <c r="AS314" i="2"/>
  <c r="BI73" i="81"/>
  <c r="AS313" i="2"/>
  <c r="BI87" i="81"/>
  <c r="AZ86" i="81"/>
  <c r="AZ28" i="81"/>
  <c r="AR239" i="2"/>
  <c r="AZ31" i="81"/>
  <c r="AR242" i="2"/>
  <c r="AZ41" i="81"/>
  <c r="AR298" i="2"/>
  <c r="AZ44" i="81"/>
  <c r="AR301" i="2"/>
  <c r="AZ43" i="81"/>
  <c r="AR300" i="2"/>
  <c r="AZ85" i="81"/>
  <c r="BI35" i="81"/>
  <c r="AS79" i="2"/>
  <c r="AZ35" i="81"/>
  <c r="AR262" i="2"/>
  <c r="BI68" i="81"/>
  <c r="AS308" i="2"/>
  <c r="AZ87" i="81"/>
  <c r="AZ36" i="81"/>
  <c r="AR263" i="2"/>
  <c r="AZ13" i="81"/>
  <c r="AR114" i="2"/>
  <c r="AZ42" i="81"/>
  <c r="AR299" i="2"/>
  <c r="AZ9" i="81"/>
  <c r="AR110" i="2"/>
  <c r="AZ10" i="81"/>
  <c r="AR111" i="2"/>
  <c r="BI31" i="81"/>
  <c r="AS75" i="2"/>
  <c r="BI70" i="81"/>
  <c r="AS310" i="2"/>
  <c r="BI55" i="81"/>
  <c r="AS267" i="2"/>
  <c r="AZ27" i="81"/>
  <c r="AR238" i="2"/>
  <c r="BI22" i="81"/>
  <c r="AS133" i="2"/>
  <c r="BI44" i="81"/>
  <c r="AS251" i="2"/>
  <c r="BI49" i="81"/>
  <c r="AS256" i="2"/>
  <c r="BI77" i="81"/>
  <c r="AS317" i="2"/>
  <c r="AZ37" i="81"/>
  <c r="AR264" i="2"/>
  <c r="BI24" i="81"/>
  <c r="AS135" i="2"/>
  <c r="AZ29" i="81"/>
  <c r="AR240" i="2"/>
  <c r="BI18" i="81"/>
  <c r="AS129" i="2"/>
  <c r="AZ32" i="81"/>
  <c r="AR243" i="2"/>
  <c r="BI57" i="81"/>
  <c r="AS269" i="2"/>
  <c r="AZ40" i="81"/>
  <c r="AR297" i="2"/>
  <c r="AZ5" i="81"/>
  <c r="AR106" i="2"/>
  <c r="BI67" i="81"/>
  <c r="AS307" i="2"/>
  <c r="BI60" i="81"/>
  <c r="AS272" i="2"/>
  <c r="BI45" i="81"/>
  <c r="AS252" i="2"/>
  <c r="AZ38" i="81"/>
  <c r="AR265" i="2"/>
  <c r="BI9" i="81"/>
  <c r="AS120" i="2"/>
  <c r="BI59" i="81"/>
  <c r="AS271" i="2"/>
  <c r="BI42" i="81"/>
  <c r="AS249" i="2"/>
  <c r="AZ34" i="81"/>
  <c r="AR261" i="2"/>
  <c r="AZ30" i="81"/>
  <c r="AR241" i="2"/>
  <c r="AZ25" i="81"/>
  <c r="AR236" i="2"/>
  <c r="BI21" i="81"/>
  <c r="AS132" i="2"/>
  <c r="BI14" i="81"/>
  <c r="AS125" i="2"/>
  <c r="AZ46" i="81"/>
  <c r="AR303" i="2"/>
  <c r="AZ45" i="81"/>
  <c r="AR302" i="2"/>
  <c r="AZ7" i="81"/>
  <c r="AR108" i="2"/>
  <c r="AZ8" i="81"/>
  <c r="AR109" i="2"/>
  <c r="BI75" i="81"/>
  <c r="AS315" i="2"/>
  <c r="BI63" i="81"/>
  <c r="AS275" i="2"/>
  <c r="BI15" i="81"/>
  <c r="AS126" i="2"/>
  <c r="BI56" i="81"/>
  <c r="AS268" i="2"/>
  <c r="BI80" i="81"/>
  <c r="AS320" i="2"/>
  <c r="BI78" i="81"/>
  <c r="AS318" i="2"/>
  <c r="BI11" i="81"/>
  <c r="AS122" i="2"/>
  <c r="BI65" i="81"/>
  <c r="AS305" i="2"/>
  <c r="BI51" i="81"/>
  <c r="AS258" i="2"/>
  <c r="BI10" i="81"/>
  <c r="AS121" i="2"/>
  <c r="BI54" i="81"/>
  <c r="AS266" i="2"/>
  <c r="BI33" i="81"/>
  <c r="AS77" i="2"/>
  <c r="AZ6" i="81"/>
  <c r="AR107" i="2"/>
  <c r="BI79" i="81"/>
  <c r="AS319" i="2"/>
  <c r="BI61" i="81"/>
  <c r="AS273" i="2"/>
  <c r="BI6" i="81"/>
  <c r="AS117" i="2"/>
  <c r="BI76" i="81"/>
  <c r="AS316" i="2"/>
  <c r="BI69" i="81"/>
  <c r="AS309" i="2"/>
  <c r="BI46" i="81"/>
  <c r="AS253" i="2"/>
  <c r="BJ69" i="80"/>
  <c r="BK69" i="80"/>
  <c r="AZ57" i="64"/>
  <c r="BA57" i="64"/>
  <c r="BJ54" i="69"/>
  <c r="BK54" i="69"/>
  <c r="BJ61" i="81"/>
  <c r="BK61" i="81"/>
  <c r="BJ68" i="73"/>
  <c r="BK68" i="73"/>
  <c r="BJ58" i="66"/>
  <c r="BK58" i="66"/>
  <c r="AZ57" i="61"/>
  <c r="BA57" i="61"/>
  <c r="G273" i="2"/>
  <c r="H273" i="2"/>
  <c r="AZ57" i="47"/>
  <c r="BA57" i="47"/>
  <c r="AZ57" i="60"/>
  <c r="BA57" i="60"/>
  <c r="BJ54" i="75"/>
  <c r="BK54" i="75"/>
  <c r="BJ68" i="1"/>
  <c r="BK68" i="1"/>
  <c r="BJ55" i="68"/>
  <c r="BJ68" i="70"/>
  <c r="BK68" i="70"/>
  <c r="BJ58" i="71"/>
  <c r="BK58" i="71"/>
  <c r="BJ68" i="74"/>
  <c r="BK68" i="74"/>
  <c r="BJ68" i="67"/>
  <c r="BJ81" i="78"/>
  <c r="BJ54" i="76"/>
  <c r="BK54" i="76"/>
  <c r="BJ51" i="82"/>
  <c r="BH105" i="64"/>
  <c r="BI105" i="64"/>
  <c r="G329" i="2"/>
  <c r="H329" i="2"/>
  <c r="BA70" i="67"/>
  <c r="BB70" i="67"/>
  <c r="BA39" i="77"/>
  <c r="BB39" i="77"/>
  <c r="BA60" i="71"/>
  <c r="BB60" i="71"/>
  <c r="BA70" i="74"/>
  <c r="BB70" i="74"/>
  <c r="BA56" i="69"/>
  <c r="BB56" i="69"/>
  <c r="BA70" i="73"/>
  <c r="BB70" i="73"/>
  <c r="BH105" i="60"/>
  <c r="BI105" i="60"/>
  <c r="BA60" i="66"/>
  <c r="BB60" i="66"/>
  <c r="BA56" i="76"/>
  <c r="BB56" i="76"/>
  <c r="BH105" i="61"/>
  <c r="BI105" i="61"/>
  <c r="BA56" i="68"/>
  <c r="BB56" i="68"/>
  <c r="BA56" i="75"/>
  <c r="BB56" i="75"/>
  <c r="BA70" i="70"/>
  <c r="BB70" i="70"/>
  <c r="BH105" i="47"/>
  <c r="BI105" i="47"/>
  <c r="BA70" i="1"/>
  <c r="BB70" i="1"/>
  <c r="BA62" i="76"/>
  <c r="BB62" i="76"/>
  <c r="BA66" i="71"/>
  <c r="BB66" i="71"/>
  <c r="BJ105" i="66"/>
  <c r="BJ97" i="75"/>
  <c r="BK97" i="75"/>
  <c r="BA76" i="70"/>
  <c r="BB76" i="70"/>
  <c r="BJ123" i="70"/>
  <c r="BK123" i="70"/>
  <c r="BA76" i="1"/>
  <c r="BB76" i="1"/>
  <c r="BJ123" i="73"/>
  <c r="BJ97" i="69"/>
  <c r="BK97" i="69"/>
  <c r="BJ66" i="77"/>
  <c r="G351" i="2"/>
  <c r="H351" i="2"/>
  <c r="BA62" i="75"/>
  <c r="BB62" i="75"/>
  <c r="AZ6" i="38"/>
  <c r="BA6" i="38"/>
  <c r="BA76" i="74"/>
  <c r="BB76" i="74"/>
  <c r="BJ97" i="76"/>
  <c r="BA44" i="77"/>
  <c r="BB44" i="77"/>
  <c r="BJ123" i="67"/>
  <c r="BK123" i="67"/>
  <c r="BA62" i="68"/>
  <c r="BB62" i="68"/>
  <c r="BJ123" i="1"/>
  <c r="BK123" i="1"/>
  <c r="BJ123" i="74"/>
  <c r="BK123" i="74"/>
  <c r="BJ105" i="71"/>
  <c r="BA76" i="67"/>
  <c r="BB76" i="67"/>
  <c r="BA66" i="66"/>
  <c r="BB66" i="66"/>
  <c r="BJ98" i="68"/>
  <c r="BA62" i="69"/>
  <c r="BB62" i="69"/>
  <c r="BA76" i="73"/>
  <c r="BB76" i="73"/>
  <c r="BA64" i="68"/>
  <c r="BB64" i="68"/>
  <c r="BA51" i="80"/>
  <c r="BA49" i="81"/>
  <c r="BB49" i="81"/>
  <c r="BJ24" i="74"/>
  <c r="BK24" i="74"/>
  <c r="BA78" i="74"/>
  <c r="BB78" i="74"/>
  <c r="BA60" i="78"/>
  <c r="BB60" i="78"/>
  <c r="BA78" i="73"/>
  <c r="BB78" i="73"/>
  <c r="BA78" i="67"/>
  <c r="BB78" i="67"/>
  <c r="BA36" i="82"/>
  <c r="BB36" i="82"/>
  <c r="BH77" i="60"/>
  <c r="BI77" i="60"/>
  <c r="BA58" i="74"/>
  <c r="BB58" i="74"/>
  <c r="BA58" i="1"/>
  <c r="BB58" i="1"/>
  <c r="BH77" i="61"/>
  <c r="BI77" i="61"/>
  <c r="BA46" i="68"/>
  <c r="BB46" i="68"/>
  <c r="BA58" i="67"/>
  <c r="BB58" i="67"/>
  <c r="BA49" i="66"/>
  <c r="BB49" i="66"/>
  <c r="BA45" i="80"/>
  <c r="BB45" i="80"/>
  <c r="BA44" i="81"/>
  <c r="BB44" i="81"/>
  <c r="BH77" i="64"/>
  <c r="BI77" i="64"/>
  <c r="BA58" i="73"/>
  <c r="BB58" i="73"/>
  <c r="BA54" i="78"/>
  <c r="BB54" i="78"/>
  <c r="BH77" i="47"/>
  <c r="BI77" i="47"/>
  <c r="G301" i="2"/>
  <c r="H301" i="2"/>
  <c r="BA49" i="71"/>
  <c r="BB49" i="71"/>
  <c r="BA31" i="77"/>
  <c r="BB31" i="77"/>
  <c r="BA58" i="70"/>
  <c r="BB58" i="70"/>
  <c r="BA46" i="75"/>
  <c r="BB46" i="75"/>
  <c r="BA70" i="77"/>
  <c r="BB70" i="77"/>
  <c r="BJ70" i="77"/>
  <c r="AZ8" i="38"/>
  <c r="BA8" i="38"/>
  <c r="G353" i="2"/>
  <c r="H353" i="2"/>
  <c r="AZ19" i="1"/>
  <c r="P75" i="2"/>
  <c r="BI53" i="78"/>
  <c r="AO77" i="2"/>
  <c r="BI54" i="78"/>
  <c r="AO78" i="2"/>
  <c r="BI48" i="78"/>
  <c r="AO72" i="2"/>
  <c r="BI45" i="78"/>
  <c r="AO48" i="2"/>
  <c r="BI49" i="78"/>
  <c r="AO73" i="2"/>
  <c r="AZ40" i="78"/>
  <c r="AN241" i="2"/>
  <c r="BI52" i="78"/>
  <c r="AO76" i="2"/>
  <c r="BI50" i="78"/>
  <c r="AO74" i="2"/>
  <c r="AZ106" i="78"/>
  <c r="BI88" i="78"/>
  <c r="AO308" i="2"/>
  <c r="BI55" i="78"/>
  <c r="AO79" i="2"/>
  <c r="AZ53" i="78"/>
  <c r="AN300" i="2"/>
  <c r="AZ55" i="78"/>
  <c r="AN302" i="2"/>
  <c r="AZ37" i="78"/>
  <c r="AN238" i="2"/>
  <c r="AZ107" i="78"/>
  <c r="AZ105" i="78"/>
  <c r="AZ51" i="78"/>
  <c r="AN298" i="2"/>
  <c r="BI66" i="78"/>
  <c r="AO253" i="2"/>
  <c r="AZ36" i="78"/>
  <c r="AN237" i="2"/>
  <c r="AZ38" i="78"/>
  <c r="AN239" i="2"/>
  <c r="BI107" i="78"/>
  <c r="AZ48" i="78"/>
  <c r="AN265" i="2"/>
  <c r="BI47" i="78"/>
  <c r="AO71" i="2"/>
  <c r="AZ39" i="78"/>
  <c r="AN240" i="2"/>
  <c r="AZ56" i="78"/>
  <c r="AN303" i="2"/>
  <c r="BI51" i="78"/>
  <c r="AO75" i="2"/>
  <c r="AZ54" i="78"/>
  <c r="AN301" i="2"/>
  <c r="AZ20" i="78"/>
  <c r="AN111" i="2"/>
  <c r="BI74" i="78"/>
  <c r="AO266" i="2"/>
  <c r="AZ6" i="78"/>
  <c r="AN40" i="2"/>
  <c r="AZ23" i="78"/>
  <c r="AN114" i="2"/>
  <c r="AZ45" i="78"/>
  <c r="AN262" i="2"/>
  <c r="AZ50" i="78"/>
  <c r="AN297" i="2"/>
  <c r="AZ52" i="78"/>
  <c r="AN299" i="2"/>
  <c r="AZ46" i="78"/>
  <c r="AN263" i="2"/>
  <c r="AZ10" i="78"/>
  <c r="AN44" i="2"/>
  <c r="BI59" i="78"/>
  <c r="AO246" i="2"/>
  <c r="BI43" i="78"/>
  <c r="AO69" i="2"/>
  <c r="AZ8" i="78"/>
  <c r="AN42" i="2"/>
  <c r="BI64" i="78"/>
  <c r="AO251" i="2"/>
  <c r="BI97" i="78"/>
  <c r="AO317" i="2"/>
  <c r="BI100" i="78"/>
  <c r="AO320" i="2"/>
  <c r="BI94" i="78"/>
  <c r="AO314" i="2"/>
  <c r="AZ11" i="78"/>
  <c r="AN45" i="2"/>
  <c r="AZ44" i="78"/>
  <c r="AN261" i="2"/>
  <c r="AZ41" i="78"/>
  <c r="AN242" i="2"/>
  <c r="AZ57" i="78"/>
  <c r="AN304" i="2"/>
  <c r="AZ42" i="78"/>
  <c r="AN243" i="2"/>
  <c r="BI89" i="78"/>
  <c r="AO309" i="2"/>
  <c r="AZ7" i="78"/>
  <c r="AN41" i="2"/>
  <c r="AZ35" i="78"/>
  <c r="AN236" i="2"/>
  <c r="AZ47" i="78"/>
  <c r="AN264" i="2"/>
  <c r="AZ18" i="78"/>
  <c r="AN109" i="2"/>
  <c r="BI85" i="78"/>
  <c r="AO305" i="2"/>
  <c r="BI44" i="78"/>
  <c r="AO135" i="2"/>
  <c r="AZ12" i="78"/>
  <c r="AN46" i="2"/>
  <c r="BI20" i="78"/>
  <c r="AO65" i="2"/>
  <c r="BI12" i="78"/>
  <c r="AO57" i="2"/>
  <c r="BI92" i="78"/>
  <c r="AO312" i="2"/>
  <c r="AZ5" i="78"/>
  <c r="AN39" i="2"/>
  <c r="AZ9" i="78"/>
  <c r="AN43" i="2"/>
  <c r="BI69" i="78"/>
  <c r="AO256" i="2"/>
  <c r="AZ16" i="78"/>
  <c r="AN107" i="2"/>
  <c r="BI78" i="78"/>
  <c r="AO270" i="2"/>
  <c r="AZ13" i="78"/>
  <c r="AN47" i="2"/>
  <c r="BI80" i="78"/>
  <c r="AO272" i="2"/>
  <c r="BI75" i="78"/>
  <c r="AO267" i="2"/>
  <c r="BI82" i="78"/>
  <c r="AO274" i="2"/>
  <c r="BI26" i="78"/>
  <c r="AO118" i="2"/>
  <c r="BI7" i="78"/>
  <c r="AO52" i="2"/>
  <c r="BI79" i="78"/>
  <c r="AO271" i="2"/>
  <c r="BI38" i="78"/>
  <c r="AO130" i="2"/>
  <c r="BI95" i="78"/>
  <c r="AO315" i="2"/>
  <c r="BJ117" i="73"/>
  <c r="BK117" i="73"/>
  <c r="BJ117" i="70"/>
  <c r="BJ117" i="67"/>
  <c r="BK117" i="67"/>
  <c r="BJ117" i="74"/>
  <c r="BH121" i="61"/>
  <c r="BI121" i="61"/>
  <c r="BJ92" i="68"/>
  <c r="BK92" i="68"/>
  <c r="G345" i="2"/>
  <c r="H345" i="2"/>
  <c r="BJ91" i="75"/>
  <c r="BK91" i="75"/>
  <c r="BJ91" i="76"/>
  <c r="BJ99" i="66"/>
  <c r="BK99" i="66"/>
  <c r="BH121" i="47"/>
  <c r="BI121" i="47"/>
  <c r="BJ117" i="1"/>
  <c r="BJ62" i="77"/>
  <c r="BK62" i="77"/>
  <c r="BH121" i="60"/>
  <c r="BI121" i="60"/>
  <c r="BJ91" i="69"/>
  <c r="BK91" i="69"/>
  <c r="BJ99" i="71"/>
  <c r="BK99" i="71"/>
  <c r="BH121" i="64"/>
  <c r="BI121" i="64"/>
  <c r="G236" i="2"/>
  <c r="H236" i="2"/>
  <c r="BA35" i="78"/>
  <c r="BB35" i="78"/>
  <c r="BA29" i="70"/>
  <c r="BB29" i="70"/>
  <c r="BA29" i="73"/>
  <c r="BB29" i="73"/>
  <c r="BA29" i="74"/>
  <c r="BB29" i="74"/>
  <c r="BA29" i="1"/>
  <c r="BA29" i="67"/>
  <c r="BB29" i="67"/>
  <c r="BA25" i="81"/>
  <c r="BD27" i="68"/>
  <c r="BE27" i="68" s="1"/>
  <c r="D76" i="2"/>
  <c r="AU25" i="80"/>
  <c r="AU20" i="73"/>
  <c r="BA20" i="73" s="1"/>
  <c r="BB20" i="73" s="1"/>
  <c r="AU12" i="77"/>
  <c r="AV12" i="77" s="1"/>
  <c r="C76" i="2"/>
  <c r="BD32" i="73"/>
  <c r="BD32" i="67"/>
  <c r="AU20" i="81"/>
  <c r="AW20" i="81" s="1"/>
  <c r="BD27" i="71"/>
  <c r="AU16" i="68"/>
  <c r="AV16" i="68" s="1"/>
  <c r="BC17" i="47"/>
  <c r="BE17" i="47" s="1"/>
  <c r="AU20" i="70"/>
  <c r="AW20" i="70" s="1"/>
  <c r="BD43" i="80"/>
  <c r="E76" i="2"/>
  <c r="AU20" i="67"/>
  <c r="AW20" i="67" s="1"/>
  <c r="BD32" i="81"/>
  <c r="BE32" i="81" s="1"/>
  <c r="BC17" i="64"/>
  <c r="BD32" i="1"/>
  <c r="BD52" i="78"/>
  <c r="L76" i="2"/>
  <c r="AU20" i="1"/>
  <c r="AU20" i="74"/>
  <c r="BA20" i="74" s="1"/>
  <c r="BB20" i="74" s="1"/>
  <c r="AU30" i="78"/>
  <c r="BA30" i="78" s="1"/>
  <c r="BB30" i="78" s="1"/>
  <c r="G76" i="2"/>
  <c r="H76" i="2" s="1"/>
  <c r="K76" i="2"/>
  <c r="BD34" i="73"/>
  <c r="C78" i="2"/>
  <c r="BD29" i="66"/>
  <c r="AU22" i="74"/>
  <c r="L78" i="2"/>
  <c r="AU19" i="71"/>
  <c r="BA19" i="71" s="1"/>
  <c r="BB19" i="71" s="1"/>
  <c r="BD34" i="1"/>
  <c r="BJ34" i="1" s="1"/>
  <c r="BK34" i="1" s="1"/>
  <c r="BD45" i="80"/>
  <c r="BF45" i="80" s="1"/>
  <c r="BD34" i="81"/>
  <c r="AU27" i="80"/>
  <c r="BA27" i="80" s="1"/>
  <c r="BB27" i="80" s="1"/>
  <c r="BD29" i="68"/>
  <c r="AU19" i="66"/>
  <c r="AU22" i="67"/>
  <c r="D78" i="2"/>
  <c r="G78" i="2"/>
  <c r="H78" i="2" s="1"/>
  <c r="K78" i="2"/>
  <c r="BD34" i="70"/>
  <c r="AU22" i="1"/>
  <c r="BA22" i="1" s="1"/>
  <c r="BB22" i="1" s="1"/>
  <c r="AU18" i="68"/>
  <c r="AW18" i="68" s="1"/>
  <c r="AU32" i="78"/>
  <c r="L37" i="2"/>
  <c r="C37" i="2"/>
  <c r="BD14" i="77"/>
  <c r="G37" i="2"/>
  <c r="H37" i="2"/>
  <c r="D37" i="2"/>
  <c r="E37" i="2"/>
  <c r="K37" i="2"/>
  <c r="L198" i="2"/>
  <c r="D198" i="2"/>
  <c r="G198" i="2"/>
  <c r="H198" i="2" s="1"/>
  <c r="C198" i="2"/>
  <c r="K198" i="2"/>
  <c r="G377" i="2"/>
  <c r="H377" i="2"/>
  <c r="C377" i="2"/>
  <c r="K377" i="2"/>
  <c r="D377" i="2"/>
  <c r="AU32" i="38"/>
  <c r="E377" i="2"/>
  <c r="L377" i="2"/>
  <c r="E95" i="2"/>
  <c r="D95" i="2"/>
  <c r="L95" i="2"/>
  <c r="G95" i="2"/>
  <c r="H95" i="2" s="1"/>
  <c r="BD11" i="71"/>
  <c r="BE11" i="71" s="1"/>
  <c r="K95" i="2"/>
  <c r="BD11" i="80"/>
  <c r="BJ11" i="80" s="1"/>
  <c r="BK11" i="80" s="1"/>
  <c r="BD5" i="80"/>
  <c r="D89" i="2"/>
  <c r="BD5" i="66"/>
  <c r="BJ5" i="66" s="1"/>
  <c r="BK5" i="66" s="1"/>
  <c r="L89" i="2"/>
  <c r="BC21" i="60"/>
  <c r="K89" i="2"/>
  <c r="C89" i="2"/>
  <c r="BC21" i="61"/>
  <c r="G89" i="2"/>
  <c r="H89" i="2" s="1"/>
  <c r="L47" i="2"/>
  <c r="K47" i="2"/>
  <c r="G47" i="2"/>
  <c r="H47" i="2" s="1"/>
  <c r="D47" i="2"/>
  <c r="AU13" i="78"/>
  <c r="AU13" i="1"/>
  <c r="BA13" i="1" s="1"/>
  <c r="BB13" i="1" s="1"/>
  <c r="E47" i="2"/>
  <c r="BC30" i="61"/>
  <c r="AU5" i="67"/>
  <c r="AW5" i="67" s="1"/>
  <c r="G106" i="2"/>
  <c r="H106" i="2" s="1"/>
  <c r="G164" i="2"/>
  <c r="H164" i="2" s="1"/>
  <c r="AU8" i="75"/>
  <c r="AU8" i="82"/>
  <c r="BA8" i="82" s="1"/>
  <c r="BB8" i="82" s="1"/>
  <c r="AU8" i="76"/>
  <c r="AV8" i="76" s="1"/>
  <c r="E164" i="2"/>
  <c r="AU8" i="69"/>
  <c r="AW8" i="69" s="1"/>
  <c r="C164" i="2"/>
  <c r="L164" i="2"/>
  <c r="C23" i="2"/>
  <c r="AU5" i="77"/>
  <c r="BA5" i="77" s="1"/>
  <c r="K23" i="2"/>
  <c r="L23" i="2"/>
  <c r="E23" i="2"/>
  <c r="D366" i="2"/>
  <c r="L366" i="2"/>
  <c r="C366" i="2"/>
  <c r="K366" i="2"/>
  <c r="G366" i="2"/>
  <c r="H366" i="2"/>
  <c r="E366" i="2"/>
  <c r="AU21" i="38"/>
  <c r="C36" i="2"/>
  <c r="D36" i="2"/>
  <c r="D62" i="2"/>
  <c r="E62" i="2"/>
  <c r="BC5" i="60"/>
  <c r="G62" i="2"/>
  <c r="H62" i="2" s="1"/>
  <c r="D368" i="2"/>
  <c r="L368" i="2"/>
  <c r="G368" i="2"/>
  <c r="H368" i="2"/>
  <c r="C368" i="2"/>
  <c r="K368" i="2"/>
  <c r="AU23" i="38"/>
  <c r="E368" i="2"/>
  <c r="AU82" i="61"/>
  <c r="L191" i="2"/>
  <c r="K191" i="2"/>
  <c r="AU82" i="47"/>
  <c r="AZ82" i="47" s="1"/>
  <c r="BA82" i="47" s="1"/>
  <c r="C191" i="2"/>
  <c r="AU84" i="70"/>
  <c r="AV84" i="70" s="1"/>
  <c r="E370" i="2"/>
  <c r="AU25" i="38"/>
  <c r="K370" i="2"/>
  <c r="D370" i="2"/>
  <c r="C370" i="2"/>
  <c r="G370" i="2"/>
  <c r="H370" i="2"/>
  <c r="L370" i="2"/>
  <c r="AU35" i="47"/>
  <c r="D137" i="2"/>
  <c r="AU35" i="61"/>
  <c r="AZ35" i="61" s="1"/>
  <c r="BA35" i="61" s="1"/>
  <c r="BC58" i="61"/>
  <c r="BC51" i="47"/>
  <c r="C137" i="2"/>
  <c r="AU5" i="68"/>
  <c r="E137" i="2"/>
  <c r="BC58" i="47"/>
  <c r="BD58" i="47" s="1"/>
  <c r="AU28" i="61"/>
  <c r="BC51" i="61"/>
  <c r="G137" i="2"/>
  <c r="H137" i="2" s="1"/>
  <c r="AU29" i="38"/>
  <c r="C374" i="2"/>
  <c r="E374" i="2"/>
  <c r="G374" i="2"/>
  <c r="H374" i="2"/>
  <c r="K374" i="2"/>
  <c r="L374" i="2"/>
  <c r="D374" i="2"/>
  <c r="E64" i="2"/>
  <c r="L64" i="2"/>
  <c r="BD19" i="70"/>
  <c r="BF19" i="70" s="1"/>
  <c r="BC7" i="64"/>
  <c r="D64" i="2"/>
  <c r="BD19" i="1"/>
  <c r="BE19" i="1" s="1"/>
  <c r="BC7" i="60"/>
  <c r="BC7" i="61"/>
  <c r="G64" i="2"/>
  <c r="H64" i="2" s="1"/>
  <c r="AU32" i="61"/>
  <c r="AU32" i="47"/>
  <c r="C143" i="2"/>
  <c r="AU11" i="68"/>
  <c r="E143" i="2"/>
  <c r="G143" i="2"/>
  <c r="H143" i="2" s="1"/>
  <c r="BC55" i="47"/>
  <c r="L143" i="2"/>
  <c r="D143" i="2"/>
  <c r="E25" i="2"/>
  <c r="AU7" i="77"/>
  <c r="AU5" i="61"/>
  <c r="AW5" i="61" s="1"/>
  <c r="AU5" i="64"/>
  <c r="K25" i="2"/>
  <c r="L25" i="2"/>
  <c r="G25" i="2"/>
  <c r="H25" i="2" s="1"/>
  <c r="AU5" i="47"/>
  <c r="AU30" i="38"/>
  <c r="K375" i="2"/>
  <c r="E375" i="2"/>
  <c r="C375" i="2"/>
  <c r="G375" i="2"/>
  <c r="H375" i="2"/>
  <c r="L375" i="2"/>
  <c r="D375" i="2"/>
  <c r="BD14" i="73"/>
  <c r="BE14" i="73" s="1"/>
  <c r="BD14" i="67"/>
  <c r="K125" i="2"/>
  <c r="BD33" i="78"/>
  <c r="BD8" i="73"/>
  <c r="BJ8" i="73" s="1"/>
  <c r="BK8" i="73" s="1"/>
  <c r="BD8" i="67"/>
  <c r="G119" i="2"/>
  <c r="H119" i="2" s="1"/>
  <c r="D86" i="2"/>
  <c r="C86" i="2"/>
  <c r="AU10" i="80"/>
  <c r="C362" i="2"/>
  <c r="K362" i="2"/>
  <c r="G362" i="2"/>
  <c r="H362" i="2"/>
  <c r="D362" i="2"/>
  <c r="L362" i="2"/>
  <c r="AU17" i="38"/>
  <c r="E362" i="2"/>
  <c r="E40" i="2"/>
  <c r="AU6" i="1"/>
  <c r="AU17" i="47"/>
  <c r="AW17" i="47" s="1"/>
  <c r="G40" i="2"/>
  <c r="H40" i="2" s="1"/>
  <c r="L40" i="2"/>
  <c r="K40" i="2"/>
  <c r="AU6" i="78"/>
  <c r="D40" i="2"/>
  <c r="AU6" i="70"/>
  <c r="C180" i="2"/>
  <c r="D180" i="2"/>
  <c r="BD16" i="76"/>
  <c r="BD16" i="69"/>
  <c r="E180" i="2"/>
  <c r="BD16" i="75"/>
  <c r="L180" i="2"/>
  <c r="C130" i="2"/>
  <c r="BC39" i="47"/>
  <c r="BH39" i="47" s="1"/>
  <c r="BI39" i="47" s="1"/>
  <c r="BD19" i="81"/>
  <c r="G130" i="2"/>
  <c r="H130" i="2" s="1"/>
  <c r="K130" i="2"/>
  <c r="BD32" i="80"/>
  <c r="BD19" i="74"/>
  <c r="L130" i="2"/>
  <c r="D130" i="2"/>
  <c r="BD19" i="67"/>
  <c r="BD38" i="78"/>
  <c r="BJ38" i="78" s="1"/>
  <c r="BK38" i="78" s="1"/>
  <c r="G167" i="2"/>
  <c r="H167" i="2" s="1"/>
  <c r="AU11" i="76"/>
  <c r="C167" i="2"/>
  <c r="L167" i="2"/>
  <c r="AU11" i="82"/>
  <c r="E167" i="2"/>
  <c r="K167" i="2"/>
  <c r="L141" i="2"/>
  <c r="K141" i="2"/>
  <c r="C141" i="2"/>
  <c r="AU30" i="61"/>
  <c r="AU9" i="68"/>
  <c r="BA9" i="68" s="1"/>
  <c r="BB9" i="68" s="1"/>
  <c r="AU30" i="47"/>
  <c r="AV30" i="47" s="1"/>
  <c r="D141" i="2"/>
  <c r="G141" i="2"/>
  <c r="H141" i="2" s="1"/>
  <c r="C147" i="2"/>
  <c r="K147" i="2"/>
  <c r="AU31" i="47"/>
  <c r="BC54" i="47"/>
  <c r="AU10" i="68"/>
  <c r="E92" i="2"/>
  <c r="BD8" i="66"/>
  <c r="BJ8" i="66" s="1"/>
  <c r="BK8" i="66" s="1"/>
  <c r="G92" i="2"/>
  <c r="H92" i="2" s="1"/>
  <c r="D150" i="2"/>
  <c r="E150" i="2"/>
  <c r="BD10" i="68"/>
  <c r="BF10" i="68" s="1"/>
  <c r="L150" i="2"/>
  <c r="C150" i="2"/>
  <c r="G150" i="2"/>
  <c r="H150" i="2" s="1"/>
  <c r="K150" i="2"/>
  <c r="BD12" i="75"/>
  <c r="BD12" i="69"/>
  <c r="BJ12" i="69" s="1"/>
  <c r="D176" i="2"/>
  <c r="K176" i="2"/>
  <c r="BD12" i="76"/>
  <c r="G176" i="2"/>
  <c r="H176" i="2" s="1"/>
  <c r="L176" i="2"/>
  <c r="G74" i="2"/>
  <c r="H74" i="2" s="1"/>
  <c r="AU15" i="71"/>
  <c r="BD30" i="70"/>
  <c r="AU18" i="73"/>
  <c r="AW18" i="73" s="1"/>
  <c r="AU18" i="81"/>
  <c r="AV18" i="81" s="1"/>
  <c r="BD50" i="78"/>
  <c r="BD30" i="81"/>
  <c r="BE30" i="81" s="1"/>
  <c r="D74" i="2"/>
  <c r="BC15" i="60"/>
  <c r="BC15" i="47"/>
  <c r="BD41" i="80"/>
  <c r="AU10" i="77"/>
  <c r="BD25" i="66"/>
  <c r="BD30" i="67"/>
  <c r="AU18" i="67"/>
  <c r="BD30" i="73"/>
  <c r="BC15" i="64"/>
  <c r="BE15" i="64" s="1"/>
  <c r="AU23" i="80"/>
  <c r="BD17" i="77"/>
  <c r="BF17" i="77" s="1"/>
  <c r="AU15" i="66"/>
  <c r="AW15" i="66" s="1"/>
  <c r="BC15" i="61"/>
  <c r="AU18" i="70"/>
  <c r="C74" i="2"/>
  <c r="K74" i="2"/>
  <c r="BD30" i="1"/>
  <c r="BE30" i="1" s="1"/>
  <c r="D184" i="2"/>
  <c r="L184" i="2"/>
  <c r="E184" i="2"/>
  <c r="G184" i="2"/>
  <c r="H184" i="2"/>
  <c r="BD20" i="69"/>
  <c r="K184" i="2"/>
  <c r="C184" i="2"/>
  <c r="BD20" i="82"/>
  <c r="D151" i="2"/>
  <c r="G151" i="2"/>
  <c r="H151" i="2" s="1"/>
  <c r="C172" i="2"/>
  <c r="K172" i="2"/>
  <c r="L172" i="2"/>
  <c r="BD8" i="75"/>
  <c r="BD8" i="76"/>
  <c r="BE8" i="76" s="1"/>
  <c r="D172" i="2"/>
  <c r="BD8" i="69"/>
  <c r="D162" i="2"/>
  <c r="E162" i="2"/>
  <c r="L162" i="2"/>
  <c r="K162" i="2"/>
  <c r="C162" i="2"/>
  <c r="AU6" i="75"/>
  <c r="AU6" i="76"/>
  <c r="G162" i="2"/>
  <c r="H162" i="2" s="1"/>
  <c r="AU6" i="82"/>
  <c r="AW6" i="82" s="1"/>
  <c r="K39" i="2"/>
  <c r="AU16" i="47"/>
  <c r="E39" i="2"/>
  <c r="C39" i="2"/>
  <c r="AU5" i="1"/>
  <c r="L39" i="2"/>
  <c r="G39" i="2"/>
  <c r="H39" i="2" s="1"/>
  <c r="AU16" i="61"/>
  <c r="AW16" i="61" s="1"/>
  <c r="AU5" i="78"/>
  <c r="D39" i="2"/>
  <c r="AU5" i="70"/>
  <c r="D371" i="2"/>
  <c r="L371" i="2"/>
  <c r="C371" i="2"/>
  <c r="K371" i="2"/>
  <c r="G371" i="2"/>
  <c r="H371" i="2"/>
  <c r="AU26" i="38"/>
  <c r="E371" i="2"/>
  <c r="L114" i="2"/>
  <c r="C114" i="2"/>
  <c r="AU13" i="73"/>
  <c r="AU23" i="78"/>
  <c r="K114" i="2"/>
  <c r="AU13" i="67"/>
  <c r="D114" i="2"/>
  <c r="AU13" i="81"/>
  <c r="G114" i="2"/>
  <c r="H114" i="2" s="1"/>
  <c r="E114" i="2"/>
  <c r="AU13" i="74"/>
  <c r="G24" i="2"/>
  <c r="H24" i="2" s="1"/>
  <c r="AU6" i="77"/>
  <c r="BA6" i="77" s="1"/>
  <c r="BB6" i="77" s="1"/>
  <c r="L24" i="2"/>
  <c r="E378" i="2"/>
  <c r="K378" i="2"/>
  <c r="G378" i="2"/>
  <c r="H378" i="2"/>
  <c r="C378" i="2"/>
  <c r="D378" i="2"/>
  <c r="L378" i="2"/>
  <c r="AU33" i="38"/>
  <c r="C179" i="2"/>
  <c r="L179" i="2"/>
  <c r="D179" i="2"/>
  <c r="K179" i="2"/>
  <c r="BD15" i="76"/>
  <c r="BD15" i="69"/>
  <c r="BD15" i="82"/>
  <c r="BE15" i="82" s="1"/>
  <c r="E179" i="2"/>
  <c r="G179" i="2"/>
  <c r="H179" i="2" s="1"/>
  <c r="BD15" i="75"/>
  <c r="BD8" i="78"/>
  <c r="BJ8" i="78" s="1"/>
  <c r="BK8" i="78" s="1"/>
  <c r="K53" i="2"/>
  <c r="C53" i="2"/>
  <c r="AU22" i="61"/>
  <c r="E53" i="2"/>
  <c r="G53" i="2"/>
  <c r="H53" i="2" s="1"/>
  <c r="L53" i="2"/>
  <c r="AU22" i="47"/>
  <c r="D53" i="2"/>
  <c r="BD8" i="1"/>
  <c r="BD8" i="70"/>
  <c r="C66" i="2"/>
  <c r="E66" i="2"/>
  <c r="BD21" i="78"/>
  <c r="K66" i="2"/>
  <c r="BD21" i="70"/>
  <c r="BC9" i="47"/>
  <c r="BH9" i="47" s="1"/>
  <c r="BI9" i="47" s="1"/>
  <c r="D66" i="2"/>
  <c r="L66" i="2"/>
  <c r="BD21" i="1"/>
  <c r="BC9" i="64"/>
  <c r="BC9" i="61"/>
  <c r="G66" i="2"/>
  <c r="H66" i="2" s="1"/>
  <c r="BC9" i="60"/>
  <c r="L55" i="2"/>
  <c r="D55" i="2"/>
  <c r="K55" i="2"/>
  <c r="AU24" i="47"/>
  <c r="G55" i="2"/>
  <c r="H55" i="2" s="1"/>
  <c r="L174" i="2"/>
  <c r="BD10" i="75"/>
  <c r="BE10" i="75" s="1"/>
  <c r="K174" i="2"/>
  <c r="D174" i="2"/>
  <c r="C82" i="2"/>
  <c r="E82" i="2"/>
  <c r="K82" i="2"/>
  <c r="D82" i="2"/>
  <c r="AU6" i="80"/>
  <c r="AV6" i="80" s="1"/>
  <c r="BC47" i="60"/>
  <c r="AU6" i="71"/>
  <c r="AU6" i="66"/>
  <c r="AW6" i="66" s="1"/>
  <c r="L82" i="2"/>
  <c r="BC47" i="47"/>
  <c r="BC47" i="61"/>
  <c r="G82" i="2"/>
  <c r="H82" i="2" s="1"/>
  <c r="BC47" i="64"/>
  <c r="BE47" i="64" s="1"/>
  <c r="K379" i="2"/>
  <c r="C379" i="2"/>
  <c r="D379" i="2"/>
  <c r="G379" i="2"/>
  <c r="H379" i="2"/>
  <c r="L379" i="2"/>
  <c r="AU34" i="38"/>
  <c r="E379" i="2"/>
  <c r="BD26" i="78"/>
  <c r="L118" i="2"/>
  <c r="BD7" i="74"/>
  <c r="BE7" i="74" s="1"/>
  <c r="BD7" i="81"/>
  <c r="E118" i="2"/>
  <c r="K118" i="2"/>
  <c r="D118" i="2"/>
  <c r="BD7" i="73"/>
  <c r="BD7" i="67"/>
  <c r="C118" i="2"/>
  <c r="G118" i="2"/>
  <c r="H118" i="2" s="1"/>
  <c r="BD20" i="80"/>
  <c r="BD16" i="67"/>
  <c r="L127" i="2"/>
  <c r="D127" i="2"/>
  <c r="C127" i="2"/>
  <c r="BC36" i="61"/>
  <c r="BD16" i="81"/>
  <c r="BD35" i="78"/>
  <c r="BJ35" i="78" s="1"/>
  <c r="BK35" i="78" s="1"/>
  <c r="BD128" i="73"/>
  <c r="E189" i="2"/>
  <c r="L189" i="2"/>
  <c r="D189" i="2"/>
  <c r="AU80" i="47"/>
  <c r="AU83" i="76"/>
  <c r="K189" i="2"/>
  <c r="BD18" i="67"/>
  <c r="BE18" i="67" s="1"/>
  <c r="K129" i="2"/>
  <c r="BD18" i="81"/>
  <c r="BD18" i="74"/>
  <c r="BJ18" i="74" s="1"/>
  <c r="BD37" i="78"/>
  <c r="BE37" i="78" s="1"/>
  <c r="E129" i="2"/>
  <c r="G129" i="2"/>
  <c r="H129" i="2" s="1"/>
  <c r="D59" i="2"/>
  <c r="E59" i="2"/>
  <c r="BD14" i="70"/>
  <c r="BD14" i="78"/>
  <c r="C59" i="2"/>
  <c r="G59" i="2"/>
  <c r="H59" i="2" s="1"/>
  <c r="BD14" i="1"/>
  <c r="L59" i="2"/>
  <c r="K59" i="2"/>
  <c r="C100" i="2"/>
  <c r="BC24" i="61"/>
  <c r="BD16" i="80"/>
  <c r="BD16" i="66"/>
  <c r="L100" i="2"/>
  <c r="K100" i="2"/>
  <c r="BC24" i="47"/>
  <c r="D100" i="2"/>
  <c r="G100" i="2"/>
  <c r="H100" i="2" s="1"/>
  <c r="BD16" i="71"/>
  <c r="E100" i="2"/>
  <c r="AU90" i="61"/>
  <c r="AU90" i="47"/>
  <c r="AZ90" i="47" s="1"/>
  <c r="BA90" i="47" s="1"/>
  <c r="D203" i="2"/>
  <c r="AU83" i="75"/>
  <c r="BD102" i="75"/>
  <c r="G203" i="2"/>
  <c r="H203" i="2" s="1"/>
  <c r="C203" i="2"/>
  <c r="E203" i="2"/>
  <c r="K203" i="2"/>
  <c r="L203" i="2"/>
  <c r="AU83" i="74"/>
  <c r="BD128" i="74"/>
  <c r="BD13" i="67"/>
  <c r="BF13" i="67" s="1"/>
  <c r="BD13" i="74"/>
  <c r="BJ13" i="74" s="1"/>
  <c r="BK13" i="74" s="1"/>
  <c r="K124" i="2"/>
  <c r="BD13" i="73"/>
  <c r="D124" i="2"/>
  <c r="G101" i="2"/>
  <c r="H101" i="2" s="1"/>
  <c r="BC25" i="61"/>
  <c r="K101" i="2"/>
  <c r="BC25" i="47"/>
  <c r="D101" i="2"/>
  <c r="BD17" i="71"/>
  <c r="BD103" i="75"/>
  <c r="C205" i="2"/>
  <c r="E205" i="2"/>
  <c r="AU92" i="47"/>
  <c r="L205" i="2"/>
  <c r="AU92" i="61"/>
  <c r="AV92" i="61" s="1"/>
  <c r="K205" i="2"/>
  <c r="G205" i="2"/>
  <c r="H205" i="2" s="1"/>
  <c r="AU84" i="75"/>
  <c r="D205" i="2"/>
  <c r="L58" i="2"/>
  <c r="C58" i="2"/>
  <c r="D58" i="2"/>
  <c r="BD13" i="70"/>
  <c r="BD13" i="1"/>
  <c r="BE13" i="1" s="1"/>
  <c r="K58" i="2"/>
  <c r="E58" i="2"/>
  <c r="BD13" i="78"/>
  <c r="BJ13" i="78" s="1"/>
  <c r="G58" i="2"/>
  <c r="H58" i="2" s="1"/>
  <c r="BC48" i="47"/>
  <c r="AU7" i="71"/>
  <c r="BC48" i="64"/>
  <c r="BD48" i="64" s="1"/>
  <c r="BC48" i="60"/>
  <c r="BE48" i="60" s="1"/>
  <c r="D83" i="2"/>
  <c r="BC48" i="61"/>
  <c r="C83" i="2"/>
  <c r="E83" i="2"/>
  <c r="AU7" i="66"/>
  <c r="L83" i="2"/>
  <c r="AU7" i="80"/>
  <c r="AV7" i="80" s="1"/>
  <c r="K83" i="2"/>
  <c r="G83" i="2"/>
  <c r="H83" i="2" s="1"/>
  <c r="L148" i="2"/>
  <c r="G148" i="2"/>
  <c r="H148" i="2" s="1"/>
  <c r="E148" i="2"/>
  <c r="D148" i="2"/>
  <c r="C148" i="2"/>
  <c r="K148" i="2"/>
  <c r="BD8" i="68"/>
  <c r="BF8" i="68" s="1"/>
  <c r="BD9" i="71"/>
  <c r="L93" i="2"/>
  <c r="BD9" i="80"/>
  <c r="E93" i="2"/>
  <c r="K93" i="2"/>
  <c r="D93" i="2"/>
  <c r="G93" i="2"/>
  <c r="H93" i="2" s="1"/>
  <c r="D45" i="2"/>
  <c r="K45" i="2"/>
  <c r="C45" i="2"/>
  <c r="AU11" i="1"/>
  <c r="AU11" i="70"/>
  <c r="AV11" i="70" s="1"/>
  <c r="AU11" i="78"/>
  <c r="BA11" i="78" s="1"/>
  <c r="BB11" i="78" s="1"/>
  <c r="E45" i="2"/>
  <c r="G45" i="2"/>
  <c r="H45" i="2" s="1"/>
  <c r="L45" i="2"/>
  <c r="AU40" i="38"/>
  <c r="K385" i="2"/>
  <c r="E385" i="2"/>
  <c r="C385" i="2"/>
  <c r="D385" i="2"/>
  <c r="G385" i="2"/>
  <c r="H385" i="2"/>
  <c r="L385" i="2"/>
  <c r="K364" i="2"/>
  <c r="L364" i="2"/>
  <c r="AU19" i="38"/>
  <c r="G364" i="2"/>
  <c r="H364" i="2"/>
  <c r="E364" i="2"/>
  <c r="C364" i="2"/>
  <c r="D364" i="2"/>
  <c r="L177" i="2"/>
  <c r="BD13" i="76"/>
  <c r="BD13" i="82"/>
  <c r="BD13" i="69"/>
  <c r="BF13" i="69" s="1"/>
  <c r="E177" i="2"/>
  <c r="K177" i="2"/>
  <c r="C177" i="2"/>
  <c r="L170" i="2"/>
  <c r="BD6" i="76"/>
  <c r="BF6" i="76" s="1"/>
  <c r="BD6" i="82"/>
  <c r="G170" i="2"/>
  <c r="H170" i="2" s="1"/>
  <c r="K170" i="2"/>
  <c r="D170" i="2"/>
  <c r="E170" i="2"/>
  <c r="C170" i="2"/>
  <c r="BD6" i="69"/>
  <c r="BE6" i="69" s="1"/>
  <c r="BD6" i="75"/>
  <c r="BJ6" i="75" s="1"/>
  <c r="BK6" i="75" s="1"/>
  <c r="D135" i="2"/>
  <c r="E135" i="2"/>
  <c r="BD24" i="67"/>
  <c r="BE24" i="67"/>
  <c r="BD24" i="81"/>
  <c r="L135" i="2"/>
  <c r="K135" i="2"/>
  <c r="BD20" i="68"/>
  <c r="BC43" i="47"/>
  <c r="BC43" i="61"/>
  <c r="C135" i="2"/>
  <c r="BD44" i="78"/>
  <c r="BF44" i="78"/>
  <c r="G135" i="2"/>
  <c r="H135" i="2"/>
  <c r="BD36" i="80"/>
  <c r="BD24" i="1"/>
  <c r="E69" i="2"/>
  <c r="G69" i="2"/>
  <c r="H69" i="2"/>
  <c r="D69" i="2"/>
  <c r="BD43" i="78"/>
  <c r="C69" i="2"/>
  <c r="K69" i="2"/>
  <c r="L69" i="2"/>
  <c r="BD12" i="80"/>
  <c r="BE12" i="80" s="1"/>
  <c r="K96" i="2"/>
  <c r="L96" i="2"/>
  <c r="BD12" i="66"/>
  <c r="BE12" i="66" s="1"/>
  <c r="E96" i="2"/>
  <c r="BD12" i="71"/>
  <c r="BJ12" i="71" s="1"/>
  <c r="D96" i="2"/>
  <c r="C96" i="2"/>
  <c r="G96" i="2"/>
  <c r="H96" i="2" s="1"/>
  <c r="E97" i="2"/>
  <c r="BD13" i="71"/>
  <c r="BD13" i="80"/>
  <c r="BJ13" i="80" s="1"/>
  <c r="BK13" i="80" s="1"/>
  <c r="K97" i="2"/>
  <c r="C97" i="2"/>
  <c r="BD13" i="66"/>
  <c r="D97" i="2"/>
  <c r="L97" i="2"/>
  <c r="G97" i="2"/>
  <c r="H97" i="2" s="1"/>
  <c r="L139" i="2"/>
  <c r="E139" i="2"/>
  <c r="K139" i="2"/>
  <c r="AU7" i="68"/>
  <c r="AV7" i="68" s="1"/>
  <c r="C139" i="2"/>
  <c r="G139" i="2"/>
  <c r="H139" i="2" s="1"/>
  <c r="D139" i="2"/>
  <c r="G194" i="2"/>
  <c r="H194" i="2" s="1"/>
  <c r="L194" i="2"/>
  <c r="AU86" i="47"/>
  <c r="AZ86" i="47" s="1"/>
  <c r="BA86" i="47" s="1"/>
  <c r="C194" i="2"/>
  <c r="AU84" i="76"/>
  <c r="AW84" i="76" s="1"/>
  <c r="D194" i="2"/>
  <c r="AU86" i="61"/>
  <c r="AZ86" i="61" s="1"/>
  <c r="BA86" i="61" s="1"/>
  <c r="K194" i="2"/>
  <c r="E194" i="2"/>
  <c r="E175" i="2"/>
  <c r="BD11" i="76"/>
  <c r="BE11" i="76" s="1"/>
  <c r="K175" i="2"/>
  <c r="L175" i="2"/>
  <c r="D175" i="2"/>
  <c r="G175" i="2"/>
  <c r="H175" i="2" s="1"/>
  <c r="BD11" i="75"/>
  <c r="BE11" i="75" s="1"/>
  <c r="C175" i="2"/>
  <c r="BD11" i="69"/>
  <c r="BD11" i="82"/>
  <c r="BF11" i="82" s="1"/>
  <c r="AU37" i="38"/>
  <c r="K382" i="2"/>
  <c r="E382" i="2"/>
  <c r="L382" i="2"/>
  <c r="D382" i="2"/>
  <c r="G382" i="2"/>
  <c r="H382" i="2"/>
  <c r="C382" i="2"/>
  <c r="D109" i="2"/>
  <c r="AU8" i="73"/>
  <c r="AU18" i="78"/>
  <c r="AU8" i="67"/>
  <c r="AV8" i="67" s="1"/>
  <c r="L109" i="2"/>
  <c r="AU15" i="80"/>
  <c r="BC33" i="61"/>
  <c r="AU8" i="81"/>
  <c r="BA8" i="81" s="1"/>
  <c r="BB8" i="81" s="1"/>
  <c r="AU8" i="74"/>
  <c r="AW8" i="74" s="1"/>
  <c r="K109" i="2"/>
  <c r="E109" i="2"/>
  <c r="G109" i="2"/>
  <c r="H109" i="2" s="1"/>
  <c r="BC33" i="47"/>
  <c r="C109" i="2"/>
  <c r="L46" i="2"/>
  <c r="C46" i="2"/>
  <c r="AU12" i="1"/>
  <c r="G46" i="2"/>
  <c r="H46" i="2" s="1"/>
  <c r="D46" i="2"/>
  <c r="AU12" i="70"/>
  <c r="AW12" i="70" s="1"/>
  <c r="E46" i="2"/>
  <c r="AU12" i="78"/>
  <c r="AW12" i="78" s="1"/>
  <c r="K46" i="2"/>
  <c r="K156" i="2"/>
  <c r="D156" i="2"/>
  <c r="BC30" i="60"/>
  <c r="BD16" i="68"/>
  <c r="E156" i="2"/>
  <c r="C156" i="2"/>
  <c r="L156" i="2"/>
  <c r="AU22" i="60"/>
  <c r="AU22" i="64"/>
  <c r="AW22" i="64" s="1"/>
  <c r="G156" i="2"/>
  <c r="H156" i="2" s="1"/>
  <c r="BC30" i="64"/>
  <c r="C199" i="2"/>
  <c r="D199" i="2"/>
  <c r="K199" i="2"/>
  <c r="BD131" i="73"/>
  <c r="E199" i="2"/>
  <c r="L199" i="2"/>
  <c r="BD105" i="76"/>
  <c r="G199" i="2"/>
  <c r="H199" i="2" s="1"/>
  <c r="AU29" i="61"/>
  <c r="AU8" i="68"/>
  <c r="AW8" i="68" s="1"/>
  <c r="L140" i="2"/>
  <c r="E140" i="2"/>
  <c r="K140" i="2"/>
  <c r="BC52" i="61"/>
  <c r="BD52" i="61" s="1"/>
  <c r="BC52" i="47"/>
  <c r="D140" i="2"/>
  <c r="AU29" i="47"/>
  <c r="G140" i="2"/>
  <c r="H140" i="2" s="1"/>
  <c r="C140" i="2"/>
  <c r="BC42" i="61"/>
  <c r="BD41" i="78"/>
  <c r="BD22" i="67"/>
  <c r="BF22" i="67" s="1"/>
  <c r="BD22" i="73"/>
  <c r="BF22" i="73" s="1"/>
  <c r="K133" i="2"/>
  <c r="BC42" i="47"/>
  <c r="C133" i="2"/>
  <c r="BD22" i="74"/>
  <c r="BF22" i="74" s="1"/>
  <c r="E133" i="2"/>
  <c r="L133" i="2"/>
  <c r="BD22" i="81"/>
  <c r="BJ22" i="81" s="1"/>
  <c r="BK22" i="81" s="1"/>
  <c r="D133" i="2"/>
  <c r="G133" i="2"/>
  <c r="H133" i="2" s="1"/>
  <c r="BD11" i="70"/>
  <c r="BE11" i="70" s="1"/>
  <c r="BD11" i="78"/>
  <c r="BJ11" i="78" s="1"/>
  <c r="BK11" i="78" s="1"/>
  <c r="BD11" i="1"/>
  <c r="BF11" i="1" s="1"/>
  <c r="D56" i="2"/>
  <c r="C56" i="2"/>
  <c r="K56" i="2"/>
  <c r="AU25" i="61"/>
  <c r="AZ25" i="61" s="1"/>
  <c r="BA25" i="61" s="1"/>
  <c r="AU25" i="47"/>
  <c r="L56" i="2"/>
  <c r="E56" i="2"/>
  <c r="G56" i="2"/>
  <c r="H56" i="2" s="1"/>
  <c r="BD7" i="70"/>
  <c r="K52" i="2"/>
  <c r="L52" i="2"/>
  <c r="G52" i="2"/>
  <c r="H52" i="2" s="1"/>
  <c r="D52" i="2"/>
  <c r="BD7" i="1"/>
  <c r="BD7" i="78"/>
  <c r="BE7" i="78" s="1"/>
  <c r="C52" i="2"/>
  <c r="E52" i="2"/>
  <c r="C367" i="2"/>
  <c r="E367" i="2"/>
  <c r="G367" i="2"/>
  <c r="H367" i="2"/>
  <c r="L367" i="2"/>
  <c r="AU22" i="38"/>
  <c r="D367" i="2"/>
  <c r="K367" i="2"/>
  <c r="C363" i="2"/>
  <c r="L363" i="2"/>
  <c r="AU18" i="38"/>
  <c r="AV18" i="38"/>
  <c r="K363" i="2"/>
  <c r="E363" i="2"/>
  <c r="G363" i="2"/>
  <c r="H363" i="2"/>
  <c r="D363" i="2"/>
  <c r="K32" i="2"/>
  <c r="BD8" i="77"/>
  <c r="BJ8" i="77" s="1"/>
  <c r="BK8" i="77" s="1"/>
  <c r="D32" i="2"/>
  <c r="C32" i="2"/>
  <c r="L32" i="2"/>
  <c r="E32" i="2"/>
  <c r="G32" i="2"/>
  <c r="H32" i="2" s="1"/>
  <c r="AU13" i="60"/>
  <c r="AW13" i="60" s="1"/>
  <c r="D34" i="2"/>
  <c r="C34" i="2"/>
  <c r="AU13" i="64"/>
  <c r="E34" i="2"/>
  <c r="BD10" i="77"/>
  <c r="BJ10" i="77" s="1"/>
  <c r="BK10" i="77" s="1"/>
  <c r="AU13" i="61"/>
  <c r="AZ13" i="61" s="1"/>
  <c r="BA13" i="61" s="1"/>
  <c r="L34" i="2"/>
  <c r="K34" i="2"/>
  <c r="G34" i="2"/>
  <c r="H34" i="2" s="1"/>
  <c r="AU13" i="47"/>
  <c r="AV13" i="47" s="1"/>
  <c r="K201" i="2"/>
  <c r="L201" i="2"/>
  <c r="D201" i="2"/>
  <c r="E201" i="2"/>
  <c r="C201" i="2"/>
  <c r="G201" i="2"/>
  <c r="H201" i="2" s="1"/>
  <c r="AU88" i="47"/>
  <c r="AW88" i="47" s="1"/>
  <c r="AU88" i="61"/>
  <c r="AV88" i="61" s="1"/>
  <c r="BC49" i="64"/>
  <c r="BD49" i="64" s="1"/>
  <c r="K84" i="2"/>
  <c r="D84" i="2"/>
  <c r="BC49" i="60"/>
  <c r="BH49" i="60" s="1"/>
  <c r="BI49" i="60" s="1"/>
  <c r="AU8" i="71"/>
  <c r="AW8" i="71" s="1"/>
  <c r="L84" i="2"/>
  <c r="C84" i="2"/>
  <c r="AU8" i="66"/>
  <c r="E84" i="2"/>
  <c r="BC49" i="47"/>
  <c r="AU8" i="80"/>
  <c r="AV8" i="80" s="1"/>
  <c r="G84" i="2"/>
  <c r="H84" i="2" s="1"/>
  <c r="BC49" i="61"/>
  <c r="BH49" i="61" s="1"/>
  <c r="E149" i="2"/>
  <c r="K149" i="2"/>
  <c r="C149" i="2"/>
  <c r="L149" i="2"/>
  <c r="G149" i="2"/>
  <c r="H149" i="2" s="1"/>
  <c r="D149" i="2"/>
  <c r="BD9" i="68"/>
  <c r="BJ9" i="68" s="1"/>
  <c r="K163" i="2"/>
  <c r="G163" i="2"/>
  <c r="H163" i="2" s="1"/>
  <c r="D163" i="2"/>
  <c r="L163" i="2"/>
  <c r="C163" i="2"/>
  <c r="E163" i="2"/>
  <c r="AU7" i="69"/>
  <c r="BA7" i="69" s="1"/>
  <c r="BB7" i="69" s="1"/>
  <c r="AU7" i="75"/>
  <c r="AV7" i="75" s="1"/>
  <c r="AU7" i="82"/>
  <c r="AU7" i="76"/>
  <c r="L369" i="2"/>
  <c r="D369" i="2"/>
  <c r="AU24" i="38"/>
  <c r="AW24" i="38"/>
  <c r="G369" i="2"/>
  <c r="H369" i="2"/>
  <c r="K369" i="2"/>
  <c r="E369" i="2"/>
  <c r="C369" i="2"/>
  <c r="D181" i="2"/>
  <c r="L181" i="2"/>
  <c r="BD17" i="69"/>
  <c r="BD17" i="76"/>
  <c r="BJ17" i="76" s="1"/>
  <c r="BK17" i="76" s="1"/>
  <c r="BD17" i="75"/>
  <c r="BE17" i="75" s="1"/>
  <c r="K181" i="2"/>
  <c r="BD17" i="82"/>
  <c r="BE17" i="82" s="1"/>
  <c r="G181" i="2"/>
  <c r="H181" i="2" s="1"/>
  <c r="C181" i="2"/>
  <c r="E181" i="2"/>
  <c r="BD14" i="69"/>
  <c r="BF14" i="69" s="1"/>
  <c r="C178" i="2"/>
  <c r="BD14" i="76"/>
  <c r="BE14" i="76" s="1"/>
  <c r="K178" i="2"/>
  <c r="L178" i="2"/>
  <c r="BD14" i="75"/>
  <c r="BJ14" i="75" s="1"/>
  <c r="BK14" i="75" s="1"/>
  <c r="E178" i="2"/>
  <c r="D178" i="2"/>
  <c r="G178" i="2"/>
  <c r="H178" i="2" s="1"/>
  <c r="BD14" i="82"/>
  <c r="BE14" i="82" s="1"/>
  <c r="C57" i="2"/>
  <c r="BD12" i="78"/>
  <c r="AU26" i="61"/>
  <c r="AW26" i="61" s="1"/>
  <c r="BD12" i="70"/>
  <c r="BE12" i="70" s="1"/>
  <c r="E57" i="2"/>
  <c r="K57" i="2"/>
  <c r="BD12" i="1"/>
  <c r="G57" i="2"/>
  <c r="H57" i="2" s="1"/>
  <c r="AU26" i="47"/>
  <c r="AZ26" i="47" s="1"/>
  <c r="BA26" i="47" s="1"/>
  <c r="D57" i="2"/>
  <c r="L57" i="2"/>
  <c r="D372" i="2"/>
  <c r="L372" i="2"/>
  <c r="AU27" i="38"/>
  <c r="C372" i="2"/>
  <c r="K372" i="2"/>
  <c r="G372" i="2"/>
  <c r="H372" i="2"/>
  <c r="E372" i="2"/>
  <c r="AU6" i="68"/>
  <c r="AW6" i="68" s="1"/>
  <c r="K138" i="2"/>
  <c r="D138" i="2"/>
  <c r="G138" i="2"/>
  <c r="H138" i="2" s="1"/>
  <c r="L138" i="2"/>
  <c r="C138" i="2"/>
  <c r="E138" i="2"/>
  <c r="D61" i="2"/>
  <c r="BD16" i="70"/>
  <c r="BJ16" i="70" s="1"/>
  <c r="BK16" i="70" s="1"/>
  <c r="BD16" i="1"/>
  <c r="BF16" i="1" s="1"/>
  <c r="L61" i="2"/>
  <c r="C61" i="2"/>
  <c r="K61" i="2"/>
  <c r="BD16" i="78"/>
  <c r="G61" i="2"/>
  <c r="H61" i="2" s="1"/>
  <c r="E61" i="2"/>
  <c r="BD18" i="80"/>
  <c r="BF18" i="80" s="1"/>
  <c r="BD18" i="71"/>
  <c r="BJ18" i="71" s="1"/>
  <c r="BK18" i="71" s="1"/>
  <c r="D102" i="2"/>
  <c r="L102" i="2"/>
  <c r="BC26" i="47"/>
  <c r="BD26" i="47" s="1"/>
  <c r="C102" i="2"/>
  <c r="K102" i="2"/>
  <c r="BC26" i="61"/>
  <c r="E102" i="2"/>
  <c r="BD18" i="66"/>
  <c r="BF18" i="66" s="1"/>
  <c r="G102" i="2"/>
  <c r="H102" i="2" s="1"/>
  <c r="BD21" i="81"/>
  <c r="BD21" i="73"/>
  <c r="BF21" i="73" s="1"/>
  <c r="BC41" i="61"/>
  <c r="BD41" i="61" s="1"/>
  <c r="BD21" i="67"/>
  <c r="E132" i="2"/>
  <c r="K132" i="2"/>
  <c r="L132" i="2"/>
  <c r="BD40" i="78"/>
  <c r="BC41" i="47"/>
  <c r="D132" i="2"/>
  <c r="BD21" i="74"/>
  <c r="BJ21" i="74" s="1"/>
  <c r="BK21" i="74" s="1"/>
  <c r="G132" i="2"/>
  <c r="H132" i="2" s="1"/>
  <c r="C132" i="2"/>
  <c r="BC16" i="61"/>
  <c r="BD16" i="61" s="1"/>
  <c r="C104" i="2"/>
  <c r="G104" i="2"/>
  <c r="H104" i="2"/>
  <c r="BC27" i="61"/>
  <c r="BC27" i="47"/>
  <c r="L104" i="2"/>
  <c r="D104" i="2"/>
  <c r="BD35" i="80"/>
  <c r="K104" i="2"/>
  <c r="E104" i="2"/>
  <c r="BD20" i="66"/>
  <c r="BC33" i="64"/>
  <c r="L159" i="2"/>
  <c r="E159" i="2"/>
  <c r="K159" i="2"/>
  <c r="AU25" i="64"/>
  <c r="BD21" i="68"/>
  <c r="C159" i="2"/>
  <c r="D159" i="2"/>
  <c r="G159" i="2"/>
  <c r="H159" i="2"/>
  <c r="BC33" i="60"/>
  <c r="AU25" i="60"/>
  <c r="C123" i="2"/>
  <c r="BD12" i="74"/>
  <c r="BE12" i="74" s="1"/>
  <c r="BD25" i="80"/>
  <c r="K123" i="2"/>
  <c r="BD12" i="67"/>
  <c r="BF12" i="67" s="1"/>
  <c r="D123" i="2"/>
  <c r="BD31" i="78"/>
  <c r="BD12" i="73"/>
  <c r="L123" i="2"/>
  <c r="E123" i="2"/>
  <c r="BD12" i="81"/>
  <c r="G123" i="2"/>
  <c r="H123" i="2" s="1"/>
  <c r="D182" i="2"/>
  <c r="BD18" i="75"/>
  <c r="BD18" i="76"/>
  <c r="K182" i="2"/>
  <c r="BD18" i="69"/>
  <c r="C182" i="2"/>
  <c r="E182" i="2"/>
  <c r="BD18" i="82"/>
  <c r="L182" i="2"/>
  <c r="G182" i="2"/>
  <c r="H182" i="2" s="1"/>
  <c r="BD6" i="74"/>
  <c r="BD6" i="73"/>
  <c r="BF6" i="73" s="1"/>
  <c r="E117" i="2"/>
  <c r="BD25" i="78"/>
  <c r="BJ25" i="78" s="1"/>
  <c r="C117" i="2"/>
  <c r="K117" i="2"/>
  <c r="D117" i="2"/>
  <c r="L117" i="2"/>
  <c r="BD6" i="67"/>
  <c r="BD6" i="81"/>
  <c r="G117" i="2"/>
  <c r="H117" i="2" s="1"/>
  <c r="AU20" i="38"/>
  <c r="C365" i="2"/>
  <c r="L365" i="2"/>
  <c r="G365" i="2"/>
  <c r="H365" i="2"/>
  <c r="E365" i="2"/>
  <c r="D365" i="2"/>
  <c r="K365" i="2"/>
  <c r="K112" i="2"/>
  <c r="AU11" i="74"/>
  <c r="C112" i="2"/>
  <c r="G112" i="2"/>
  <c r="H112" i="2" s="1"/>
  <c r="AU11" i="73"/>
  <c r="AU21" i="78"/>
  <c r="E112" i="2"/>
  <c r="D112" i="2"/>
  <c r="AU11" i="81"/>
  <c r="AU11" i="67"/>
  <c r="L112" i="2"/>
  <c r="AU18" i="80"/>
  <c r="AV18" i="80" s="1"/>
  <c r="BD17" i="67"/>
  <c r="D128" i="2"/>
  <c r="BD30" i="80"/>
  <c r="BE30" i="80" s="1"/>
  <c r="K128" i="2"/>
  <c r="BD17" i="81"/>
  <c r="BC37" i="61"/>
  <c r="BD36" i="78"/>
  <c r="BE36" i="78" s="1"/>
  <c r="L128" i="2"/>
  <c r="C128" i="2"/>
  <c r="E128" i="2"/>
  <c r="BD17" i="74"/>
  <c r="BJ17" i="74" s="1"/>
  <c r="BC37" i="47"/>
  <c r="BE37" i="47" s="1"/>
  <c r="G128" i="2"/>
  <c r="H128" i="2" s="1"/>
  <c r="BD17" i="73"/>
  <c r="BD5" i="82"/>
  <c r="BE5" i="82" s="1"/>
  <c r="BD5" i="69"/>
  <c r="BE5" i="69" s="1"/>
  <c r="K169" i="2"/>
  <c r="BD5" i="76"/>
  <c r="BJ5" i="76" s="1"/>
  <c r="BK5" i="76" s="1"/>
  <c r="BD5" i="75"/>
  <c r="BE5" i="75" s="1"/>
  <c r="D169" i="2"/>
  <c r="C169" i="2"/>
  <c r="E169" i="2"/>
  <c r="G169" i="2"/>
  <c r="H169" i="2" s="1"/>
  <c r="L169" i="2"/>
  <c r="E161" i="2"/>
  <c r="L161" i="2"/>
  <c r="AU5" i="76"/>
  <c r="K161" i="2"/>
  <c r="C161" i="2"/>
  <c r="AU5" i="75"/>
  <c r="AW5" i="75" s="1"/>
  <c r="AU5" i="69"/>
  <c r="AU5" i="82"/>
  <c r="G161" i="2"/>
  <c r="H161" i="2" s="1"/>
  <c r="D161" i="2"/>
  <c r="D383" i="2"/>
  <c r="L383" i="2"/>
  <c r="C383" i="2"/>
  <c r="E383" i="2"/>
  <c r="K383" i="2"/>
  <c r="AU38" i="38"/>
  <c r="G383" i="2"/>
  <c r="H383" i="2"/>
  <c r="AU9" i="74"/>
  <c r="AU9" i="67"/>
  <c r="AU16" i="80"/>
  <c r="AU9" i="73"/>
  <c r="BA9" i="73" s="1"/>
  <c r="BB9" i="73" s="1"/>
  <c r="C110" i="2"/>
  <c r="K110" i="2"/>
  <c r="L110" i="2"/>
  <c r="D110" i="2"/>
  <c r="AU19" i="78"/>
  <c r="AU9" i="81"/>
  <c r="G110" i="2"/>
  <c r="H110" i="2" s="1"/>
  <c r="E110" i="2"/>
  <c r="L166" i="2"/>
  <c r="D166" i="2"/>
  <c r="AU10" i="76"/>
  <c r="BA10" i="76" s="1"/>
  <c r="BB10" i="76" s="1"/>
  <c r="AU10" i="69"/>
  <c r="BA10" i="69" s="1"/>
  <c r="BB10" i="69" s="1"/>
  <c r="C166" i="2"/>
  <c r="AU10" i="75"/>
  <c r="AV10" i="75" s="1"/>
  <c r="G166" i="2"/>
  <c r="H166" i="2" s="1"/>
  <c r="AU10" i="82"/>
  <c r="E166" i="2"/>
  <c r="K166" i="2"/>
  <c r="C187" i="2"/>
  <c r="AU78" i="61"/>
  <c r="BD128" i="70"/>
  <c r="BE128" i="70" s="1"/>
  <c r="AU83" i="70"/>
  <c r="BA83" i="70" s="1"/>
  <c r="BB83" i="70" s="1"/>
  <c r="D187" i="2"/>
  <c r="AU78" i="47"/>
  <c r="K187" i="2"/>
  <c r="E187" i="2"/>
  <c r="L187" i="2"/>
  <c r="G187" i="2"/>
  <c r="H187" i="2" s="1"/>
  <c r="AU79" i="47"/>
  <c r="AW79" i="47" s="1"/>
  <c r="C188" i="2"/>
  <c r="K188" i="2"/>
  <c r="AU79" i="61"/>
  <c r="AZ79" i="61" s="1"/>
  <c r="BA79" i="61" s="1"/>
  <c r="G188" i="2"/>
  <c r="H188" i="2" s="1"/>
  <c r="BD110" i="71"/>
  <c r="BJ110" i="71" s="1"/>
  <c r="BK110" i="71" s="1"/>
  <c r="E188" i="2"/>
  <c r="AU83" i="71"/>
  <c r="L188" i="2"/>
  <c r="D188" i="2"/>
  <c r="AU6" i="67"/>
  <c r="AW6" i="67" s="1"/>
  <c r="C107" i="2"/>
  <c r="D107" i="2"/>
  <c r="BC31" i="47"/>
  <c r="BD31" i="47" s="1"/>
  <c r="AU6" i="73"/>
  <c r="AW6" i="73" s="1"/>
  <c r="K107" i="2"/>
  <c r="G107" i="2"/>
  <c r="H107" i="2" s="1"/>
  <c r="L107" i="2"/>
  <c r="AU13" i="80"/>
  <c r="BA13" i="80" s="1"/>
  <c r="BB13" i="80" s="1"/>
  <c r="AU6" i="74"/>
  <c r="AW6" i="74" s="1"/>
  <c r="AU16" i="78"/>
  <c r="AU6" i="81"/>
  <c r="AV6" i="81" s="1"/>
  <c r="E107" i="2"/>
  <c r="BC31" i="61"/>
  <c r="BD31" i="61" s="1"/>
  <c r="E90" i="2"/>
  <c r="D90" i="2"/>
  <c r="BD6" i="80"/>
  <c r="BD6" i="71"/>
  <c r="BF6" i="71" s="1"/>
  <c r="K90" i="2"/>
  <c r="BD6" i="66"/>
  <c r="BF6" i="66" s="1"/>
  <c r="L90" i="2"/>
  <c r="C90" i="2"/>
  <c r="G90" i="2"/>
  <c r="H90" i="2" s="1"/>
  <c r="L98" i="2"/>
  <c r="BD14" i="80"/>
  <c r="BD14" i="66"/>
  <c r="BJ14" i="66" s="1"/>
  <c r="BK14" i="66" s="1"/>
  <c r="D98" i="2"/>
  <c r="C98" i="2"/>
  <c r="BD14" i="71"/>
  <c r="E98" i="2"/>
  <c r="K98" i="2"/>
  <c r="G98" i="2"/>
  <c r="H98" i="2" s="1"/>
  <c r="BD15" i="71"/>
  <c r="E99" i="2"/>
  <c r="BD15" i="80"/>
  <c r="BJ15" i="80" s="1"/>
  <c r="BK15" i="80" s="1"/>
  <c r="L99" i="2"/>
  <c r="K99" i="2"/>
  <c r="BD15" i="66"/>
  <c r="D99" i="2"/>
  <c r="G99" i="2"/>
  <c r="H99" i="2" s="1"/>
  <c r="C99" i="2"/>
  <c r="L146" i="2"/>
  <c r="BD6" i="68"/>
  <c r="D146" i="2"/>
  <c r="E146" i="2"/>
  <c r="K146" i="2"/>
  <c r="C146" i="2"/>
  <c r="G146" i="2"/>
  <c r="H146" i="2" s="1"/>
  <c r="G386" i="2"/>
  <c r="H386" i="2"/>
  <c r="E386" i="2"/>
  <c r="D386" i="2"/>
  <c r="K386" i="2"/>
  <c r="AU41" i="38"/>
  <c r="C386" i="2"/>
  <c r="L386" i="2"/>
  <c r="K152" i="2"/>
  <c r="L152" i="2"/>
  <c r="BD12" i="68"/>
  <c r="G152" i="2"/>
  <c r="H152" i="2" s="1"/>
  <c r="D152" i="2"/>
  <c r="C152" i="2"/>
  <c r="E152" i="2"/>
  <c r="BD20" i="73"/>
  <c r="BE20" i="73" s="1"/>
  <c r="BC40" i="47"/>
  <c r="E131" i="2"/>
  <c r="C131" i="2"/>
  <c r="L131" i="2"/>
  <c r="D131" i="2"/>
  <c r="BD20" i="74"/>
  <c r="BC40" i="61"/>
  <c r="BD39" i="78"/>
  <c r="BJ39" i="78" s="1"/>
  <c r="BK39" i="78" s="1"/>
  <c r="K131" i="2"/>
  <c r="G131" i="2"/>
  <c r="H131" i="2" s="1"/>
  <c r="BD20" i="81"/>
  <c r="BF20" i="81" s="1"/>
  <c r="BD33" i="80"/>
  <c r="BE33" i="80" s="1"/>
  <c r="BD20" i="67"/>
  <c r="BF20" i="67" s="1"/>
  <c r="K81" i="2"/>
  <c r="D81" i="2"/>
  <c r="AU5" i="71"/>
  <c r="AW5" i="71" s="1"/>
  <c r="L81" i="2"/>
  <c r="BC46" i="47"/>
  <c r="AU5" i="66"/>
  <c r="BC46" i="61"/>
  <c r="BC46" i="60"/>
  <c r="AU5" i="80"/>
  <c r="E81" i="2"/>
  <c r="C81" i="2"/>
  <c r="BC46" i="64"/>
  <c r="BE46" i="64" s="1"/>
  <c r="G81" i="2"/>
  <c r="H81" i="2" s="1"/>
  <c r="AU7" i="70"/>
  <c r="AV7" i="70" s="1"/>
  <c r="L41" i="2"/>
  <c r="AU18" i="61"/>
  <c r="AU7" i="1"/>
  <c r="AU18" i="47"/>
  <c r="AU7" i="78"/>
  <c r="AV7" i="78" s="1"/>
  <c r="C41" i="2"/>
  <c r="K41" i="2"/>
  <c r="E41" i="2"/>
  <c r="D41" i="2"/>
  <c r="G41" i="2"/>
  <c r="H41" i="2" s="1"/>
  <c r="AU39" i="38"/>
  <c r="L384" i="2"/>
  <c r="K384" i="2"/>
  <c r="E384" i="2"/>
  <c r="C384" i="2"/>
  <c r="D384" i="2"/>
  <c r="G384" i="2"/>
  <c r="H384" i="2"/>
  <c r="AU24" i="60"/>
  <c r="BC32" i="64"/>
  <c r="BE32" i="64" s="1"/>
  <c r="C158" i="2"/>
  <c r="E158" i="2"/>
  <c r="BC32" i="60"/>
  <c r="K158" i="2"/>
  <c r="BD18" i="68"/>
  <c r="G158" i="2"/>
  <c r="H158" i="2" s="1"/>
  <c r="D158" i="2"/>
  <c r="L158" i="2"/>
  <c r="AU24" i="64"/>
  <c r="AZ24" i="64" s="1"/>
  <c r="BA24" i="64" s="1"/>
  <c r="K192" i="2"/>
  <c r="D192" i="2"/>
  <c r="C192" i="2"/>
  <c r="AU83" i="47"/>
  <c r="AV83" i="47" s="1"/>
  <c r="AU83" i="61"/>
  <c r="L192" i="2"/>
  <c r="AU84" i="71"/>
  <c r="BA84" i="71" s="1"/>
  <c r="BB84" i="71" s="1"/>
  <c r="E192" i="2"/>
  <c r="G192" i="2"/>
  <c r="H192" i="2" s="1"/>
  <c r="D380" i="2"/>
  <c r="C380" i="2"/>
  <c r="AU35" i="38"/>
  <c r="L380" i="2"/>
  <c r="E380" i="2"/>
  <c r="G380" i="2"/>
  <c r="H380" i="2"/>
  <c r="K380" i="2"/>
  <c r="K381" i="2"/>
  <c r="C381" i="2"/>
  <c r="E381" i="2"/>
  <c r="AU36" i="38"/>
  <c r="L381" i="2"/>
  <c r="D381" i="2"/>
  <c r="G381" i="2"/>
  <c r="H381" i="2"/>
  <c r="AU31" i="38"/>
  <c r="K376" i="2"/>
  <c r="C376" i="2"/>
  <c r="D376" i="2"/>
  <c r="E376" i="2"/>
  <c r="L376" i="2"/>
  <c r="G376" i="2"/>
  <c r="H376" i="2"/>
  <c r="BD15" i="81"/>
  <c r="BE15" i="81" s="1"/>
  <c r="BD28" i="80"/>
  <c r="BD15" i="67"/>
  <c r="BD34" i="78"/>
  <c r="BJ34" i="78" s="1"/>
  <c r="BD15" i="74"/>
  <c r="BJ15" i="74" s="1"/>
  <c r="BK15" i="74" s="1"/>
  <c r="C126" i="2"/>
  <c r="BD15" i="73"/>
  <c r="K126" i="2"/>
  <c r="L126" i="2"/>
  <c r="BC35" i="61"/>
  <c r="BH35" i="61" s="1"/>
  <c r="BI35" i="61" s="1"/>
  <c r="E126" i="2"/>
  <c r="D126" i="2"/>
  <c r="BC35" i="47"/>
  <c r="BD35" i="47" s="1"/>
  <c r="G126" i="2"/>
  <c r="H126" i="2" s="1"/>
  <c r="D165" i="2"/>
  <c r="E165" i="2"/>
  <c r="AU9" i="82"/>
  <c r="AV9" i="82" s="1"/>
  <c r="C165" i="2"/>
  <c r="AU9" i="75"/>
  <c r="AW9" i="75" s="1"/>
  <c r="AU9" i="76"/>
  <c r="AV9" i="76" s="1"/>
  <c r="K165" i="2"/>
  <c r="AU9" i="69"/>
  <c r="G165" i="2"/>
  <c r="H165" i="2" s="1"/>
  <c r="L165" i="2"/>
  <c r="K145" i="2"/>
  <c r="G145" i="2"/>
  <c r="H145" i="2" s="1"/>
  <c r="D145" i="2"/>
  <c r="C145" i="2"/>
  <c r="L145" i="2"/>
  <c r="BD5" i="68"/>
  <c r="E145" i="2"/>
  <c r="D373" i="2"/>
  <c r="C373" i="2"/>
  <c r="K373" i="2"/>
  <c r="E373" i="2"/>
  <c r="AU28" i="38"/>
  <c r="L373" i="2"/>
  <c r="G373" i="2"/>
  <c r="H373" i="2"/>
  <c r="AZ88" i="47"/>
  <c r="BA88" i="47" s="1"/>
  <c r="AZ36" i="38"/>
  <c r="BA36" i="38"/>
  <c r="AV35" i="38"/>
  <c r="BJ15" i="71"/>
  <c r="BE14" i="71"/>
  <c r="BA83" i="71"/>
  <c r="BB83" i="71" s="1"/>
  <c r="AV79" i="61"/>
  <c r="AW79" i="61"/>
  <c r="AV78" i="47"/>
  <c r="AW10" i="82"/>
  <c r="AV10" i="69"/>
  <c r="BE18" i="69"/>
  <c r="BF20" i="66"/>
  <c r="AV6" i="68"/>
  <c r="AV24" i="38"/>
  <c r="AZ24" i="38"/>
  <c r="BA24" i="38"/>
  <c r="BH49" i="47"/>
  <c r="BI49" i="47" s="1"/>
  <c r="AW18" i="38"/>
  <c r="AZ18" i="38"/>
  <c r="BA18" i="38"/>
  <c r="BE42" i="61"/>
  <c r="BD42" i="61"/>
  <c r="BH42" i="61"/>
  <c r="BI42" i="61" s="1"/>
  <c r="BE131" i="73"/>
  <c r="BE30" i="60"/>
  <c r="BA84" i="76"/>
  <c r="BB84" i="76" s="1"/>
  <c r="BF12" i="71"/>
  <c r="BE12" i="71"/>
  <c r="BJ44" i="78"/>
  <c r="BK44" i="78"/>
  <c r="BE44" i="78"/>
  <c r="BE20" i="68"/>
  <c r="BF24" i="67"/>
  <c r="BJ24" i="67"/>
  <c r="BK24" i="67"/>
  <c r="BF9" i="80"/>
  <c r="BH48" i="60"/>
  <c r="BI48" i="60" s="1"/>
  <c r="AW83" i="74"/>
  <c r="BF14" i="70"/>
  <c r="BJ18" i="81"/>
  <c r="BK18" i="81" s="1"/>
  <c r="BE18" i="81"/>
  <c r="BF18" i="81"/>
  <c r="BJ128" i="73"/>
  <c r="AZ34" i="38"/>
  <c r="BA34" i="38"/>
  <c r="AW34" i="38"/>
  <c r="AV34" i="38"/>
  <c r="AW6" i="71"/>
  <c r="BE9" i="47"/>
  <c r="BF12" i="69"/>
  <c r="BE12" i="69"/>
  <c r="AZ30" i="47"/>
  <c r="BA30" i="47" s="1"/>
  <c r="AW30" i="47"/>
  <c r="BF32" i="80"/>
  <c r="BE19" i="81"/>
  <c r="BJ19" i="81"/>
  <c r="BF19" i="81"/>
  <c r="BD55" i="47"/>
  <c r="BH55" i="47"/>
  <c r="BI55" i="47" s="1"/>
  <c r="BE55" i="47"/>
  <c r="AW11" i="68"/>
  <c r="AV11" i="68"/>
  <c r="BA11" i="68"/>
  <c r="BB11" i="68" s="1"/>
  <c r="AW32" i="61"/>
  <c r="BH7" i="60"/>
  <c r="BI7" i="60" s="1"/>
  <c r="BE7" i="60"/>
  <c r="BD7" i="60"/>
  <c r="BE7" i="64"/>
  <c r="BH7" i="64"/>
  <c r="BI7" i="64" s="1"/>
  <c r="BD7" i="64"/>
  <c r="AV29" i="38"/>
  <c r="AW29" i="38"/>
  <c r="AZ29" i="38"/>
  <c r="BA29" i="38"/>
  <c r="AZ25" i="38"/>
  <c r="BA25" i="38"/>
  <c r="AW25" i="38"/>
  <c r="AV25" i="38"/>
  <c r="AV23" i="38"/>
  <c r="AW23" i="38"/>
  <c r="AZ23" i="38"/>
  <c r="BA23" i="38"/>
  <c r="AW5" i="77"/>
  <c r="AV5" i="77"/>
  <c r="BB5" i="77"/>
  <c r="AW8" i="76"/>
  <c r="BA8" i="76"/>
  <c r="BB8" i="76" s="1"/>
  <c r="BA13" i="78"/>
  <c r="BB13" i="78" s="1"/>
  <c r="BD21" i="61"/>
  <c r="BE21" i="61"/>
  <c r="BH21" i="61"/>
  <c r="BI21" i="61" s="1"/>
  <c r="BH21" i="60"/>
  <c r="BI21" i="60" s="1"/>
  <c r="BE21" i="60"/>
  <c r="BD21" i="60"/>
  <c r="AZ28" i="38"/>
  <c r="BA28" i="38"/>
  <c r="AW28" i="38"/>
  <c r="AV28" i="38"/>
  <c r="BH46" i="60"/>
  <c r="BI46" i="60" s="1"/>
  <c r="BF14" i="66"/>
  <c r="BE14" i="66"/>
  <c r="BF16" i="78"/>
  <c r="AW39" i="38"/>
  <c r="AV39" i="38"/>
  <c r="AZ39" i="38"/>
  <c r="BA39" i="38"/>
  <c r="AW6" i="81"/>
  <c r="BA6" i="81"/>
  <c r="BB6" i="81" s="1"/>
  <c r="AZ38" i="38"/>
  <c r="BA38" i="38"/>
  <c r="AV38" i="38"/>
  <c r="AW38" i="38"/>
  <c r="BA5" i="82"/>
  <c r="BB5" i="82" s="1"/>
  <c r="AV5" i="82"/>
  <c r="AW5" i="82"/>
  <c r="BF5" i="69"/>
  <c r="BF17" i="74"/>
  <c r="BE17" i="74"/>
  <c r="BJ36" i="78"/>
  <c r="BK36" i="78" s="1"/>
  <c r="BF36" i="78"/>
  <c r="BF30" i="80"/>
  <c r="BJ30" i="80"/>
  <c r="BF6" i="67"/>
  <c r="BE6" i="67"/>
  <c r="BJ6" i="67"/>
  <c r="BE6" i="74"/>
  <c r="BJ6" i="74"/>
  <c r="BF6" i="74"/>
  <c r="BJ18" i="82"/>
  <c r="BK18" i="82" s="1"/>
  <c r="BF18" i="82"/>
  <c r="BE18" i="82"/>
  <c r="BE12" i="73"/>
  <c r="AV25" i="60"/>
  <c r="AW25" i="60"/>
  <c r="AZ25" i="60"/>
  <c r="BA25" i="60"/>
  <c r="BH41" i="47"/>
  <c r="BI41" i="47" s="1"/>
  <c r="BD41" i="47"/>
  <c r="BE41" i="47"/>
  <c r="BJ21" i="81"/>
  <c r="BK21" i="81" s="1"/>
  <c r="BE21" i="81"/>
  <c r="BF21" i="81"/>
  <c r="BD26" i="61"/>
  <c r="BE26" i="61"/>
  <c r="BH26" i="61"/>
  <c r="BI26" i="61" s="1"/>
  <c r="AW7" i="82"/>
  <c r="BE49" i="61"/>
  <c r="BD49" i="61"/>
  <c r="BI49" i="61"/>
  <c r="BA8" i="71"/>
  <c r="BB8" i="71" s="1"/>
  <c r="AV8" i="71"/>
  <c r="BH49" i="64"/>
  <c r="BI49" i="64" s="1"/>
  <c r="BE49" i="64"/>
  <c r="AZ13" i="64"/>
  <c r="BA13" i="64" s="1"/>
  <c r="AV13" i="64"/>
  <c r="AW13" i="64"/>
  <c r="AZ22" i="38"/>
  <c r="BA22" i="38"/>
  <c r="AW22" i="38"/>
  <c r="AV22" i="38"/>
  <c r="BJ11" i="70"/>
  <c r="BK11" i="70" s="1"/>
  <c r="BF11" i="70"/>
  <c r="BD52" i="47"/>
  <c r="BJ105" i="76"/>
  <c r="BK105" i="76" s="1"/>
  <c r="AV8" i="74"/>
  <c r="BA8" i="74"/>
  <c r="BB8" i="74" s="1"/>
  <c r="AV37" i="38"/>
  <c r="AZ37" i="38"/>
  <c r="BA37" i="38"/>
  <c r="AW37" i="38"/>
  <c r="BF43" i="78"/>
  <c r="BJ43" i="78"/>
  <c r="BK43" i="78"/>
  <c r="BE43" i="78"/>
  <c r="BF24" i="1"/>
  <c r="BJ24" i="1"/>
  <c r="BK24" i="1"/>
  <c r="BE24" i="1"/>
  <c r="BF6" i="82"/>
  <c r="AW40" i="38"/>
  <c r="AV40" i="38"/>
  <c r="AZ40" i="38"/>
  <c r="BA40" i="38"/>
  <c r="AW90" i="47"/>
  <c r="BD47" i="47"/>
  <c r="BH47" i="47"/>
  <c r="BI47" i="47" s="1"/>
  <c r="BE47" i="47"/>
  <c r="BE47" i="60"/>
  <c r="BH47" i="60"/>
  <c r="BI47" i="60" s="1"/>
  <c r="BD47" i="60"/>
  <c r="BJ10" i="75"/>
  <c r="BK10" i="75" s="1"/>
  <c r="BF10" i="75"/>
  <c r="BE9" i="60"/>
  <c r="BJ21" i="70"/>
  <c r="BK21" i="70" s="1"/>
  <c r="AV22" i="47"/>
  <c r="AV22" i="61"/>
  <c r="BF15" i="69"/>
  <c r="AW5" i="70"/>
  <c r="BA23" i="80"/>
  <c r="BB23" i="80" s="1"/>
  <c r="AW18" i="67"/>
  <c r="BA10" i="77"/>
  <c r="BB10" i="77" s="1"/>
  <c r="BF50" i="78"/>
  <c r="BJ30" i="70"/>
  <c r="BK30" i="70" s="1"/>
  <c r="AV10" i="68"/>
  <c r="BE54" i="47"/>
  <c r="BD54" i="47"/>
  <c r="BH54" i="47"/>
  <c r="BI54" i="47" s="1"/>
  <c r="BJ19" i="73"/>
  <c r="BE19" i="73"/>
  <c r="BF19" i="73"/>
  <c r="AV17" i="38"/>
  <c r="AZ17" i="38"/>
  <c r="BA17" i="38"/>
  <c r="AW17" i="38"/>
  <c r="BF8" i="67"/>
  <c r="BJ8" i="67"/>
  <c r="BE8" i="67"/>
  <c r="BH55" i="61"/>
  <c r="BI55" i="61" s="1"/>
  <c r="BD55" i="61"/>
  <c r="BE55" i="61"/>
  <c r="BH7" i="47"/>
  <c r="BI7" i="47" s="1"/>
  <c r="BE7" i="47"/>
  <c r="BD7" i="47"/>
  <c r="BD51" i="61"/>
  <c r="BE51" i="61"/>
  <c r="BH51" i="61"/>
  <c r="BI51" i="61" s="1"/>
  <c r="BE51" i="47"/>
  <c r="BD51" i="47"/>
  <c r="BH51" i="47"/>
  <c r="BI51" i="47" s="1"/>
  <c r="AV82" i="47"/>
  <c r="AW82" i="47"/>
  <c r="AZ82" i="61"/>
  <c r="BA82" i="61" s="1"/>
  <c r="AW82" i="61"/>
  <c r="AV82" i="61"/>
  <c r="AV21" i="38"/>
  <c r="AW21" i="38"/>
  <c r="AZ21" i="38"/>
  <c r="BA21" i="38"/>
  <c r="BD30" i="61"/>
  <c r="BE30" i="61"/>
  <c r="BH30" i="61"/>
  <c r="BI30" i="61" s="1"/>
  <c r="BJ5" i="80"/>
  <c r="BF5" i="80"/>
  <c r="BE5" i="80"/>
  <c r="BJ11" i="71"/>
  <c r="BK11" i="71" s="1"/>
  <c r="BF11" i="71"/>
  <c r="BE34" i="70"/>
  <c r="BA9" i="76"/>
  <c r="BB9" i="76" s="1"/>
  <c r="AW83" i="61"/>
  <c r="BA19" i="78"/>
  <c r="BB19" i="78" s="1"/>
  <c r="AW19" i="78"/>
  <c r="AV19" i="78"/>
  <c r="AV5" i="75"/>
  <c r="BF5" i="76"/>
  <c r="BE5" i="76"/>
  <c r="BA11" i="81"/>
  <c r="BB11" i="81"/>
  <c r="BF5" i="68"/>
  <c r="AW31" i="38"/>
  <c r="AZ31" i="38"/>
  <c r="BA31" i="38"/>
  <c r="AV31" i="38"/>
  <c r="AW84" i="71"/>
  <c r="BH32" i="64"/>
  <c r="BI32" i="64" s="1"/>
  <c r="AW9" i="82"/>
  <c r="BH35" i="47"/>
  <c r="BI35" i="47" s="1"/>
  <c r="BF15" i="81"/>
  <c r="BH32" i="60"/>
  <c r="BI32" i="60" s="1"/>
  <c r="BE32" i="60"/>
  <c r="BD32" i="60"/>
  <c r="AZ24" i="60"/>
  <c r="BA24" i="60" s="1"/>
  <c r="AV24" i="60"/>
  <c r="AW24" i="60"/>
  <c r="AV7" i="1"/>
  <c r="BA7" i="1"/>
  <c r="BB7" i="1" s="1"/>
  <c r="AW7" i="1"/>
  <c r="AW5" i="80"/>
  <c r="AV5" i="80"/>
  <c r="BA5" i="80"/>
  <c r="BB5" i="80" s="1"/>
  <c r="BE46" i="47"/>
  <c r="BH46" i="47"/>
  <c r="BI46" i="47" s="1"/>
  <c r="BD46" i="47"/>
  <c r="BJ20" i="74"/>
  <c r="BK20" i="74" s="1"/>
  <c r="BF20" i="74"/>
  <c r="BE20" i="74"/>
  <c r="AZ41" i="38"/>
  <c r="BA41" i="38"/>
  <c r="AV41" i="38"/>
  <c r="AW41" i="38"/>
  <c r="BA16" i="78"/>
  <c r="BB16" i="78" s="1"/>
  <c r="AV16" i="78"/>
  <c r="AW16" i="78"/>
  <c r="BF110" i="71"/>
  <c r="AV83" i="70"/>
  <c r="BA9" i="81"/>
  <c r="BB9" i="81" s="1"/>
  <c r="AV9" i="81"/>
  <c r="AW9" i="81"/>
  <c r="BA9" i="67"/>
  <c r="BB9" i="67" s="1"/>
  <c r="AW9" i="67"/>
  <c r="AV9" i="67"/>
  <c r="AV5" i="69"/>
  <c r="AV5" i="76"/>
  <c r="BF5" i="75"/>
  <c r="BJ5" i="82"/>
  <c r="BK5" i="82" s="1"/>
  <c r="BJ17" i="73"/>
  <c r="BE17" i="73"/>
  <c r="BF17" i="73"/>
  <c r="BA11" i="74"/>
  <c r="BB11" i="74" s="1"/>
  <c r="AW20" i="38"/>
  <c r="AZ20" i="38"/>
  <c r="BA20" i="38"/>
  <c r="AV20" i="38"/>
  <c r="BE25" i="78"/>
  <c r="BF18" i="76"/>
  <c r="BE12" i="81"/>
  <c r="BF31" i="78"/>
  <c r="BH33" i="60"/>
  <c r="BI33" i="60"/>
  <c r="BE33" i="60"/>
  <c r="BD33" i="60"/>
  <c r="BJ21" i="68"/>
  <c r="BF21" i="68"/>
  <c r="BE21" i="68"/>
  <c r="BE27" i="47"/>
  <c r="BD27" i="47"/>
  <c r="BH27" i="47"/>
  <c r="BI27" i="47"/>
  <c r="BE40" i="78"/>
  <c r="AW27" i="38"/>
  <c r="AZ27" i="38"/>
  <c r="BA27" i="38"/>
  <c r="AV27" i="38"/>
  <c r="BJ12" i="78"/>
  <c r="BE12" i="78"/>
  <c r="BF12" i="78"/>
  <c r="AW7" i="75"/>
  <c r="BE9" i="68"/>
  <c r="BE49" i="60"/>
  <c r="BD49" i="60"/>
  <c r="AZ13" i="47"/>
  <c r="BA13" i="47" s="1"/>
  <c r="AW13" i="47"/>
  <c r="AV13" i="61"/>
  <c r="BF8" i="77"/>
  <c r="BE7" i="70"/>
  <c r="BF7" i="70"/>
  <c r="BJ7" i="70"/>
  <c r="BK7" i="70" s="1"/>
  <c r="AV25" i="47"/>
  <c r="AW25" i="47"/>
  <c r="AZ25" i="47"/>
  <c r="BA25" i="47" s="1"/>
  <c r="BE22" i="67"/>
  <c r="BH52" i="61"/>
  <c r="BI52" i="61" s="1"/>
  <c r="AV8" i="68"/>
  <c r="BA12" i="70"/>
  <c r="BB12" i="70" s="1"/>
  <c r="AV8" i="81"/>
  <c r="BA8" i="67"/>
  <c r="BB8" i="67" s="1"/>
  <c r="BJ11" i="76"/>
  <c r="BK11" i="76" s="1"/>
  <c r="AV86" i="61"/>
  <c r="AV86" i="47"/>
  <c r="BF12" i="66"/>
  <c r="BF36" i="80"/>
  <c r="BE36" i="80"/>
  <c r="BJ36" i="80"/>
  <c r="BD43" i="61"/>
  <c r="BE43" i="61"/>
  <c r="BH43" i="61"/>
  <c r="BI43" i="61"/>
  <c r="BJ6" i="76"/>
  <c r="BK6" i="76" s="1"/>
  <c r="BE6" i="76"/>
  <c r="BJ13" i="82"/>
  <c r="BK13" i="82" s="1"/>
  <c r="AV19" i="38"/>
  <c r="AW19" i="38"/>
  <c r="AZ19" i="38"/>
  <c r="BA19" i="38"/>
  <c r="AW11" i="70"/>
  <c r="BH48" i="61"/>
  <c r="BI48" i="61" s="1"/>
  <c r="BD48" i="61"/>
  <c r="BE48" i="61"/>
  <c r="BA7" i="71"/>
  <c r="BB7" i="71" s="1"/>
  <c r="AV7" i="71"/>
  <c r="AW7" i="71"/>
  <c r="BA84" i="75"/>
  <c r="BB84" i="75" s="1"/>
  <c r="AV84" i="75"/>
  <c r="AW84" i="75"/>
  <c r="BJ103" i="75"/>
  <c r="BK103" i="75" s="1"/>
  <c r="BF103" i="75"/>
  <c r="BE103" i="75"/>
  <c r="BF102" i="75"/>
  <c r="AV90" i="61"/>
  <c r="BH36" i="61"/>
  <c r="BI36" i="61" s="1"/>
  <c r="BE36" i="61"/>
  <c r="BD36" i="61"/>
  <c r="BF16" i="67"/>
  <c r="BJ16" i="67"/>
  <c r="BK16" i="67" s="1"/>
  <c r="BE16" i="67"/>
  <c r="BF7" i="67"/>
  <c r="BJ7" i="67"/>
  <c r="BK7" i="67" s="1"/>
  <c r="BE7" i="67"/>
  <c r="BJ26" i="78"/>
  <c r="BK26" i="78" s="1"/>
  <c r="BE26" i="78"/>
  <c r="BF26" i="78"/>
  <c r="BH47" i="64"/>
  <c r="BI47" i="64"/>
  <c r="BD47" i="64"/>
  <c r="AW6" i="80"/>
  <c r="BA6" i="80"/>
  <c r="BB6" i="80" s="1"/>
  <c r="BF8" i="70"/>
  <c r="BJ8" i="70"/>
  <c r="BE8" i="70"/>
  <c r="BF15" i="76"/>
  <c r="BJ15" i="76"/>
  <c r="BK15" i="76" s="1"/>
  <c r="BE15" i="76"/>
  <c r="AV16" i="47"/>
  <c r="AW16" i="47"/>
  <c r="AZ16" i="47"/>
  <c r="BA16" i="47" s="1"/>
  <c r="AW6" i="76"/>
  <c r="BA6" i="76"/>
  <c r="BB6" i="76" s="1"/>
  <c r="AV6" i="76"/>
  <c r="BJ8" i="69"/>
  <c r="BK8" i="69" s="1"/>
  <c r="BE8" i="69"/>
  <c r="BF8" i="69"/>
  <c r="BJ8" i="75"/>
  <c r="BK8" i="75" s="1"/>
  <c r="BE8" i="75"/>
  <c r="BF8" i="75"/>
  <c r="BF20" i="69"/>
  <c r="BE20" i="69"/>
  <c r="BJ20" i="69"/>
  <c r="BK20" i="69"/>
  <c r="BA15" i="66"/>
  <c r="BB15" i="66" s="1"/>
  <c r="AV15" i="66"/>
  <c r="BH15" i="64"/>
  <c r="BI15" i="64" s="1"/>
  <c r="BF30" i="67"/>
  <c r="BE30" i="67"/>
  <c r="BJ30" i="67"/>
  <c r="BK30" i="67" s="1"/>
  <c r="BF41" i="80"/>
  <c r="BJ41" i="80"/>
  <c r="BK41" i="80" s="1"/>
  <c r="BE41" i="80"/>
  <c r="BA18" i="81"/>
  <c r="BB18" i="81" s="1"/>
  <c r="AV15" i="71"/>
  <c r="BA15" i="71"/>
  <c r="BB15" i="71" s="1"/>
  <c r="AW15" i="71"/>
  <c r="BF8" i="66"/>
  <c r="BD39" i="47"/>
  <c r="AW6" i="1"/>
  <c r="AV6" i="1"/>
  <c r="BA6" i="1"/>
  <c r="BB6" i="1" s="1"/>
  <c r="AV30" i="38"/>
  <c r="AW30" i="38"/>
  <c r="AZ30" i="38"/>
  <c r="BA30" i="38"/>
  <c r="AZ5" i="61"/>
  <c r="BA5" i="61" s="1"/>
  <c r="BE19" i="70"/>
  <c r="AZ28" i="61"/>
  <c r="BA28" i="61" s="1"/>
  <c r="AV28" i="61"/>
  <c r="AW28" i="61"/>
  <c r="AV5" i="68"/>
  <c r="AW5" i="68"/>
  <c r="BA5" i="68"/>
  <c r="BB5" i="68" s="1"/>
  <c r="BD58" i="61"/>
  <c r="BH58" i="61"/>
  <c r="BI58" i="61" s="1"/>
  <c r="BE58" i="61"/>
  <c r="AW35" i="47"/>
  <c r="AV35" i="47"/>
  <c r="AZ35" i="47"/>
  <c r="BA35" i="47" s="1"/>
  <c r="BH5" i="60"/>
  <c r="BI5" i="60" s="1"/>
  <c r="BD5" i="60"/>
  <c r="BE5" i="60"/>
  <c r="AV8" i="69"/>
  <c r="AV32" i="38"/>
  <c r="AW32" i="38"/>
  <c r="AZ32" i="38"/>
  <c r="BA32" i="38"/>
  <c r="BF14" i="77"/>
  <c r="BE14" i="77"/>
  <c r="BJ14" i="77"/>
  <c r="BK14" i="77"/>
  <c r="BA18" i="68"/>
  <c r="BB18" i="68" s="1"/>
  <c r="BA22" i="67"/>
  <c r="BB22" i="67" s="1"/>
  <c r="AW22" i="67"/>
  <c r="AV22" i="67"/>
  <c r="AW27" i="80"/>
  <c r="AV27" i="80"/>
  <c r="BA22" i="74"/>
  <c r="BB22" i="74" s="1"/>
  <c r="AV22" i="74"/>
  <c r="AW22" i="74"/>
  <c r="AW20" i="1"/>
  <c r="AV20" i="1"/>
  <c r="BA20" i="1"/>
  <c r="BB20" i="1" s="1"/>
  <c r="BE32" i="1"/>
  <c r="BJ32" i="1"/>
  <c r="BK32" i="1" s="1"/>
  <c r="BF32" i="1"/>
  <c r="BA20" i="67"/>
  <c r="BB20" i="67" s="1"/>
  <c r="AV20" i="70"/>
  <c r="BF27" i="71"/>
  <c r="BE27" i="71"/>
  <c r="BJ27" i="71"/>
  <c r="BK27" i="71" s="1"/>
  <c r="BF32" i="73"/>
  <c r="BE32" i="73"/>
  <c r="BJ32" i="73"/>
  <c r="BK32" i="73" s="1"/>
  <c r="AW20" i="73"/>
  <c r="BF27" i="68"/>
  <c r="BE31" i="61"/>
  <c r="BA6" i="74"/>
  <c r="BB6" i="74" s="1"/>
  <c r="BJ12" i="74"/>
  <c r="BK12" i="74" s="1"/>
  <c r="BF12" i="74"/>
  <c r="AV25" i="64"/>
  <c r="AZ25" i="64"/>
  <c r="BA25" i="64"/>
  <c r="AW25" i="64"/>
  <c r="BH33" i="64"/>
  <c r="BI33" i="64"/>
  <c r="BD33" i="64"/>
  <c r="BE33" i="64"/>
  <c r="BF35" i="80"/>
  <c r="BE35" i="80"/>
  <c r="BJ35" i="80"/>
  <c r="BE27" i="61"/>
  <c r="BD27" i="61"/>
  <c r="BH27" i="61"/>
  <c r="BI27" i="61"/>
  <c r="BH16" i="61"/>
  <c r="BI16" i="61" s="1"/>
  <c r="BF21" i="74"/>
  <c r="BH41" i="61"/>
  <c r="BI41" i="61" s="1"/>
  <c r="BE18" i="66"/>
  <c r="BJ18" i="66"/>
  <c r="BK18" i="66" s="1"/>
  <c r="BF18" i="71"/>
  <c r="BE18" i="71"/>
  <c r="AV26" i="47"/>
  <c r="BJ17" i="75"/>
  <c r="BK17" i="75" s="1"/>
  <c r="BA8" i="80"/>
  <c r="BB8" i="80" s="1"/>
  <c r="BF10" i="77"/>
  <c r="AV25" i="61"/>
  <c r="BH42" i="47"/>
  <c r="BI42" i="47" s="1"/>
  <c r="BD42" i="47"/>
  <c r="BE42" i="47"/>
  <c r="BF41" i="78"/>
  <c r="BE41" i="78"/>
  <c r="BJ41" i="78"/>
  <c r="AW29" i="47"/>
  <c r="AZ29" i="47"/>
  <c r="BA29" i="47" s="1"/>
  <c r="AV29" i="47"/>
  <c r="AZ29" i="61"/>
  <c r="BA29" i="61" s="1"/>
  <c r="AV29" i="61"/>
  <c r="AW29" i="61"/>
  <c r="AZ22" i="60"/>
  <c r="BA22" i="60" s="1"/>
  <c r="AW22" i="60"/>
  <c r="AV22" i="60"/>
  <c r="BE16" i="68"/>
  <c r="BJ16" i="68"/>
  <c r="BF16" i="68"/>
  <c r="BD33" i="61"/>
  <c r="BE33" i="61"/>
  <c r="BH33" i="61"/>
  <c r="BI33" i="61" s="1"/>
  <c r="AV18" i="78"/>
  <c r="BA18" i="78"/>
  <c r="BB18" i="78" s="1"/>
  <c r="AW18" i="78"/>
  <c r="BF11" i="69"/>
  <c r="BJ11" i="69"/>
  <c r="BK11" i="69" s="1"/>
  <c r="BE11" i="69"/>
  <c r="BJ13" i="66"/>
  <c r="BK13" i="66" s="1"/>
  <c r="BE13" i="66"/>
  <c r="BF13" i="66"/>
  <c r="BJ13" i="71"/>
  <c r="BK13" i="71" s="1"/>
  <c r="BF13" i="71"/>
  <c r="BE13" i="71"/>
  <c r="BE43" i="47"/>
  <c r="BD43" i="47"/>
  <c r="BH43" i="47"/>
  <c r="BI43" i="47"/>
  <c r="BE24" i="81"/>
  <c r="BJ24" i="81"/>
  <c r="BK24" i="81"/>
  <c r="BF24" i="81"/>
  <c r="BJ6" i="69"/>
  <c r="BK6" i="69" s="1"/>
  <c r="BF13" i="76"/>
  <c r="BJ13" i="76"/>
  <c r="BK13" i="76" s="1"/>
  <c r="BE13" i="76"/>
  <c r="AV11" i="1"/>
  <c r="AW11" i="1"/>
  <c r="BA11" i="1"/>
  <c r="BB11" i="1" s="1"/>
  <c r="BJ9" i="71"/>
  <c r="BK9" i="71" s="1"/>
  <c r="BF9" i="71"/>
  <c r="BE9" i="71"/>
  <c r="BA7" i="66"/>
  <c r="BB7" i="66" s="1"/>
  <c r="AW7" i="66"/>
  <c r="AV7" i="66"/>
  <c r="BH48" i="47"/>
  <c r="BI48" i="47" s="1"/>
  <c r="BE48" i="47"/>
  <c r="BD48" i="47"/>
  <c r="AZ92" i="47"/>
  <c r="BA92" i="47" s="1"/>
  <c r="AW92" i="47"/>
  <c r="AV92" i="47"/>
  <c r="BF17" i="71"/>
  <c r="BJ17" i="71"/>
  <c r="BK17" i="71" s="1"/>
  <c r="BE17" i="71"/>
  <c r="BE25" i="47"/>
  <c r="BD25" i="47"/>
  <c r="BH25" i="47"/>
  <c r="BI25" i="47" s="1"/>
  <c r="BH25" i="61"/>
  <c r="BI25" i="61" s="1"/>
  <c r="BE25" i="61"/>
  <c r="BD25" i="61"/>
  <c r="BJ13" i="73"/>
  <c r="BK13" i="73" s="1"/>
  <c r="BF13" i="73"/>
  <c r="BE13" i="73"/>
  <c r="BJ128" i="74"/>
  <c r="BK128" i="74" s="1"/>
  <c r="BF128" i="74"/>
  <c r="BE128" i="74"/>
  <c r="BA83" i="75"/>
  <c r="BB83" i="75" s="1"/>
  <c r="AW83" i="75"/>
  <c r="AV83" i="75"/>
  <c r="BH24" i="47"/>
  <c r="BI24" i="47" s="1"/>
  <c r="BE24" i="47"/>
  <c r="BD24" i="47"/>
  <c r="BJ16" i="80"/>
  <c r="BK16" i="80" s="1"/>
  <c r="BF16" i="80"/>
  <c r="BE16" i="80"/>
  <c r="BE14" i="78"/>
  <c r="BJ14" i="78"/>
  <c r="BK14" i="78" s="1"/>
  <c r="BF14" i="78"/>
  <c r="BA83" i="76"/>
  <c r="BB83" i="76" s="1"/>
  <c r="AW83" i="76"/>
  <c r="AV83" i="76"/>
  <c r="BE35" i="78"/>
  <c r="BF20" i="80"/>
  <c r="BE20" i="80"/>
  <c r="BJ20" i="80"/>
  <c r="BK20" i="80" s="1"/>
  <c r="BF7" i="73"/>
  <c r="BE7" i="73"/>
  <c r="BJ7" i="73"/>
  <c r="BK7" i="73" s="1"/>
  <c r="BF7" i="81"/>
  <c r="BE7" i="81"/>
  <c r="BJ7" i="81"/>
  <c r="BK7" i="81" s="1"/>
  <c r="BA6" i="66"/>
  <c r="BB6" i="66" s="1"/>
  <c r="BH9" i="61"/>
  <c r="BI9" i="61" s="1"/>
  <c r="BE9" i="61"/>
  <c r="BD9" i="61"/>
  <c r="BE21" i="78"/>
  <c r="BF21" i="78"/>
  <c r="BJ21" i="78"/>
  <c r="BK21" i="78" s="1"/>
  <c r="BJ8" i="1"/>
  <c r="BF8" i="1"/>
  <c r="BE8" i="1"/>
  <c r="AZ33" i="38"/>
  <c r="BA33" i="38"/>
  <c r="AW33" i="38"/>
  <c r="AV33" i="38"/>
  <c r="AW6" i="77"/>
  <c r="BA13" i="74"/>
  <c r="BB13" i="74" s="1"/>
  <c r="AW13" i="74"/>
  <c r="AV13" i="74"/>
  <c r="BA13" i="73"/>
  <c r="BB13" i="73" s="1"/>
  <c r="AW13" i="73"/>
  <c r="AV13" i="73"/>
  <c r="AV26" i="38"/>
  <c r="AW26" i="38"/>
  <c r="AZ26" i="38"/>
  <c r="BA26" i="38"/>
  <c r="BA5" i="78"/>
  <c r="BB5" i="78" s="1"/>
  <c r="AW5" i="78"/>
  <c r="AV5" i="78"/>
  <c r="AV5" i="1"/>
  <c r="BA5" i="1"/>
  <c r="BB5" i="1" s="1"/>
  <c r="AW5" i="1"/>
  <c r="AW6" i="75"/>
  <c r="BA6" i="75"/>
  <c r="BB6" i="75" s="1"/>
  <c r="AV6" i="75"/>
  <c r="BA6" i="69"/>
  <c r="BB6" i="69" s="1"/>
  <c r="AV6" i="69"/>
  <c r="AW6" i="69"/>
  <c r="BJ20" i="82"/>
  <c r="BK20" i="82"/>
  <c r="BE20" i="82"/>
  <c r="BF20" i="82"/>
  <c r="BJ10" i="68"/>
  <c r="BK10" i="68" s="1"/>
  <c r="AZ30" i="61"/>
  <c r="BA30" i="61" s="1"/>
  <c r="AV30" i="61"/>
  <c r="AW30" i="61"/>
  <c r="AW11" i="82"/>
  <c r="AV11" i="82"/>
  <c r="BA11" i="82"/>
  <c r="BB11" i="82" s="1"/>
  <c r="AW11" i="76"/>
  <c r="BA11" i="76"/>
  <c r="BB11" i="76" s="1"/>
  <c r="AV11" i="76"/>
  <c r="BJ19" i="67"/>
  <c r="BK19" i="67" s="1"/>
  <c r="BF19" i="67"/>
  <c r="BE19" i="67"/>
  <c r="BF19" i="74"/>
  <c r="BE19" i="74"/>
  <c r="BJ19" i="74"/>
  <c r="BK19" i="74" s="1"/>
  <c r="BF16" i="69"/>
  <c r="BJ16" i="69"/>
  <c r="BK16" i="69" s="1"/>
  <c r="BE16" i="69"/>
  <c r="AW6" i="78"/>
  <c r="BA6" i="78"/>
  <c r="BB6" i="78" s="1"/>
  <c r="AV6" i="78"/>
  <c r="AW10" i="80"/>
  <c r="AV10" i="80"/>
  <c r="BA10" i="80"/>
  <c r="BB10" i="80" s="1"/>
  <c r="BE14" i="67"/>
  <c r="BJ14" i="67"/>
  <c r="BK14" i="67" s="1"/>
  <c r="BF14" i="67"/>
  <c r="BF14" i="73"/>
  <c r="AZ5" i="47"/>
  <c r="BA5" i="47" s="1"/>
  <c r="AV5" i="47"/>
  <c r="AW5" i="47"/>
  <c r="BA7" i="77"/>
  <c r="BB7" i="77" s="1"/>
  <c r="AW7" i="77"/>
  <c r="AV7" i="77"/>
  <c r="AZ32" i="47"/>
  <c r="BA32" i="47" s="1"/>
  <c r="AV32" i="47"/>
  <c r="AW32" i="47"/>
  <c r="BH7" i="61"/>
  <c r="BI7" i="61" s="1"/>
  <c r="BD7" i="61"/>
  <c r="BE7" i="61"/>
  <c r="AV8" i="75"/>
  <c r="AW8" i="75"/>
  <c r="BA8" i="75"/>
  <c r="BB8" i="75" s="1"/>
  <c r="AW13" i="1"/>
  <c r="BE5" i="66"/>
  <c r="AW22" i="1"/>
  <c r="BA19" i="66"/>
  <c r="BB19" i="66" s="1"/>
  <c r="AV19" i="66"/>
  <c r="AW19" i="66"/>
  <c r="BJ34" i="81"/>
  <c r="BK34" i="81" s="1"/>
  <c r="BE34" i="81"/>
  <c r="BF34" i="81"/>
  <c r="AW19" i="71"/>
  <c r="AV19" i="71"/>
  <c r="BJ34" i="73"/>
  <c r="BK34" i="73" s="1"/>
  <c r="BF34" i="73"/>
  <c r="BE34" i="73"/>
  <c r="AV30" i="78"/>
  <c r="BD17" i="64"/>
  <c r="BE17" i="64"/>
  <c r="BH17" i="64"/>
  <c r="BI17" i="64" s="1"/>
  <c r="BH17" i="47"/>
  <c r="BI17" i="47" s="1"/>
  <c r="BD17" i="47"/>
  <c r="AW25" i="80"/>
  <c r="BA25" i="80"/>
  <c r="BB25" i="80" s="1"/>
  <c r="AV25" i="80"/>
  <c r="BK64" i="82"/>
  <c r="BK55" i="82"/>
  <c r="BK65" i="82"/>
  <c r="BK62" i="82"/>
  <c r="BK59" i="82"/>
  <c r="BK58" i="82"/>
  <c r="BK48" i="82"/>
  <c r="BI48" i="82"/>
  <c r="AU270" i="2"/>
  <c r="BI13" i="82"/>
  <c r="AU177" i="2"/>
  <c r="BK51" i="82"/>
  <c r="BI74" i="82"/>
  <c r="AU358" i="2"/>
  <c r="BK44" i="82"/>
  <c r="BK25" i="82"/>
  <c r="BH49" i="82"/>
  <c r="BI49" i="82"/>
  <c r="AU271" i="2"/>
  <c r="N182" i="2"/>
  <c r="F182" i="2"/>
  <c r="I182" i="2"/>
  <c r="BK45" i="82"/>
  <c r="N167" i="2"/>
  <c r="F167" i="2"/>
  <c r="I167" i="2"/>
  <c r="BH50" i="82"/>
  <c r="BH72" i="82"/>
  <c r="BI72" i="82"/>
  <c r="AU356" i="2"/>
  <c r="BI8" i="82"/>
  <c r="AU172" i="2"/>
  <c r="BI15" i="82"/>
  <c r="AU179" i="2"/>
  <c r="BK70" i="82"/>
  <c r="BK26" i="82"/>
  <c r="BK31" i="82"/>
  <c r="BK28" i="82"/>
  <c r="BK71" i="82"/>
  <c r="BK39" i="82"/>
  <c r="BK34" i="82"/>
  <c r="BK40" i="82"/>
  <c r="BK79" i="81"/>
  <c r="BK66" i="81"/>
  <c r="BK70" i="81"/>
  <c r="BK77" i="81"/>
  <c r="BK72" i="81"/>
  <c r="BI13" i="81"/>
  <c r="AS124" i="2"/>
  <c r="BH84" i="81"/>
  <c r="BI84" i="81"/>
  <c r="AS354" i="2"/>
  <c r="BK63" i="81"/>
  <c r="BK58" i="81"/>
  <c r="BK62" i="81"/>
  <c r="BI5" i="81"/>
  <c r="AS116" i="2"/>
  <c r="BK38" i="81"/>
  <c r="BK48" i="81"/>
  <c r="BK39" i="81"/>
  <c r="BH37" i="81"/>
  <c r="BI37" i="81"/>
  <c r="AS244" i="2"/>
  <c r="BH19" i="81"/>
  <c r="BK52" i="81"/>
  <c r="BI17" i="81"/>
  <c r="AS128" i="2"/>
  <c r="AZ12" i="81"/>
  <c r="AR113" i="2"/>
  <c r="BK37" i="81"/>
  <c r="AY88" i="81"/>
  <c r="BB25" i="81"/>
  <c r="BK46" i="81"/>
  <c r="BK85" i="81"/>
  <c r="BK47" i="81"/>
  <c r="BK43" i="81"/>
  <c r="BI16" i="80"/>
  <c r="AQ100" i="2"/>
  <c r="BH31" i="80"/>
  <c r="BK80" i="80"/>
  <c r="BK82" i="80"/>
  <c r="BH21" i="80"/>
  <c r="BI21" i="80"/>
  <c r="AQ119" i="2"/>
  <c r="BK74" i="80"/>
  <c r="BH24" i="80"/>
  <c r="BI24" i="80"/>
  <c r="AQ122" i="2"/>
  <c r="N122" i="2"/>
  <c r="F122" i="2"/>
  <c r="I122" i="2"/>
  <c r="BK78" i="80"/>
  <c r="BK72" i="80"/>
  <c r="BK79" i="80"/>
  <c r="BK71" i="80"/>
  <c r="BI31" i="80"/>
  <c r="AQ129" i="2"/>
  <c r="BK67" i="80"/>
  <c r="BK35" i="80"/>
  <c r="BI66" i="80"/>
  <c r="AQ270" i="2"/>
  <c r="BK64" i="80"/>
  <c r="BH89" i="80"/>
  <c r="BI89" i="80"/>
  <c r="AQ355" i="2"/>
  <c r="BK30" i="80"/>
  <c r="BK63" i="80"/>
  <c r="BH25" i="80"/>
  <c r="BI10" i="80"/>
  <c r="AQ94" i="2"/>
  <c r="BI54" i="80"/>
  <c r="AQ253" i="2"/>
  <c r="BK54" i="80"/>
  <c r="BI8" i="80"/>
  <c r="AQ92" i="2"/>
  <c r="BH23" i="80"/>
  <c r="BI23" i="80"/>
  <c r="AQ121" i="2"/>
  <c r="BI14" i="80"/>
  <c r="AQ98" i="2"/>
  <c r="BH29" i="80"/>
  <c r="BI29" i="80"/>
  <c r="AQ127" i="2"/>
  <c r="BH33" i="80"/>
  <c r="BI18" i="80"/>
  <c r="AQ102" i="2"/>
  <c r="BI28" i="80"/>
  <c r="AQ126" i="2"/>
  <c r="N126" i="2"/>
  <c r="F126" i="2"/>
  <c r="I126" i="2"/>
  <c r="BI5" i="80"/>
  <c r="AQ89" i="2"/>
  <c r="BH57" i="80"/>
  <c r="BI57" i="80"/>
  <c r="AQ256" i="2"/>
  <c r="N85" i="2"/>
  <c r="F85" i="2"/>
  <c r="I85" i="2"/>
  <c r="BH12" i="80"/>
  <c r="BK57" i="80"/>
  <c r="BB34" i="80"/>
  <c r="BK58" i="80"/>
  <c r="BK36" i="80"/>
  <c r="BK5" i="80"/>
  <c r="N83" i="2"/>
  <c r="F83" i="2"/>
  <c r="I83" i="2"/>
  <c r="BH17" i="80"/>
  <c r="BH53" i="80"/>
  <c r="BI53" i="80"/>
  <c r="AQ252" i="2"/>
  <c r="BH11" i="80"/>
  <c r="BK56" i="80"/>
  <c r="BK49" i="80"/>
  <c r="AZ11" i="80"/>
  <c r="AP87" i="2"/>
  <c r="AZ34" i="80"/>
  <c r="AP242" i="2"/>
  <c r="AZ6" i="80"/>
  <c r="AP82" i="2"/>
  <c r="AZ32" i="80"/>
  <c r="AP240" i="2"/>
  <c r="AZ30" i="80"/>
  <c r="AP238" i="2"/>
  <c r="BI35" i="80"/>
  <c r="AQ104" i="2"/>
  <c r="N104" i="2"/>
  <c r="F104" i="2"/>
  <c r="I104" i="2"/>
  <c r="AY51" i="80"/>
  <c r="AY92" i="80"/>
  <c r="AY14" i="80"/>
  <c r="BH50" i="80"/>
  <c r="BI50" i="80"/>
  <c r="AQ249" i="2"/>
  <c r="AY19" i="80"/>
  <c r="AZ19" i="80"/>
  <c r="AP113" i="2"/>
  <c r="BH7" i="80"/>
  <c r="BB30" i="80"/>
  <c r="BK47" i="80"/>
  <c r="BI87" i="78"/>
  <c r="AO307" i="2"/>
  <c r="BK87" i="78"/>
  <c r="BI90" i="78"/>
  <c r="AO310" i="2"/>
  <c r="BK90" i="78"/>
  <c r="BK95" i="78"/>
  <c r="BK98" i="78"/>
  <c r="BK96" i="78"/>
  <c r="BK93" i="78"/>
  <c r="BK99" i="78"/>
  <c r="BK86" i="78"/>
  <c r="BH41" i="78"/>
  <c r="BI22" i="78"/>
  <c r="AO67" i="2"/>
  <c r="BK77" i="78"/>
  <c r="BI77" i="78"/>
  <c r="AO269" i="2"/>
  <c r="N47" i="2"/>
  <c r="F47" i="2"/>
  <c r="I47" i="2"/>
  <c r="BI15" i="78"/>
  <c r="AO60" i="2"/>
  <c r="BI21" i="78"/>
  <c r="AO66" i="2"/>
  <c r="BK81" i="78"/>
  <c r="BK76" i="78"/>
  <c r="N67" i="2"/>
  <c r="F67" i="2"/>
  <c r="I67" i="2"/>
  <c r="BK80" i="78"/>
  <c r="BK79" i="78"/>
  <c r="BH30" i="78"/>
  <c r="BI30" i="78"/>
  <c r="AO122" i="2"/>
  <c r="BI11" i="78"/>
  <c r="AO56" i="2"/>
  <c r="BH33" i="78"/>
  <c r="BI33" i="78"/>
  <c r="AO125" i="2"/>
  <c r="BI14" i="78"/>
  <c r="AO59" i="2"/>
  <c r="BH27" i="78"/>
  <c r="BI8" i="78"/>
  <c r="AO53" i="2"/>
  <c r="BH35" i="78"/>
  <c r="BI16" i="78"/>
  <c r="AO61" i="2"/>
  <c r="BI31" i="78"/>
  <c r="AO123" i="2"/>
  <c r="BK68" i="78"/>
  <c r="BK70" i="78"/>
  <c r="BK61" i="78"/>
  <c r="BK72" i="78"/>
  <c r="BB108" i="78"/>
  <c r="BH108" i="78"/>
  <c r="BH29" i="78"/>
  <c r="BH5" i="78"/>
  <c r="BH62" i="78"/>
  <c r="BI62" i="78"/>
  <c r="AO249" i="2"/>
  <c r="BK105" i="78"/>
  <c r="BK12" i="78"/>
  <c r="BK13" i="78"/>
  <c r="BK34" i="78"/>
  <c r="BI13" i="78"/>
  <c r="AO58" i="2"/>
  <c r="BK58" i="78"/>
  <c r="BH71" i="78"/>
  <c r="BI71" i="78"/>
  <c r="AO258" i="2"/>
  <c r="BH17" i="78"/>
  <c r="BH6" i="78"/>
  <c r="BH67" i="78"/>
  <c r="BH57" i="78"/>
  <c r="BI57" i="78"/>
  <c r="AO244" i="2"/>
  <c r="BH9" i="78"/>
  <c r="BK63" i="78"/>
  <c r="AY104" i="78"/>
  <c r="BB104" i="78"/>
  <c r="BH18" i="78"/>
  <c r="AY19" i="78"/>
  <c r="AZ19" i="78"/>
  <c r="AN110" i="2"/>
  <c r="BK64" i="78"/>
  <c r="BK60" i="78"/>
  <c r="BK111" i="75"/>
  <c r="AU101" i="75"/>
  <c r="BI108" i="75"/>
  <c r="AK221" i="2"/>
  <c r="AU103" i="75"/>
  <c r="V87" i="75"/>
  <c r="BB91" i="75"/>
  <c r="AZ91" i="75"/>
  <c r="AJ223" i="2"/>
  <c r="N223" i="2"/>
  <c r="F223" i="2"/>
  <c r="I223" i="2"/>
  <c r="N222" i="2"/>
  <c r="F222" i="2"/>
  <c r="I222" i="2"/>
  <c r="N221" i="2"/>
  <c r="F221" i="2"/>
  <c r="I221" i="2"/>
  <c r="BK110" i="75"/>
  <c r="N218" i="2"/>
  <c r="F218" i="2"/>
  <c r="I218" i="2"/>
  <c r="N220" i="2"/>
  <c r="F220" i="2"/>
  <c r="I220" i="2"/>
  <c r="N217" i="2"/>
  <c r="F217" i="2"/>
  <c r="I217" i="2"/>
  <c r="BK81" i="75"/>
  <c r="BI81" i="75"/>
  <c r="AK323" i="2"/>
  <c r="BI60" i="75"/>
  <c r="AK279" i="2"/>
  <c r="BK60" i="75"/>
  <c r="BK61" i="75"/>
  <c r="BK88" i="75"/>
  <c r="BK90" i="75"/>
  <c r="BK92" i="75"/>
  <c r="BK86" i="75"/>
  <c r="BK87" i="75"/>
  <c r="BK94" i="75"/>
  <c r="BK70" i="75"/>
  <c r="BI70" i="75"/>
  <c r="AK312" i="2"/>
  <c r="BI76" i="75"/>
  <c r="AK318" i="2"/>
  <c r="BK76" i="75"/>
  <c r="BK67" i="75"/>
  <c r="BK71" i="75"/>
  <c r="BK72" i="75"/>
  <c r="BK68" i="75"/>
  <c r="BK65" i="75"/>
  <c r="BK47" i="75"/>
  <c r="BI47" i="75"/>
  <c r="AK266" i="2"/>
  <c r="BK51" i="75"/>
  <c r="BI51" i="75"/>
  <c r="AK270" i="2"/>
  <c r="BK52" i="75"/>
  <c r="N215" i="2"/>
  <c r="F215" i="2"/>
  <c r="I215" i="2"/>
  <c r="BI50" i="75"/>
  <c r="AK269" i="2"/>
  <c r="BB113" i="75"/>
  <c r="BK53" i="75"/>
  <c r="BK39" i="75"/>
  <c r="BI39" i="75"/>
  <c r="AK253" i="2"/>
  <c r="BK43" i="75"/>
  <c r="BI43" i="75"/>
  <c r="AK257" i="2"/>
  <c r="BH102" i="75"/>
  <c r="AZ83" i="75"/>
  <c r="AJ203" i="2"/>
  <c r="BK34" i="75"/>
  <c r="AY117" i="75"/>
  <c r="AZ117" i="75"/>
  <c r="AJ358" i="2"/>
  <c r="BH113" i="75"/>
  <c r="BI113" i="75"/>
  <c r="AK354" i="2"/>
  <c r="BH115" i="75"/>
  <c r="BI115" i="75"/>
  <c r="AK356" i="2"/>
  <c r="BI5" i="75"/>
  <c r="AK169" i="2"/>
  <c r="N205" i="2"/>
  <c r="F205" i="2"/>
  <c r="I205" i="2"/>
  <c r="BK32" i="75"/>
  <c r="BH62" i="75"/>
  <c r="BI62" i="75"/>
  <c r="AK281" i="2"/>
  <c r="BB40" i="75"/>
  <c r="BK31" i="75"/>
  <c r="N224" i="2"/>
  <c r="F224" i="2"/>
  <c r="I224" i="2"/>
  <c r="AU101" i="74"/>
  <c r="N219" i="2"/>
  <c r="F219" i="2"/>
  <c r="I219" i="2"/>
  <c r="BK131" i="74"/>
  <c r="BK133" i="74"/>
  <c r="BI102" i="74"/>
  <c r="AI322" i="2"/>
  <c r="BK102" i="74"/>
  <c r="BK104" i="74"/>
  <c r="BI104" i="74"/>
  <c r="AI324" i="2"/>
  <c r="AZ48" i="74"/>
  <c r="AH281" i="2"/>
  <c r="BB48" i="74"/>
  <c r="BI75" i="74"/>
  <c r="AI280" i="2"/>
  <c r="BK75" i="74"/>
  <c r="BK73" i="74"/>
  <c r="BB45" i="74"/>
  <c r="BK115" i="74"/>
  <c r="BI115" i="74"/>
  <c r="AI343" i="2"/>
  <c r="BI107" i="74"/>
  <c r="AI335" i="2"/>
  <c r="BK107" i="74"/>
  <c r="BK18" i="74"/>
  <c r="BB67" i="74"/>
  <c r="BH118" i="74"/>
  <c r="BI118" i="74"/>
  <c r="AI346" i="2"/>
  <c r="BK117" i="74"/>
  <c r="BK114" i="74"/>
  <c r="BH106" i="74"/>
  <c r="BI106" i="74"/>
  <c r="AI334" i="2"/>
  <c r="BK119" i="74"/>
  <c r="BI91" i="74"/>
  <c r="AI311" i="2"/>
  <c r="BK91" i="74"/>
  <c r="BK17" i="74"/>
  <c r="BI17" i="74"/>
  <c r="AI128" i="2"/>
  <c r="BK93" i="74"/>
  <c r="BK99" i="74"/>
  <c r="BK100" i="74"/>
  <c r="BK96" i="74"/>
  <c r="N204" i="2"/>
  <c r="F204" i="2"/>
  <c r="I204" i="2"/>
  <c r="BK98" i="74"/>
  <c r="BK95" i="74"/>
  <c r="BK80" i="74"/>
  <c r="BK89" i="74"/>
  <c r="BK86" i="74"/>
  <c r="BK64" i="74"/>
  <c r="BI64" i="74"/>
  <c r="AI269" i="2"/>
  <c r="N114" i="2"/>
  <c r="F114" i="2"/>
  <c r="I114" i="2"/>
  <c r="BK66" i="74"/>
  <c r="BK67" i="74"/>
  <c r="BK70" i="74"/>
  <c r="BI19" i="74"/>
  <c r="AI130" i="2"/>
  <c r="BK59" i="74"/>
  <c r="BH139" i="74"/>
  <c r="BI139" i="74"/>
  <c r="AI354" i="2"/>
  <c r="BK57" i="74"/>
  <c r="BK55" i="74"/>
  <c r="AZ143" i="74"/>
  <c r="AH358" i="2"/>
  <c r="BK50" i="74"/>
  <c r="BI6" i="74"/>
  <c r="AI117" i="2"/>
  <c r="BH141" i="74"/>
  <c r="BI141" i="74"/>
  <c r="AI356" i="2"/>
  <c r="BI9" i="74"/>
  <c r="AI120" i="2"/>
  <c r="BK47" i="74"/>
  <c r="BI47" i="74"/>
  <c r="AI247" i="2"/>
  <c r="BI49" i="74"/>
  <c r="AI249" i="2"/>
  <c r="BK49" i="74"/>
  <c r="BH128" i="74"/>
  <c r="BI128" i="74"/>
  <c r="AI203" i="2"/>
  <c r="AZ83" i="74"/>
  <c r="AH203" i="2"/>
  <c r="BK48" i="74"/>
  <c r="BK41" i="74"/>
  <c r="BK6" i="74"/>
  <c r="BK139" i="74"/>
  <c r="BK40" i="74"/>
  <c r="BK37" i="74"/>
  <c r="BB143" i="74"/>
  <c r="BK38" i="74"/>
  <c r="BK143" i="74"/>
  <c r="AZ6" i="74"/>
  <c r="AH107" i="2"/>
  <c r="N107" i="2"/>
  <c r="F107" i="2"/>
  <c r="I107" i="2"/>
  <c r="BH46" i="74"/>
  <c r="BI46" i="74"/>
  <c r="AI246" i="2"/>
  <c r="AZ83" i="76"/>
  <c r="AF189" i="2"/>
  <c r="BK81" i="76"/>
  <c r="BK93" i="76"/>
  <c r="BI93" i="76"/>
  <c r="AG347" i="2"/>
  <c r="BK95" i="76"/>
  <c r="BK91" i="76"/>
  <c r="AZ60" i="76"/>
  <c r="AF333" i="2"/>
  <c r="BH13" i="76"/>
  <c r="BI13" i="76"/>
  <c r="AG177" i="2"/>
  <c r="AZ9" i="76"/>
  <c r="AF165" i="2"/>
  <c r="N165" i="2"/>
  <c r="F165" i="2"/>
  <c r="I165" i="2"/>
  <c r="BK20" i="76"/>
  <c r="BB60" i="76"/>
  <c r="BK86" i="76"/>
  <c r="BK94" i="76"/>
  <c r="AY111" i="76"/>
  <c r="AZ111" i="76"/>
  <c r="AF358" i="2"/>
  <c r="BB16" i="76"/>
  <c r="BK87" i="76"/>
  <c r="BB18" i="76"/>
  <c r="BH94" i="76"/>
  <c r="BI94" i="76"/>
  <c r="AG348" i="2"/>
  <c r="BK97" i="76"/>
  <c r="AY107" i="76"/>
  <c r="AZ107" i="76"/>
  <c r="AF354" i="2"/>
  <c r="BI20" i="76"/>
  <c r="AG183" i="2"/>
  <c r="N183" i="2"/>
  <c r="F183" i="2"/>
  <c r="I183" i="2"/>
  <c r="BK88" i="76"/>
  <c r="BK92" i="76"/>
  <c r="BK75" i="76"/>
  <c r="BI75" i="76"/>
  <c r="AG317" i="2"/>
  <c r="BK68" i="76"/>
  <c r="BI68" i="76"/>
  <c r="AG310" i="2"/>
  <c r="BK72" i="76"/>
  <c r="BK71" i="76"/>
  <c r="N172" i="2"/>
  <c r="F172" i="2"/>
  <c r="I172" i="2"/>
  <c r="BK77" i="76"/>
  <c r="BI64" i="76"/>
  <c r="AG294" i="2"/>
  <c r="BK64" i="76"/>
  <c r="BK65" i="76"/>
  <c r="BK52" i="76"/>
  <c r="BK51" i="76"/>
  <c r="N178" i="2"/>
  <c r="F178" i="2"/>
  <c r="I178" i="2"/>
  <c r="N199" i="2"/>
  <c r="F199" i="2"/>
  <c r="I199" i="2"/>
  <c r="N181" i="2"/>
  <c r="F181" i="2"/>
  <c r="I181" i="2"/>
  <c r="BI15" i="76"/>
  <c r="AG179" i="2"/>
  <c r="N179" i="2"/>
  <c r="F179" i="2"/>
  <c r="I179" i="2"/>
  <c r="BI9" i="76"/>
  <c r="AG173" i="2"/>
  <c r="BH109" i="76"/>
  <c r="N174" i="2"/>
  <c r="F174" i="2"/>
  <c r="I174" i="2"/>
  <c r="N175" i="2"/>
  <c r="F175" i="2"/>
  <c r="I175" i="2"/>
  <c r="N162" i="2"/>
  <c r="F162" i="2"/>
  <c r="I162" i="2"/>
  <c r="N164" i="2"/>
  <c r="F164" i="2"/>
  <c r="I164" i="2"/>
  <c r="N163" i="2"/>
  <c r="F163" i="2"/>
  <c r="I163" i="2"/>
  <c r="N173" i="2"/>
  <c r="F173" i="2"/>
  <c r="I173" i="2"/>
  <c r="BK42" i="76"/>
  <c r="N177" i="2"/>
  <c r="F177" i="2"/>
  <c r="I177" i="2"/>
  <c r="N171" i="2"/>
  <c r="F171" i="2"/>
  <c r="I171" i="2"/>
  <c r="N166" i="2"/>
  <c r="F166" i="2"/>
  <c r="I166" i="2"/>
  <c r="BK43" i="76"/>
  <c r="BK34" i="76"/>
  <c r="BK44" i="76"/>
  <c r="BK36" i="76"/>
  <c r="N176" i="2"/>
  <c r="F176" i="2"/>
  <c r="I176" i="2"/>
  <c r="N180" i="2"/>
  <c r="F180" i="2"/>
  <c r="I180" i="2"/>
  <c r="BK104" i="76"/>
  <c r="BI104" i="76"/>
  <c r="AG196" i="2"/>
  <c r="BK62" i="76"/>
  <c r="N161" i="2"/>
  <c r="F161" i="2"/>
  <c r="I161" i="2"/>
  <c r="BK110" i="76"/>
  <c r="N170" i="2"/>
  <c r="F170" i="2"/>
  <c r="I170" i="2"/>
  <c r="BB40" i="76"/>
  <c r="BK102" i="73"/>
  <c r="BK73" i="73"/>
  <c r="BI73" i="73"/>
  <c r="AE278" i="2"/>
  <c r="BK75" i="73"/>
  <c r="BI75" i="73"/>
  <c r="AE280" i="2"/>
  <c r="BI113" i="73"/>
  <c r="AE341" i="2"/>
  <c r="BK113" i="73"/>
  <c r="BK108" i="73"/>
  <c r="BK112" i="73"/>
  <c r="BK119" i="73"/>
  <c r="BK118" i="73"/>
  <c r="BK123" i="73"/>
  <c r="BK130" i="73"/>
  <c r="BK109" i="73"/>
  <c r="BI92" i="73"/>
  <c r="AE312" i="2"/>
  <c r="BK92" i="73"/>
  <c r="BK95" i="73"/>
  <c r="BK91" i="73"/>
  <c r="BK98" i="73"/>
  <c r="BK100" i="73"/>
  <c r="BK87" i="73"/>
  <c r="BI87" i="73"/>
  <c r="AE307" i="2"/>
  <c r="BK81" i="73"/>
  <c r="N306" i="2"/>
  <c r="F306" i="2"/>
  <c r="I306" i="2"/>
  <c r="N132" i="2"/>
  <c r="F132" i="2"/>
  <c r="I132" i="2"/>
  <c r="BK67" i="73"/>
  <c r="BI14" i="73"/>
  <c r="AE125" i="2"/>
  <c r="BK50" i="73"/>
  <c r="BK52" i="73"/>
  <c r="N111" i="2"/>
  <c r="F111" i="2"/>
  <c r="I111" i="2"/>
  <c r="BK51" i="73"/>
  <c r="BK19" i="73"/>
  <c r="N109" i="2"/>
  <c r="F109" i="2"/>
  <c r="I109" i="2"/>
  <c r="BK57" i="73"/>
  <c r="N112" i="2"/>
  <c r="F112" i="2"/>
  <c r="I112" i="2"/>
  <c r="BK17" i="73"/>
  <c r="N110" i="2"/>
  <c r="F110" i="2"/>
  <c r="I110" i="2"/>
  <c r="BK56" i="73"/>
  <c r="BK58" i="73"/>
  <c r="N189" i="2"/>
  <c r="F189" i="2"/>
  <c r="I189" i="2"/>
  <c r="BI10" i="73"/>
  <c r="AE121" i="2"/>
  <c r="BK49" i="73"/>
  <c r="BI49" i="73"/>
  <c r="AE249" i="2"/>
  <c r="BI5" i="73"/>
  <c r="AE116" i="2"/>
  <c r="BK47" i="73"/>
  <c r="AZ6" i="73"/>
  <c r="AD107" i="2"/>
  <c r="BK41" i="73"/>
  <c r="BK38" i="73"/>
  <c r="BH133" i="73"/>
  <c r="BI133" i="73"/>
  <c r="AE354" i="2"/>
  <c r="BH7" i="73"/>
  <c r="BI7" i="73"/>
  <c r="AE118" i="2"/>
  <c r="N118" i="2"/>
  <c r="F118" i="2"/>
  <c r="I118" i="2"/>
  <c r="AZ30" i="73"/>
  <c r="AD237" i="2"/>
  <c r="BK128" i="73"/>
  <c r="BB30" i="73"/>
  <c r="BK39" i="73"/>
  <c r="BK136" i="73"/>
  <c r="BK46" i="73"/>
  <c r="BB133" i="73"/>
  <c r="AY137" i="73"/>
  <c r="BB137" i="73"/>
  <c r="N106" i="2"/>
  <c r="F106" i="2"/>
  <c r="I106" i="2"/>
  <c r="BK76" i="73"/>
  <c r="BK40" i="73"/>
  <c r="BI88" i="71"/>
  <c r="AC324" i="2"/>
  <c r="BK88" i="71"/>
  <c r="BK86" i="71"/>
  <c r="BB54" i="71"/>
  <c r="BK97" i="71"/>
  <c r="BI97" i="71"/>
  <c r="AC343" i="2"/>
  <c r="BK105" i="71"/>
  <c r="BK100" i="71"/>
  <c r="BK92" i="71"/>
  <c r="BK90" i="71"/>
  <c r="BK83" i="71"/>
  <c r="BH115" i="71"/>
  <c r="BI115" i="71"/>
  <c r="AC354" i="2"/>
  <c r="BK77" i="71"/>
  <c r="BK79" i="71"/>
  <c r="BK78" i="71"/>
  <c r="BK81" i="71"/>
  <c r="BK69" i="71"/>
  <c r="BK67" i="71"/>
  <c r="BK73" i="71"/>
  <c r="BK71" i="71"/>
  <c r="AY119" i="71"/>
  <c r="BH119" i="71"/>
  <c r="BK119" i="71"/>
  <c r="BK63" i="71"/>
  <c r="BK15" i="71"/>
  <c r="BI15" i="71"/>
  <c r="AC99" i="2"/>
  <c r="N99" i="2"/>
  <c r="F99" i="2"/>
  <c r="I99" i="2"/>
  <c r="BI54" i="71"/>
  <c r="AC269" i="2"/>
  <c r="BK54" i="71"/>
  <c r="BK12" i="71"/>
  <c r="BK55" i="71"/>
  <c r="BK52" i="71"/>
  <c r="BK57" i="71"/>
  <c r="BI14" i="71"/>
  <c r="AC98" i="2"/>
  <c r="N98" i="2"/>
  <c r="F98" i="2"/>
  <c r="I98" i="2"/>
  <c r="BH117" i="71"/>
  <c r="BI117" i="71"/>
  <c r="AC356" i="2"/>
  <c r="BI49" i="71"/>
  <c r="AC259" i="2"/>
  <c r="BK49" i="71"/>
  <c r="BK40" i="71"/>
  <c r="BI40" i="71"/>
  <c r="AC250" i="2"/>
  <c r="AZ83" i="71"/>
  <c r="AB188" i="2"/>
  <c r="BH110" i="71"/>
  <c r="BI110" i="71"/>
  <c r="AC188" i="2"/>
  <c r="N86" i="2"/>
  <c r="F86" i="2"/>
  <c r="I86" i="2"/>
  <c r="N94" i="2"/>
  <c r="F94" i="2"/>
  <c r="I94" i="2"/>
  <c r="N97" i="2"/>
  <c r="F97" i="2"/>
  <c r="I97" i="2"/>
  <c r="BK115" i="71"/>
  <c r="BB41" i="71"/>
  <c r="N84" i="2"/>
  <c r="F84" i="2"/>
  <c r="I84" i="2"/>
  <c r="N87" i="2"/>
  <c r="F87" i="2"/>
  <c r="I87" i="2"/>
  <c r="N93" i="2"/>
  <c r="F93" i="2"/>
  <c r="I93" i="2"/>
  <c r="N102" i="2"/>
  <c r="F102" i="2"/>
  <c r="I102" i="2"/>
  <c r="BH64" i="71"/>
  <c r="BK46" i="71"/>
  <c r="BK47" i="71"/>
  <c r="BK118" i="71"/>
  <c r="BK112" i="71"/>
  <c r="N90" i="2"/>
  <c r="F90" i="2"/>
  <c r="I90" i="2"/>
  <c r="N81" i="2"/>
  <c r="F81" i="2"/>
  <c r="I81" i="2"/>
  <c r="BB115" i="71"/>
  <c r="N357" i="2"/>
  <c r="F357" i="2"/>
  <c r="I357" i="2"/>
  <c r="BK117" i="71"/>
  <c r="BK36" i="71"/>
  <c r="N196" i="2"/>
  <c r="F196" i="2"/>
  <c r="I196" i="2"/>
  <c r="N82" i="2"/>
  <c r="F82" i="2"/>
  <c r="I82" i="2"/>
  <c r="BK34" i="71"/>
  <c r="BK72" i="70"/>
  <c r="AZ46" i="70"/>
  <c r="Z279" i="2"/>
  <c r="BK74" i="70"/>
  <c r="BK75" i="70"/>
  <c r="BB46" i="70"/>
  <c r="BK111" i="70"/>
  <c r="BI111" i="70"/>
  <c r="AA339" i="2"/>
  <c r="BK120" i="70"/>
  <c r="BI120" i="70"/>
  <c r="AA348" i="2"/>
  <c r="BK116" i="70"/>
  <c r="BH121" i="70"/>
  <c r="BK113" i="70"/>
  <c r="BK106" i="70"/>
  <c r="BK107" i="70"/>
  <c r="BK117" i="70"/>
  <c r="BK108" i="70"/>
  <c r="N336" i="2"/>
  <c r="F336" i="2"/>
  <c r="I336" i="2"/>
  <c r="BK8" i="70"/>
  <c r="BI8" i="70"/>
  <c r="AA53" i="2"/>
  <c r="BK87" i="70"/>
  <c r="BK81" i="70"/>
  <c r="BK83" i="70"/>
  <c r="BI13" i="70"/>
  <c r="AA58" i="2"/>
  <c r="AZ11" i="70"/>
  <c r="Z45" i="2"/>
  <c r="BK69" i="70"/>
  <c r="AZ40" i="70"/>
  <c r="Z263" i="2"/>
  <c r="BK64" i="70"/>
  <c r="BH66" i="70"/>
  <c r="BI66" i="70"/>
  <c r="AA271" i="2"/>
  <c r="N46" i="2"/>
  <c r="F46" i="2"/>
  <c r="I46" i="2"/>
  <c r="AY137" i="70"/>
  <c r="BB137" i="70"/>
  <c r="AZ9" i="70"/>
  <c r="Z43" i="2"/>
  <c r="BH18" i="70"/>
  <c r="BK65" i="70"/>
  <c r="N66" i="2"/>
  <c r="F66" i="2"/>
  <c r="I66" i="2"/>
  <c r="N58" i="2"/>
  <c r="F58" i="2"/>
  <c r="I58" i="2"/>
  <c r="AZ48" i="70"/>
  <c r="Z281" i="2"/>
  <c r="BH14" i="70"/>
  <c r="BI14" i="70"/>
  <c r="AA59" i="2"/>
  <c r="AZ38" i="70"/>
  <c r="Z261" i="2"/>
  <c r="N44" i="2"/>
  <c r="F44" i="2"/>
  <c r="I44" i="2"/>
  <c r="BK57" i="70"/>
  <c r="N64" i="2"/>
  <c r="F64" i="2"/>
  <c r="I64" i="2"/>
  <c r="N61" i="2"/>
  <c r="F61" i="2"/>
  <c r="I61" i="2"/>
  <c r="BK55" i="70"/>
  <c r="N57" i="2"/>
  <c r="F57" i="2"/>
  <c r="I57" i="2"/>
  <c r="N42" i="2"/>
  <c r="F42" i="2"/>
  <c r="I42" i="2"/>
  <c r="N45" i="2"/>
  <c r="F45" i="2"/>
  <c r="I45" i="2"/>
  <c r="BK50" i="70"/>
  <c r="BK52" i="70"/>
  <c r="N59" i="2"/>
  <c r="F59" i="2"/>
  <c r="I59" i="2"/>
  <c r="N43" i="2"/>
  <c r="F43" i="2"/>
  <c r="I43" i="2"/>
  <c r="BK54" i="70"/>
  <c r="AZ133" i="70"/>
  <c r="Z354" i="2"/>
  <c r="BI24" i="70"/>
  <c r="AA68" i="2"/>
  <c r="N68" i="2"/>
  <c r="F68" i="2"/>
  <c r="I68" i="2"/>
  <c r="N60" i="2"/>
  <c r="F60" i="2"/>
  <c r="I60" i="2"/>
  <c r="BI5" i="70"/>
  <c r="AA50" i="2"/>
  <c r="BH135" i="70"/>
  <c r="BI135" i="70"/>
  <c r="AA356" i="2"/>
  <c r="BH128" i="70"/>
  <c r="BI128" i="70"/>
  <c r="AA187" i="2"/>
  <c r="N187" i="2"/>
  <c r="F187" i="2"/>
  <c r="I187" i="2"/>
  <c r="BI7" i="70"/>
  <c r="AA52" i="2"/>
  <c r="BK40" i="70"/>
  <c r="N53" i="2"/>
  <c r="F53" i="2"/>
  <c r="I53" i="2"/>
  <c r="BK42" i="70"/>
  <c r="N55" i="2"/>
  <c r="F55" i="2"/>
  <c r="I55" i="2"/>
  <c r="BK76" i="70"/>
  <c r="N41" i="2"/>
  <c r="F41" i="2"/>
  <c r="I41" i="2"/>
  <c r="N39" i="2"/>
  <c r="F39" i="2"/>
  <c r="I39" i="2"/>
  <c r="BK133" i="70"/>
  <c r="BK130" i="70"/>
  <c r="BK49" i="70"/>
  <c r="BK37" i="70"/>
  <c r="BH48" i="70"/>
  <c r="BI48" i="70"/>
  <c r="AA248" i="2"/>
  <c r="BI81" i="69"/>
  <c r="Y323" i="2"/>
  <c r="BK81" i="69"/>
  <c r="BI59" i="69"/>
  <c r="Y278" i="2"/>
  <c r="BK59" i="69"/>
  <c r="BK61" i="69"/>
  <c r="N212" i="2"/>
  <c r="F212" i="2"/>
  <c r="I212" i="2"/>
  <c r="BK92" i="69"/>
  <c r="BK90" i="69"/>
  <c r="N209" i="2"/>
  <c r="F209" i="2"/>
  <c r="I209" i="2"/>
  <c r="N301" i="2"/>
  <c r="F301" i="2"/>
  <c r="I301" i="2"/>
  <c r="BK70" i="69"/>
  <c r="N214" i="2"/>
  <c r="F214" i="2"/>
  <c r="I214" i="2"/>
  <c r="N210" i="2"/>
  <c r="F210" i="2"/>
  <c r="I210" i="2"/>
  <c r="BK72" i="69"/>
  <c r="BK71" i="69"/>
  <c r="N211" i="2"/>
  <c r="F211" i="2"/>
  <c r="I211" i="2"/>
  <c r="N275" i="2"/>
  <c r="F275" i="2"/>
  <c r="I275" i="2"/>
  <c r="BK53" i="69"/>
  <c r="BK55" i="69"/>
  <c r="BK52" i="69"/>
  <c r="BI45" i="69"/>
  <c r="Y259" i="2"/>
  <c r="AZ101" i="69"/>
  <c r="X354" i="2"/>
  <c r="BK44" i="69"/>
  <c r="BK38" i="69"/>
  <c r="BK12" i="69"/>
  <c r="BK34" i="69"/>
  <c r="BH103" i="69"/>
  <c r="BI5" i="69"/>
  <c r="Y169" i="2"/>
  <c r="N169" i="2"/>
  <c r="F169" i="2"/>
  <c r="I169" i="2"/>
  <c r="BK31" i="69"/>
  <c r="BI31" i="69"/>
  <c r="Y233" i="2"/>
  <c r="BK32" i="69"/>
  <c r="BB101" i="69"/>
  <c r="BK82" i="68"/>
  <c r="BK81" i="68"/>
  <c r="BB53" i="68"/>
  <c r="BK83" i="68"/>
  <c r="BK61" i="68"/>
  <c r="BI61" i="68"/>
  <c r="W279" i="2"/>
  <c r="BK59" i="68"/>
  <c r="BH106" i="68"/>
  <c r="BI106" i="68"/>
  <c r="W358" i="2"/>
  <c r="BK62" i="68"/>
  <c r="BK90" i="68"/>
  <c r="BI90" i="68"/>
  <c r="W343" i="2"/>
  <c r="BI86" i="68"/>
  <c r="W339" i="2"/>
  <c r="BK86" i="68"/>
  <c r="BI93" i="68"/>
  <c r="W346" i="2"/>
  <c r="BK93" i="68"/>
  <c r="BK9" i="68"/>
  <c r="N328" i="2"/>
  <c r="F328" i="2"/>
  <c r="I328" i="2"/>
  <c r="BK16" i="68"/>
  <c r="BK98" i="68"/>
  <c r="BK63" i="68"/>
  <c r="BK75" i="68"/>
  <c r="BI75" i="68"/>
  <c r="W316" i="2"/>
  <c r="BK70" i="68"/>
  <c r="BK72" i="68"/>
  <c r="N319" i="2"/>
  <c r="F319" i="2"/>
  <c r="I319" i="2"/>
  <c r="N304" i="2"/>
  <c r="F304" i="2"/>
  <c r="I304" i="2"/>
  <c r="BK69" i="68"/>
  <c r="BI48" i="68"/>
  <c r="W266" i="2"/>
  <c r="BK48" i="68"/>
  <c r="BI55" i="68"/>
  <c r="W273" i="2"/>
  <c r="BK55" i="68"/>
  <c r="N264" i="2"/>
  <c r="F264" i="2"/>
  <c r="I264" i="2"/>
  <c r="BK49" i="68"/>
  <c r="BK54" i="68"/>
  <c r="BK53" i="68"/>
  <c r="BK57" i="68"/>
  <c r="BI11" i="68"/>
  <c r="W151" i="2"/>
  <c r="N151" i="2"/>
  <c r="F151" i="2"/>
  <c r="I151" i="2"/>
  <c r="BK42" i="68"/>
  <c r="BK39" i="68"/>
  <c r="BH103" i="68"/>
  <c r="BI103" i="68"/>
  <c r="W355" i="2"/>
  <c r="BI21" i="68"/>
  <c r="W159" i="2"/>
  <c r="BI5" i="68"/>
  <c r="W145" i="2"/>
  <c r="N145" i="2"/>
  <c r="F145" i="2"/>
  <c r="I145" i="2"/>
  <c r="BH104" i="68"/>
  <c r="BI104" i="68"/>
  <c r="W356" i="2"/>
  <c r="AZ65" i="68"/>
  <c r="V159" i="2"/>
  <c r="BB65" i="68"/>
  <c r="BK21" i="68"/>
  <c r="BB106" i="68"/>
  <c r="BK102" i="68"/>
  <c r="BK35" i="68"/>
  <c r="BK102" i="67"/>
  <c r="BK75" i="67"/>
  <c r="BI75" i="67"/>
  <c r="U280" i="2"/>
  <c r="BK74" i="67"/>
  <c r="BK72" i="67"/>
  <c r="BK76" i="67"/>
  <c r="BK73" i="67"/>
  <c r="BK118" i="67"/>
  <c r="BI118" i="67"/>
  <c r="U346" i="2"/>
  <c r="N326" i="2"/>
  <c r="F326" i="2"/>
  <c r="I326" i="2"/>
  <c r="BK116" i="67"/>
  <c r="BK108" i="67"/>
  <c r="N335" i="2"/>
  <c r="F335" i="2"/>
  <c r="I335" i="2"/>
  <c r="N334" i="2"/>
  <c r="F334" i="2"/>
  <c r="I334" i="2"/>
  <c r="N348" i="2"/>
  <c r="F348" i="2"/>
  <c r="I348" i="2"/>
  <c r="N333" i="2"/>
  <c r="F333" i="2"/>
  <c r="I333" i="2"/>
  <c r="BK114" i="67"/>
  <c r="BK109" i="67"/>
  <c r="BK120" i="67"/>
  <c r="BK92" i="67"/>
  <c r="AZ57" i="67"/>
  <c r="T300" i="2"/>
  <c r="BB57" i="67"/>
  <c r="BK97" i="67"/>
  <c r="BI90" i="67"/>
  <c r="U310" i="2"/>
  <c r="BK90" i="67"/>
  <c r="N287" i="2"/>
  <c r="F287" i="2"/>
  <c r="I287" i="2"/>
  <c r="BK85" i="67"/>
  <c r="BK78" i="67"/>
  <c r="BK81" i="67"/>
  <c r="N290" i="2"/>
  <c r="F290" i="2"/>
  <c r="I290" i="2"/>
  <c r="N305" i="2"/>
  <c r="F305" i="2"/>
  <c r="I305" i="2"/>
  <c r="N297" i="2"/>
  <c r="F297" i="2"/>
  <c r="I297" i="2"/>
  <c r="N291" i="2"/>
  <c r="F291" i="2"/>
  <c r="I291" i="2"/>
  <c r="N274" i="2"/>
  <c r="F274" i="2"/>
  <c r="I274" i="2"/>
  <c r="BK67" i="67"/>
  <c r="BK69" i="67"/>
  <c r="BK62" i="67"/>
  <c r="BK68" i="67"/>
  <c r="N79" i="2"/>
  <c r="F79" i="2"/>
  <c r="I79" i="2"/>
  <c r="BK66" i="67"/>
  <c r="BH63" i="67"/>
  <c r="BI63" i="67"/>
  <c r="U268" i="2"/>
  <c r="BK61" i="67"/>
  <c r="BK64" i="67"/>
  <c r="N265" i="2"/>
  <c r="F265" i="2"/>
  <c r="I265" i="2"/>
  <c r="AZ127" i="67"/>
  <c r="T354" i="2"/>
  <c r="BK58" i="67"/>
  <c r="BK54" i="67"/>
  <c r="BK57" i="67"/>
  <c r="BK127" i="67"/>
  <c r="N243" i="2"/>
  <c r="F243" i="2"/>
  <c r="I243" i="2"/>
  <c r="BH129" i="67"/>
  <c r="BI129" i="67"/>
  <c r="U356" i="2"/>
  <c r="BK51" i="67"/>
  <c r="BK56" i="67"/>
  <c r="BI41" i="67"/>
  <c r="U233" i="2"/>
  <c r="BK41" i="67"/>
  <c r="BI8" i="67"/>
  <c r="U119" i="2"/>
  <c r="BK8" i="67"/>
  <c r="N231" i="2"/>
  <c r="F231" i="2"/>
  <c r="I231" i="2"/>
  <c r="N233" i="2"/>
  <c r="F233" i="2"/>
  <c r="I233" i="2"/>
  <c r="BH131" i="67"/>
  <c r="BI131" i="67"/>
  <c r="U358" i="2"/>
  <c r="BB127" i="67"/>
  <c r="BK37" i="67"/>
  <c r="BK6" i="67"/>
  <c r="BK128" i="67"/>
  <c r="BB131" i="67"/>
  <c r="BK47" i="67"/>
  <c r="N244" i="2"/>
  <c r="F244" i="2"/>
  <c r="I244" i="2"/>
  <c r="N247" i="2"/>
  <c r="F247" i="2"/>
  <c r="I247" i="2"/>
  <c r="N71" i="2"/>
  <c r="F71" i="2"/>
  <c r="I71" i="2"/>
  <c r="N230" i="2"/>
  <c r="F230" i="2"/>
  <c r="I230" i="2"/>
  <c r="BK87" i="66"/>
  <c r="BI87" i="66"/>
  <c r="S323" i="2"/>
  <c r="BK88" i="66"/>
  <c r="BK97" i="66"/>
  <c r="BI97" i="66"/>
  <c r="S343" i="2"/>
  <c r="N340" i="2"/>
  <c r="F340" i="2"/>
  <c r="I340" i="2"/>
  <c r="N332" i="2"/>
  <c r="F332" i="2"/>
  <c r="I332" i="2"/>
  <c r="N338" i="2"/>
  <c r="F338" i="2"/>
  <c r="I338" i="2"/>
  <c r="BK100" i="66"/>
  <c r="BK98" i="66"/>
  <c r="BK105" i="66"/>
  <c r="N339" i="2"/>
  <c r="F339" i="2"/>
  <c r="I339" i="2"/>
  <c r="N327" i="2"/>
  <c r="F327" i="2"/>
  <c r="I327" i="2"/>
  <c r="BK93" i="66"/>
  <c r="N345" i="2"/>
  <c r="F345" i="2"/>
  <c r="I345" i="2"/>
  <c r="BI81" i="66"/>
  <c r="S317" i="2"/>
  <c r="BK81" i="66"/>
  <c r="BI84" i="66"/>
  <c r="S320" i="2"/>
  <c r="BK84" i="66"/>
  <c r="BK79" i="66"/>
  <c r="BK76" i="66"/>
  <c r="N320" i="2"/>
  <c r="F320" i="2"/>
  <c r="I320" i="2"/>
  <c r="BK78" i="66"/>
  <c r="BK77" i="66"/>
  <c r="BI71" i="66"/>
  <c r="S307" i="2"/>
  <c r="BK71" i="66"/>
  <c r="N292" i="2"/>
  <c r="F292" i="2"/>
  <c r="I292" i="2"/>
  <c r="N294" i="2"/>
  <c r="F294" i="2"/>
  <c r="I294" i="2"/>
  <c r="N289" i="2"/>
  <c r="F289" i="2"/>
  <c r="I289" i="2"/>
  <c r="N295" i="2"/>
  <c r="F295" i="2"/>
  <c r="I295" i="2"/>
  <c r="N310" i="2"/>
  <c r="F310" i="2"/>
  <c r="I310" i="2"/>
  <c r="N288" i="2"/>
  <c r="F288" i="2"/>
  <c r="I288" i="2"/>
  <c r="N308" i="2"/>
  <c r="F308" i="2"/>
  <c r="I308" i="2"/>
  <c r="N293" i="2"/>
  <c r="F293" i="2"/>
  <c r="I293" i="2"/>
  <c r="BK67" i="66"/>
  <c r="N307" i="2"/>
  <c r="F307" i="2"/>
  <c r="I307" i="2"/>
  <c r="N299" i="2"/>
  <c r="F299" i="2"/>
  <c r="I299" i="2"/>
  <c r="N298" i="2"/>
  <c r="F298" i="2"/>
  <c r="I298" i="2"/>
  <c r="N309" i="2"/>
  <c r="F309" i="2"/>
  <c r="I309" i="2"/>
  <c r="BK64" i="66"/>
  <c r="BK63" i="66"/>
  <c r="BK62" i="66"/>
  <c r="BB40" i="66"/>
  <c r="N273" i="2"/>
  <c r="F273" i="2"/>
  <c r="I273" i="2"/>
  <c r="BB68" i="66"/>
  <c r="BK57" i="66"/>
  <c r="N266" i="2"/>
  <c r="F266" i="2"/>
  <c r="I266" i="2"/>
  <c r="BK54" i="66"/>
  <c r="N262" i="2"/>
  <c r="F262" i="2"/>
  <c r="I262" i="2"/>
  <c r="N263" i="2"/>
  <c r="F263" i="2"/>
  <c r="I263" i="2"/>
  <c r="N267" i="2"/>
  <c r="F267" i="2"/>
  <c r="I267" i="2"/>
  <c r="BI16" i="66"/>
  <c r="S100" i="2"/>
  <c r="N100" i="2"/>
  <c r="F100" i="2"/>
  <c r="I100" i="2"/>
  <c r="N253" i="2"/>
  <c r="F253" i="2"/>
  <c r="I253" i="2"/>
  <c r="BK43" i="66"/>
  <c r="BH110" i="66"/>
  <c r="BI110" i="66"/>
  <c r="S355" i="2"/>
  <c r="AZ17" i="66"/>
  <c r="R76" i="2"/>
  <c r="AY109" i="66"/>
  <c r="AZ109" i="66"/>
  <c r="R354" i="2"/>
  <c r="BK41" i="66"/>
  <c r="BK48" i="66"/>
  <c r="AZ28" i="66"/>
  <c r="R241" i="2"/>
  <c r="BK45" i="66"/>
  <c r="BK40" i="66"/>
  <c r="BH17" i="66"/>
  <c r="N258" i="2"/>
  <c r="F258" i="2"/>
  <c r="I258" i="2"/>
  <c r="N259" i="2"/>
  <c r="F259" i="2"/>
  <c r="I259" i="2"/>
  <c r="BB28" i="66"/>
  <c r="AY113" i="66"/>
  <c r="BH44" i="66"/>
  <c r="BI44" i="66"/>
  <c r="S254" i="2"/>
  <c r="BH111" i="66"/>
  <c r="BI111" i="66"/>
  <c r="S356" i="2"/>
  <c r="BI5" i="66"/>
  <c r="S89" i="2"/>
  <c r="N89" i="2"/>
  <c r="F89" i="2"/>
  <c r="I89" i="2"/>
  <c r="BI8" i="66"/>
  <c r="S92" i="2"/>
  <c r="BK38" i="66"/>
  <c r="BK32" i="66"/>
  <c r="BH109" i="66"/>
  <c r="BK36" i="66"/>
  <c r="N248" i="2"/>
  <c r="F248" i="2"/>
  <c r="I248" i="2"/>
  <c r="N232" i="2"/>
  <c r="F232" i="2"/>
  <c r="I232" i="2"/>
  <c r="N237" i="2"/>
  <c r="F237" i="2"/>
  <c r="I237" i="2"/>
  <c r="N227" i="2"/>
  <c r="F227" i="2"/>
  <c r="I227" i="2"/>
  <c r="N238" i="2"/>
  <c r="F238" i="2"/>
  <c r="I238" i="2"/>
  <c r="BK39" i="66"/>
  <c r="N246" i="2"/>
  <c r="F246" i="2"/>
  <c r="I246" i="2"/>
  <c r="N249" i="2"/>
  <c r="F249" i="2"/>
  <c r="I249" i="2"/>
  <c r="N324" i="2"/>
  <c r="F324" i="2"/>
  <c r="I324" i="2"/>
  <c r="N322" i="2"/>
  <c r="F322" i="2"/>
  <c r="I322" i="2"/>
  <c r="BK104" i="1"/>
  <c r="BK72" i="1"/>
  <c r="N280" i="2"/>
  <c r="F280" i="2"/>
  <c r="I280" i="2"/>
  <c r="BK75" i="1"/>
  <c r="N277" i="2"/>
  <c r="F277" i="2"/>
  <c r="I277" i="2"/>
  <c r="BK109" i="1"/>
  <c r="BI109" i="1"/>
  <c r="Q337" i="2"/>
  <c r="N337" i="2"/>
  <c r="F337" i="2"/>
  <c r="I337" i="2"/>
  <c r="N344" i="2"/>
  <c r="F344" i="2"/>
  <c r="I344" i="2"/>
  <c r="N341" i="2"/>
  <c r="F341" i="2"/>
  <c r="I341" i="2"/>
  <c r="BK117" i="1"/>
  <c r="N342" i="2"/>
  <c r="F342" i="2"/>
  <c r="I342" i="2"/>
  <c r="N331" i="2"/>
  <c r="F331" i="2"/>
  <c r="I331" i="2"/>
  <c r="BK120" i="1"/>
  <c r="BK76" i="1"/>
  <c r="N330" i="2"/>
  <c r="F330" i="2"/>
  <c r="I330" i="2"/>
  <c r="N346" i="2"/>
  <c r="F346" i="2"/>
  <c r="I346" i="2"/>
  <c r="N347" i="2"/>
  <c r="F347" i="2"/>
  <c r="I347" i="2"/>
  <c r="BK112" i="1"/>
  <c r="N329" i="2"/>
  <c r="F329" i="2"/>
  <c r="I329" i="2"/>
  <c r="BK116" i="1"/>
  <c r="N313" i="2"/>
  <c r="F313" i="2"/>
  <c r="I313" i="2"/>
  <c r="N311" i="2"/>
  <c r="F311" i="2"/>
  <c r="I311" i="2"/>
  <c r="N302" i="2"/>
  <c r="F302" i="2"/>
  <c r="I302" i="2"/>
  <c r="N300" i="2"/>
  <c r="F300" i="2"/>
  <c r="I300" i="2"/>
  <c r="N315" i="2"/>
  <c r="F315" i="2"/>
  <c r="I315" i="2"/>
  <c r="BK99" i="1"/>
  <c r="BK95" i="1"/>
  <c r="N303" i="2"/>
  <c r="F303" i="2"/>
  <c r="I303" i="2"/>
  <c r="N317" i="2"/>
  <c r="F317" i="2"/>
  <c r="I317" i="2"/>
  <c r="N318" i="2"/>
  <c r="F318" i="2"/>
  <c r="I318" i="2"/>
  <c r="N316" i="2"/>
  <c r="F316" i="2"/>
  <c r="I316" i="2"/>
  <c r="BK94" i="1"/>
  <c r="N69" i="2"/>
  <c r="F69" i="2"/>
  <c r="I69" i="2"/>
  <c r="BI66" i="1"/>
  <c r="Q271" i="2"/>
  <c r="BK66" i="1"/>
  <c r="N261" i="2"/>
  <c r="F261" i="2"/>
  <c r="I261" i="2"/>
  <c r="BK64" i="1"/>
  <c r="N270" i="2"/>
  <c r="F270" i="2"/>
  <c r="I270" i="2"/>
  <c r="N268" i="2"/>
  <c r="F268" i="2"/>
  <c r="I268" i="2"/>
  <c r="N269" i="2"/>
  <c r="F269" i="2"/>
  <c r="I269" i="2"/>
  <c r="N271" i="2"/>
  <c r="F271" i="2"/>
  <c r="I271" i="2"/>
  <c r="BK63" i="1"/>
  <c r="BI11" i="1"/>
  <c r="Q56" i="2"/>
  <c r="N56" i="2"/>
  <c r="F56" i="2"/>
  <c r="I56" i="2"/>
  <c r="BI20" i="1"/>
  <c r="Q65" i="2"/>
  <c r="N65" i="2"/>
  <c r="F65" i="2"/>
  <c r="I65" i="2"/>
  <c r="N78" i="2"/>
  <c r="F78" i="2"/>
  <c r="I78" i="2"/>
  <c r="BI17" i="1"/>
  <c r="Q62" i="2"/>
  <c r="N77" i="2"/>
  <c r="F77" i="2"/>
  <c r="I77" i="2"/>
  <c r="N252" i="2"/>
  <c r="F252" i="2"/>
  <c r="I252" i="2"/>
  <c r="N240" i="2"/>
  <c r="F240" i="2"/>
  <c r="I240" i="2"/>
  <c r="BK58" i="1"/>
  <c r="N255" i="2"/>
  <c r="F255" i="2"/>
  <c r="I255" i="2"/>
  <c r="BK57" i="1"/>
  <c r="AX13" i="65"/>
  <c r="BK55" i="1"/>
  <c r="N251" i="2"/>
  <c r="F251" i="2"/>
  <c r="I251" i="2"/>
  <c r="N241" i="2"/>
  <c r="F241" i="2"/>
  <c r="I241" i="2"/>
  <c r="N250" i="2"/>
  <c r="F250" i="2"/>
  <c r="I250" i="2"/>
  <c r="N239" i="2"/>
  <c r="F239" i="2"/>
  <c r="I239" i="2"/>
  <c r="BK50" i="1"/>
  <c r="N73" i="2"/>
  <c r="F73" i="2"/>
  <c r="I73" i="2"/>
  <c r="BK42" i="1"/>
  <c r="BI42" i="1"/>
  <c r="Q234" i="2"/>
  <c r="N234" i="2"/>
  <c r="F234" i="2"/>
  <c r="I234" i="2"/>
  <c r="N72" i="2"/>
  <c r="F72" i="2"/>
  <c r="I72" i="2"/>
  <c r="BK38" i="1"/>
  <c r="BK8" i="1"/>
  <c r="AZ29" i="1"/>
  <c r="P236" i="2"/>
  <c r="N236" i="2"/>
  <c r="F236" i="2"/>
  <c r="I236" i="2"/>
  <c r="AY131" i="1"/>
  <c r="AX12" i="65"/>
  <c r="BB25" i="1"/>
  <c r="BK49" i="1"/>
  <c r="BB31" i="1"/>
  <c r="BB29" i="1"/>
  <c r="AZ6" i="1"/>
  <c r="P40" i="2"/>
  <c r="N40" i="2"/>
  <c r="F40" i="2"/>
  <c r="I40" i="2"/>
  <c r="AX14" i="65"/>
  <c r="BH37" i="1"/>
  <c r="BI37" i="1"/>
  <c r="Q229" i="2"/>
  <c r="N229" i="2"/>
  <c r="F229" i="2"/>
  <c r="I229" i="2"/>
  <c r="BH7" i="1"/>
  <c r="BK37" i="1"/>
  <c r="BH45" i="1"/>
  <c r="BK39" i="1"/>
  <c r="BK44" i="1"/>
  <c r="AZ25" i="1"/>
  <c r="P226" i="2"/>
  <c r="N226" i="2"/>
  <c r="F226" i="2"/>
  <c r="I226" i="2"/>
  <c r="AZ27" i="1"/>
  <c r="P228" i="2"/>
  <c r="N228" i="2"/>
  <c r="F228" i="2"/>
  <c r="I228" i="2"/>
  <c r="N48" i="2"/>
  <c r="F48" i="2"/>
  <c r="I48" i="2"/>
  <c r="AY127" i="1"/>
  <c r="BK48" i="1"/>
  <c r="BI54" i="77"/>
  <c r="AM323" i="2"/>
  <c r="N323" i="2"/>
  <c r="F323" i="2"/>
  <c r="I323" i="2"/>
  <c r="BK54" i="77"/>
  <c r="BK53" i="77"/>
  <c r="N279" i="2"/>
  <c r="F279" i="2"/>
  <c r="I279" i="2"/>
  <c r="N278" i="2"/>
  <c r="F278" i="2"/>
  <c r="I278" i="2"/>
  <c r="BK41" i="77"/>
  <c r="BK42" i="77"/>
  <c r="BK60" i="77"/>
  <c r="BI60" i="77"/>
  <c r="AM343" i="2"/>
  <c r="N343" i="2"/>
  <c r="F343" i="2"/>
  <c r="I343" i="2"/>
  <c r="BI66" i="77"/>
  <c r="AM351" i="2"/>
  <c r="N351" i="2"/>
  <c r="F351" i="2"/>
  <c r="I351" i="2"/>
  <c r="BK66" i="77"/>
  <c r="BK59" i="77"/>
  <c r="BK58" i="77"/>
  <c r="AZ70" i="77"/>
  <c r="AL353" i="2"/>
  <c r="BK63" i="77"/>
  <c r="N75" i="2"/>
  <c r="F75" i="2"/>
  <c r="I75" i="2"/>
  <c r="BK61" i="77"/>
  <c r="BI5" i="77"/>
  <c r="AM29" i="2"/>
  <c r="N29" i="2"/>
  <c r="F29" i="2"/>
  <c r="I29" i="2"/>
  <c r="BK45" i="77"/>
  <c r="BI45" i="77"/>
  <c r="AM312" i="2"/>
  <c r="N312" i="2"/>
  <c r="F312" i="2"/>
  <c r="I312" i="2"/>
  <c r="BK47" i="77"/>
  <c r="BI47" i="77"/>
  <c r="AM314" i="2"/>
  <c r="N314" i="2"/>
  <c r="F314" i="2"/>
  <c r="I314" i="2"/>
  <c r="BK46" i="77"/>
  <c r="BK48" i="77"/>
  <c r="BK44" i="77"/>
  <c r="BK50" i="77"/>
  <c r="BI10" i="77"/>
  <c r="AM34" i="2"/>
  <c r="N34" i="2"/>
  <c r="F34" i="2"/>
  <c r="I34" i="2"/>
  <c r="BH73" i="77"/>
  <c r="BI73" i="77"/>
  <c r="AM356" i="2"/>
  <c r="BK34" i="77"/>
  <c r="N74" i="2"/>
  <c r="F74" i="2"/>
  <c r="I74" i="2"/>
  <c r="N76" i="2"/>
  <c r="F76" i="2"/>
  <c r="I76" i="2"/>
  <c r="N353" i="2"/>
  <c r="F353" i="2"/>
  <c r="I353" i="2"/>
  <c r="BK72" i="77"/>
  <c r="BK26" i="77"/>
  <c r="BK75" i="77"/>
  <c r="BK70" i="77"/>
  <c r="BK28" i="77"/>
  <c r="BK23" i="77"/>
  <c r="BK29" i="77"/>
  <c r="BK24" i="77"/>
  <c r="N242" i="2"/>
  <c r="F242" i="2"/>
  <c r="I242" i="2"/>
  <c r="BA7" i="78"/>
  <c r="BB7" i="78" s="1"/>
  <c r="BF18" i="68"/>
  <c r="BE18" i="68"/>
  <c r="AZ79" i="47"/>
  <c r="BA79" i="47" s="1"/>
  <c r="AV79" i="47"/>
  <c r="BJ128" i="70"/>
  <c r="BK128" i="70" s="1"/>
  <c r="BF128" i="70"/>
  <c r="BF20" i="68"/>
  <c r="BJ20" i="68"/>
  <c r="BK20" i="68"/>
  <c r="AV6" i="67"/>
  <c r="BA6" i="67"/>
  <c r="BB6" i="67" s="1"/>
  <c r="BJ20" i="67"/>
  <c r="BK20" i="67" s="1"/>
  <c r="BE20" i="67"/>
  <c r="BA6" i="68"/>
  <c r="BB6" i="68" s="1"/>
  <c r="AV13" i="60"/>
  <c r="AZ13" i="60"/>
  <c r="BA13" i="60" s="1"/>
  <c r="AW7" i="68"/>
  <c r="BA7" i="68"/>
  <c r="BB7" i="68" s="1"/>
  <c r="AW35" i="38"/>
  <c r="AZ35" i="38"/>
  <c r="BA35" i="38"/>
  <c r="BH37" i="47"/>
  <c r="BI37" i="47" s="1"/>
  <c r="BF106" i="75"/>
  <c r="BJ106" i="75"/>
  <c r="BK106" i="75"/>
  <c r="BF73" i="66"/>
  <c r="BE73" i="66"/>
  <c r="BJ73" i="66"/>
  <c r="BK73" i="66"/>
  <c r="BE81" i="47"/>
  <c r="BD81" i="47"/>
  <c r="AW68" i="64"/>
  <c r="AV68" i="64"/>
  <c r="AZ68" i="64"/>
  <c r="BA68" i="64"/>
  <c r="AV47" i="73"/>
  <c r="AW47" i="73"/>
  <c r="BA47" i="73"/>
  <c r="BB47" i="73"/>
  <c r="BJ70" i="1"/>
  <c r="BK70" i="1"/>
  <c r="BF70" i="1"/>
  <c r="BE70" i="1"/>
  <c r="BE49" i="66"/>
  <c r="BF49" i="66"/>
  <c r="BF45" i="75"/>
  <c r="BE45" i="75"/>
  <c r="BJ45" i="75"/>
  <c r="BK45" i="75"/>
  <c r="AV36" i="67"/>
  <c r="AW36" i="67"/>
  <c r="AW42" i="78"/>
  <c r="AV42" i="78"/>
  <c r="BA42" i="78"/>
  <c r="BB42" i="78"/>
  <c r="AW29" i="81"/>
  <c r="AV29" i="81"/>
  <c r="BA29" i="81"/>
  <c r="BB29" i="81"/>
  <c r="AW32" i="80"/>
  <c r="AV32" i="80"/>
  <c r="BA32" i="80"/>
  <c r="BB32" i="80"/>
  <c r="AW33" i="70"/>
  <c r="AV33" i="70"/>
  <c r="BA33" i="70"/>
  <c r="BB33" i="70"/>
  <c r="AV29" i="70"/>
  <c r="AW29" i="70"/>
  <c r="BJ39" i="74"/>
  <c r="BK39" i="74"/>
  <c r="BF39" i="74"/>
  <c r="AW26" i="67"/>
  <c r="BA26" i="67"/>
  <c r="BB26" i="67"/>
  <c r="BE109" i="47"/>
  <c r="BH109" i="47"/>
  <c r="BI109" i="47"/>
  <c r="BD109" i="47"/>
  <c r="AW60" i="68"/>
  <c r="BA60" i="68"/>
  <c r="BB60" i="68"/>
  <c r="BA61" i="1"/>
  <c r="BB61" i="1"/>
  <c r="AW61" i="1"/>
  <c r="BF44" i="75"/>
  <c r="BE44" i="75"/>
  <c r="BJ44" i="75"/>
  <c r="BK44" i="75"/>
  <c r="AV46" i="76"/>
  <c r="AW46" i="76"/>
  <c r="BE103" i="61"/>
  <c r="BD103" i="61"/>
  <c r="BH103" i="61"/>
  <c r="BI103" i="61"/>
  <c r="BF58" i="74"/>
  <c r="BE58" i="74"/>
  <c r="BF38" i="67"/>
  <c r="BE38" i="67"/>
  <c r="BJ38" i="67"/>
  <c r="BK38" i="67"/>
  <c r="BA29" i="66"/>
  <c r="BB29" i="66"/>
  <c r="AV29" i="66"/>
  <c r="AW25" i="71"/>
  <c r="AV25" i="71"/>
  <c r="AW86" i="60"/>
  <c r="AZ86" i="60"/>
  <c r="BA86" i="60"/>
  <c r="AV86" i="60"/>
  <c r="BE24" i="82"/>
  <c r="BJ24" i="82"/>
  <c r="BK24" i="82"/>
  <c r="BF24" i="82"/>
  <c r="BE71" i="78"/>
  <c r="BF71" i="78"/>
  <c r="BJ71" i="78"/>
  <c r="BK71" i="78"/>
  <c r="BE91" i="78"/>
  <c r="BF91" i="78"/>
  <c r="BJ91" i="78"/>
  <c r="BK91" i="78"/>
  <c r="BE42" i="81"/>
  <c r="BF42" i="81"/>
  <c r="BJ42" i="81"/>
  <c r="BK42" i="81"/>
  <c r="BF83" i="80"/>
  <c r="BE83" i="80"/>
  <c r="BJ83" i="80"/>
  <c r="BK83" i="80"/>
  <c r="AW43" i="80"/>
  <c r="AV43" i="80"/>
  <c r="BA43" i="80"/>
  <c r="BB43" i="80"/>
  <c r="AW10" i="69"/>
  <c r="BJ18" i="75"/>
  <c r="BK18" i="75" s="1"/>
  <c r="BA46" i="69"/>
  <c r="BB46" i="69"/>
  <c r="BA46" i="76"/>
  <c r="BB46" i="76"/>
  <c r="BK102" i="69"/>
  <c r="AV26" i="67"/>
  <c r="AW86" i="74"/>
  <c r="BA86" i="74"/>
  <c r="BB86" i="74"/>
  <c r="AW59" i="68"/>
  <c r="AV59" i="68"/>
  <c r="BA59" i="68"/>
  <c r="BB59" i="68"/>
  <c r="AW73" i="70"/>
  <c r="AV73" i="70"/>
  <c r="BA73" i="70"/>
  <c r="BB73" i="70"/>
  <c r="BE90" i="1"/>
  <c r="BF90" i="1"/>
  <c r="BD82" i="47"/>
  <c r="BE82" i="47"/>
  <c r="BH82" i="47"/>
  <c r="BI82" i="47"/>
  <c r="BE76" i="74"/>
  <c r="BF76" i="74"/>
  <c r="BJ76" i="74"/>
  <c r="BK76" i="74"/>
  <c r="AW65" i="61"/>
  <c r="AV65" i="61"/>
  <c r="AZ65" i="61"/>
  <c r="BA65" i="61"/>
  <c r="AW32" i="71"/>
  <c r="AV32" i="71"/>
  <c r="BA32" i="71"/>
  <c r="BB32" i="71"/>
  <c r="AW45" i="61"/>
  <c r="AZ45" i="61"/>
  <c r="BA45" i="61"/>
  <c r="AV45" i="61"/>
  <c r="AV38" i="70"/>
  <c r="AW38" i="70"/>
  <c r="BA38" i="70"/>
  <c r="BB38" i="70"/>
  <c r="BE46" i="66"/>
  <c r="BF46" i="66"/>
  <c r="BJ46" i="66"/>
  <c r="BK46" i="66"/>
  <c r="BF135" i="74"/>
  <c r="BE135" i="74"/>
  <c r="AV60" i="68"/>
  <c r="AV61" i="1"/>
  <c r="BD77" i="64"/>
  <c r="BD61" i="61"/>
  <c r="BE61" i="61"/>
  <c r="BE56" i="1"/>
  <c r="BF56" i="1"/>
  <c r="BJ56" i="1"/>
  <c r="BK56" i="1"/>
  <c r="BJ56" i="74"/>
  <c r="BK56" i="74"/>
  <c r="BE56" i="74"/>
  <c r="BF56" i="74"/>
  <c r="AW87" i="75"/>
  <c r="AV87" i="75"/>
  <c r="BE132" i="74"/>
  <c r="BF132" i="74"/>
  <c r="AW85" i="74"/>
  <c r="AV85" i="74"/>
  <c r="AW46" i="69"/>
  <c r="BJ58" i="74"/>
  <c r="BK58" i="74"/>
  <c r="BH81" i="47"/>
  <c r="BI81" i="47"/>
  <c r="BJ49" i="66"/>
  <c r="BK49" i="66"/>
  <c r="F13" i="64"/>
  <c r="BD79" i="61"/>
  <c r="BE79" i="61"/>
  <c r="BJ107" i="67"/>
  <c r="BK107" i="67"/>
  <c r="BE107" i="67"/>
  <c r="BF61" i="78"/>
  <c r="BE61" i="78"/>
  <c r="BF103" i="70"/>
  <c r="BE103" i="70"/>
  <c r="BF87" i="66"/>
  <c r="BE87" i="66"/>
  <c r="AW36" i="77"/>
  <c r="AV36" i="77"/>
  <c r="AV64" i="74"/>
  <c r="AW64" i="74"/>
  <c r="BF64" i="82"/>
  <c r="BE64" i="82"/>
  <c r="BF77" i="68"/>
  <c r="BE77" i="68"/>
  <c r="BF98" i="1"/>
  <c r="BE98" i="1"/>
  <c r="BF78" i="80"/>
  <c r="BE78" i="80"/>
  <c r="BE56" i="82"/>
  <c r="BF56" i="82"/>
  <c r="BE76" i="70"/>
  <c r="BF76" i="70"/>
  <c r="AW61" i="47"/>
  <c r="AV61" i="47"/>
  <c r="AZ61" i="47"/>
  <c r="BA61" i="47"/>
  <c r="AV37" i="71"/>
  <c r="AW37" i="71"/>
  <c r="BA37" i="71"/>
  <c r="BB37" i="71"/>
  <c r="AZ61" i="64"/>
  <c r="BA61" i="64"/>
  <c r="AW61" i="64"/>
  <c r="AV42" i="74"/>
  <c r="AW42" i="74"/>
  <c r="BA42" i="74"/>
  <c r="BB42" i="74"/>
  <c r="BE44" i="67"/>
  <c r="BJ44" i="67"/>
  <c r="BK44" i="67"/>
  <c r="BF44" i="67"/>
  <c r="AV21" i="69"/>
  <c r="AW21" i="69"/>
  <c r="AW27" i="1"/>
  <c r="AV27" i="1"/>
  <c r="BE118" i="1"/>
  <c r="BF118" i="1"/>
  <c r="BD122" i="47"/>
  <c r="BE122" i="47"/>
  <c r="BE83" i="67"/>
  <c r="BF83" i="67"/>
  <c r="BE81" i="74"/>
  <c r="BF81" i="74"/>
  <c r="BE81" i="67"/>
  <c r="BF81" i="67"/>
  <c r="AW69" i="60"/>
  <c r="AZ69" i="60"/>
  <c r="BA69" i="60"/>
  <c r="AW30" i="67"/>
  <c r="AV30" i="67"/>
  <c r="AW55" i="75"/>
  <c r="AV55" i="75"/>
  <c r="BF78" i="70"/>
  <c r="BE78" i="70"/>
  <c r="BF78" i="74"/>
  <c r="BE78" i="74"/>
  <c r="BA36" i="68"/>
  <c r="BB36" i="68"/>
  <c r="AW36" i="68"/>
  <c r="AV36" i="68"/>
  <c r="BF60" i="81"/>
  <c r="BE60" i="81"/>
  <c r="BE67" i="1"/>
  <c r="BF67" i="1"/>
  <c r="BE74" i="47"/>
  <c r="BD74" i="47"/>
  <c r="AV95" i="61"/>
  <c r="AW95" i="61"/>
  <c r="BE54" i="77"/>
  <c r="BF54" i="77"/>
  <c r="AW32" i="82"/>
  <c r="AV32" i="82"/>
  <c r="AW66" i="71"/>
  <c r="AV66" i="71"/>
  <c r="BE105" i="66"/>
  <c r="BF105" i="66"/>
  <c r="BF118" i="70"/>
  <c r="BJ118" i="70"/>
  <c r="BK118" i="70"/>
  <c r="BE118" i="70"/>
  <c r="BE92" i="69"/>
  <c r="BF92" i="69"/>
  <c r="BE114" i="73"/>
  <c r="BF114" i="73"/>
  <c r="AW72" i="74"/>
  <c r="AV72" i="74"/>
  <c r="AW58" i="76"/>
  <c r="AV58" i="76"/>
  <c r="AW59" i="67"/>
  <c r="AV59" i="67"/>
  <c r="AW40" i="76"/>
  <c r="AV40" i="76"/>
  <c r="AW48" i="1"/>
  <c r="AV48" i="1"/>
  <c r="BA44" i="67"/>
  <c r="BB44" i="67"/>
  <c r="AV44" i="67"/>
  <c r="BA36" i="75"/>
  <c r="BB36" i="75"/>
  <c r="AV36" i="75"/>
  <c r="AW36" i="75"/>
  <c r="BE42" i="69"/>
  <c r="BJ42" i="69"/>
  <c r="BF42" i="69"/>
  <c r="BE46" i="71"/>
  <c r="BF46" i="71"/>
  <c r="BJ35" i="82"/>
  <c r="BK35" i="82"/>
  <c r="BE35" i="82"/>
  <c r="BJ52" i="74"/>
  <c r="BK52" i="74"/>
  <c r="BF52" i="74"/>
  <c r="BF85" i="75"/>
  <c r="BE85" i="75"/>
  <c r="BE123" i="60"/>
  <c r="BD123" i="60"/>
  <c r="AV67" i="64"/>
  <c r="AW67" i="64"/>
  <c r="BJ55" i="66"/>
  <c r="BK55" i="66"/>
  <c r="BF55" i="66"/>
  <c r="BE43" i="76"/>
  <c r="BF43" i="76"/>
  <c r="AV46" i="60"/>
  <c r="AW46" i="60"/>
  <c r="AW35" i="81"/>
  <c r="AV35" i="81"/>
  <c r="BF25" i="77"/>
  <c r="BE25" i="77"/>
  <c r="AV16" i="75"/>
  <c r="AW16" i="75"/>
  <c r="AV60" i="75"/>
  <c r="AW60" i="75"/>
  <c r="BA37" i="77"/>
  <c r="BB37" i="77"/>
  <c r="AW37" i="77"/>
  <c r="AV37" i="77"/>
  <c r="BA65" i="70"/>
  <c r="BB65" i="70"/>
  <c r="AV65" i="70"/>
  <c r="BE78" i="68"/>
  <c r="BJ78" i="68"/>
  <c r="BK78" i="68"/>
  <c r="BF78" i="68"/>
  <c r="BE77" i="76"/>
  <c r="BF77" i="76"/>
  <c r="AW56" i="73"/>
  <c r="AV56" i="73"/>
  <c r="AW24" i="75"/>
  <c r="AV24" i="75"/>
  <c r="BF34" i="66"/>
  <c r="BE34" i="66"/>
  <c r="BF21" i="69"/>
  <c r="BJ21" i="69"/>
  <c r="BK21" i="69"/>
  <c r="BE21" i="69"/>
  <c r="BF21" i="66"/>
  <c r="BE21" i="66"/>
  <c r="BF21" i="71"/>
  <c r="BE21" i="71"/>
  <c r="BD103" i="47"/>
  <c r="BE103" i="47"/>
  <c r="BD75" i="61"/>
  <c r="BH75" i="61"/>
  <c r="BI75" i="61"/>
  <c r="BE75" i="61"/>
  <c r="AW47" i="60"/>
  <c r="AV47" i="60"/>
  <c r="AW91" i="60"/>
  <c r="AV91" i="60"/>
  <c r="BE66" i="67"/>
  <c r="BF66" i="67"/>
  <c r="AZ91" i="60"/>
  <c r="BA91" i="60"/>
  <c r="F13" i="60"/>
  <c r="BE103" i="60"/>
  <c r="BD103" i="60"/>
  <c r="AV42" i="60"/>
  <c r="AW42" i="60"/>
  <c r="BE98" i="47"/>
  <c r="BF39" i="78"/>
  <c r="BE39" i="78"/>
  <c r="BF20" i="73"/>
  <c r="BJ20" i="73"/>
  <c r="BK20" i="73" s="1"/>
  <c r="BE6" i="80"/>
  <c r="BF6" i="80"/>
  <c r="BJ6" i="80"/>
  <c r="BK6" i="80" s="1"/>
  <c r="AW13" i="80"/>
  <c r="AW36" i="38"/>
  <c r="AV36" i="38"/>
  <c r="AW78" i="47"/>
  <c r="AZ78" i="47"/>
  <c r="BA78" i="47" s="1"/>
  <c r="AV78" i="61"/>
  <c r="AW78" i="61"/>
  <c r="AZ78" i="61"/>
  <c r="BA78" i="61" s="1"/>
  <c r="AV10" i="82"/>
  <c r="BA10" i="82"/>
  <c r="BB10" i="82" s="1"/>
  <c r="BF12" i="70"/>
  <c r="BJ14" i="82"/>
  <c r="BK14" i="82" s="1"/>
  <c r="BF14" i="76"/>
  <c r="BJ14" i="76"/>
  <c r="BK14" i="76" s="1"/>
  <c r="AW7" i="76"/>
  <c r="AV7" i="76"/>
  <c r="BA7" i="76"/>
  <c r="BB7" i="76" s="1"/>
  <c r="AV9" i="75"/>
  <c r="BA9" i="75"/>
  <c r="BB9" i="75" s="1"/>
  <c r="BE34" i="78"/>
  <c r="BF34" i="78"/>
  <c r="AV15" i="80"/>
  <c r="AW15" i="80"/>
  <c r="BA15" i="80"/>
  <c r="BB15" i="80" s="1"/>
  <c r="AW8" i="73"/>
  <c r="AV8" i="73"/>
  <c r="BA8" i="73"/>
  <c r="BB8" i="73" s="1"/>
  <c r="BE20" i="66"/>
  <c r="BJ20" i="66"/>
  <c r="BK20" i="66"/>
  <c r="BE11" i="78"/>
  <c r="AV62" i="61"/>
  <c r="AW62" i="61"/>
  <c r="AZ62" i="61"/>
  <c r="BA62" i="61"/>
  <c r="AW27" i="71"/>
  <c r="AV27" i="71"/>
  <c r="BA27" i="71"/>
  <c r="BB27" i="71"/>
  <c r="BD114" i="47"/>
  <c r="BE114" i="47"/>
  <c r="BH87" i="47"/>
  <c r="BI87" i="47"/>
  <c r="BE87" i="47"/>
  <c r="AV18" i="69"/>
  <c r="AW18" i="69"/>
  <c r="BA18" i="69"/>
  <c r="BB18" i="69"/>
  <c r="AV70" i="74"/>
  <c r="AW70" i="74"/>
  <c r="AW63" i="73"/>
  <c r="BA63" i="73"/>
  <c r="BB63" i="73"/>
  <c r="AV63" i="73"/>
  <c r="BE28" i="69"/>
  <c r="BF28" i="69"/>
  <c r="BE109" i="70"/>
  <c r="BF109" i="70"/>
  <c r="BJ109" i="70"/>
  <c r="BK109" i="70"/>
  <c r="BE100" i="70"/>
  <c r="BF100" i="70"/>
  <c r="AV56" i="69"/>
  <c r="AW56" i="69"/>
  <c r="BE28" i="75"/>
  <c r="BF28" i="75"/>
  <c r="BJ28" i="75"/>
  <c r="BK28" i="75"/>
  <c r="BE113" i="1"/>
  <c r="BF113" i="1"/>
  <c r="BJ113" i="1"/>
  <c r="BK113" i="1"/>
  <c r="BF110" i="1"/>
  <c r="BE110" i="1"/>
  <c r="BJ110" i="1"/>
  <c r="BK110" i="1"/>
  <c r="BF110" i="73"/>
  <c r="BE110" i="73"/>
  <c r="BJ110" i="73"/>
  <c r="BK110" i="73"/>
  <c r="BF88" i="67"/>
  <c r="BE88" i="67"/>
  <c r="BF72" i="71"/>
  <c r="BE72" i="71"/>
  <c r="AW56" i="67"/>
  <c r="AV56" i="67"/>
  <c r="BA56" i="67"/>
  <c r="BB56" i="67"/>
  <c r="BF80" i="67"/>
  <c r="BE80" i="67"/>
  <c r="AW50" i="73"/>
  <c r="AV50" i="73"/>
  <c r="BA50" i="73"/>
  <c r="BB50" i="73"/>
  <c r="BA32" i="69"/>
  <c r="BB32" i="69"/>
  <c r="AW32" i="69"/>
  <c r="BF41" i="68"/>
  <c r="BE41" i="68"/>
  <c r="BJ41" i="68"/>
  <c r="BK41" i="68"/>
  <c r="BE32" i="68"/>
  <c r="BF32" i="68"/>
  <c r="BJ32" i="68"/>
  <c r="BK32" i="68"/>
  <c r="AV57" i="75"/>
  <c r="AW57" i="75"/>
  <c r="BF91" i="70"/>
  <c r="BJ91" i="70"/>
  <c r="BK91" i="70"/>
  <c r="BE91" i="70"/>
  <c r="AV49" i="68"/>
  <c r="AW49" i="68"/>
  <c r="BA49" i="68"/>
  <c r="BB49" i="68"/>
  <c r="AW48" i="66"/>
  <c r="BA48" i="66"/>
  <c r="BB48" i="66"/>
  <c r="AV48" i="66"/>
  <c r="AW45" i="68"/>
  <c r="AV45" i="68"/>
  <c r="BA45" i="68"/>
  <c r="BB45" i="68"/>
  <c r="AV57" i="73"/>
  <c r="AW57" i="73"/>
  <c r="BA57" i="73"/>
  <c r="BB57" i="73"/>
  <c r="AV32" i="74"/>
  <c r="AW32" i="74"/>
  <c r="BF96" i="67"/>
  <c r="BE96" i="67"/>
  <c r="BE96" i="70"/>
  <c r="BF96" i="70"/>
  <c r="BJ96" i="70"/>
  <c r="BK96" i="70"/>
  <c r="BF49" i="77"/>
  <c r="BE49" i="77"/>
  <c r="BJ49" i="77"/>
  <c r="BK49" i="77"/>
  <c r="AW54" i="67"/>
  <c r="AV54" i="67"/>
  <c r="BA54" i="67"/>
  <c r="BB54" i="67"/>
  <c r="BE79" i="74"/>
  <c r="BF79" i="74"/>
  <c r="BJ79" i="74"/>
  <c r="BK79" i="74"/>
  <c r="BF58" i="66"/>
  <c r="BE58" i="66"/>
  <c r="BE68" i="73"/>
  <c r="BF68" i="73"/>
  <c r="BE61" i="70"/>
  <c r="BF61" i="70"/>
  <c r="BJ61" i="70"/>
  <c r="BK61" i="70"/>
  <c r="BE42" i="74"/>
  <c r="BF42" i="74"/>
  <c r="BF82" i="69"/>
  <c r="BJ82" i="69"/>
  <c r="BK82" i="69"/>
  <c r="BE82" i="69"/>
  <c r="AV45" i="67"/>
  <c r="AW45" i="67"/>
  <c r="BA45" i="67"/>
  <c r="BB45" i="67"/>
  <c r="BF61" i="71"/>
  <c r="BE61" i="71"/>
  <c r="BJ61" i="71"/>
  <c r="BK61" i="71"/>
  <c r="BE59" i="75"/>
  <c r="BF59" i="75"/>
  <c r="BE59" i="76"/>
  <c r="BF59" i="76"/>
  <c r="BJ59" i="76"/>
  <c r="BK59" i="76"/>
  <c r="BJ64" i="73"/>
  <c r="BK64" i="73"/>
  <c r="BE64" i="73"/>
  <c r="BF64" i="73"/>
  <c r="AW35" i="1"/>
  <c r="AV35" i="1"/>
  <c r="BA35" i="1"/>
  <c r="BB35" i="1"/>
  <c r="BE73" i="1"/>
  <c r="BF73" i="1"/>
  <c r="BJ73" i="1"/>
  <c r="BK73" i="1"/>
  <c r="BD73" i="60"/>
  <c r="BE73" i="60"/>
  <c r="AV77" i="47"/>
  <c r="AZ77" i="47"/>
  <c r="BA77" i="47"/>
  <c r="F13" i="47"/>
  <c r="AW77" i="47"/>
  <c r="BH20" i="61"/>
  <c r="BI20" i="61"/>
  <c r="BD20" i="61"/>
  <c r="BE20" i="61"/>
  <c r="AV5" i="38"/>
  <c r="AZ5" i="38"/>
  <c r="BA5" i="38"/>
  <c r="BA4" i="38"/>
  <c r="F11" i="38"/>
  <c r="AW5" i="38"/>
  <c r="AV12" i="38"/>
  <c r="AW12" i="38"/>
  <c r="BD112" i="60"/>
  <c r="BE112" i="60"/>
  <c r="BH112" i="60"/>
  <c r="BI112" i="60"/>
  <c r="BD76" i="47"/>
  <c r="BE76" i="47"/>
  <c r="AW60" i="61"/>
  <c r="AV60" i="61"/>
  <c r="AZ60" i="61"/>
  <c r="BA60" i="61"/>
  <c r="I390" i="2"/>
  <c r="F432" i="2"/>
  <c r="BJ18" i="68"/>
  <c r="BK18" i="68" s="1"/>
  <c r="AW90" i="75"/>
  <c r="AV37" i="61"/>
  <c r="AV85" i="75"/>
  <c r="BA87" i="74"/>
  <c r="BB87" i="74"/>
  <c r="BJ104" i="75"/>
  <c r="BK104" i="75"/>
  <c r="BJ28" i="69"/>
  <c r="BK28" i="69"/>
  <c r="BD87" i="47"/>
  <c r="BA57" i="75"/>
  <c r="BB57" i="75"/>
  <c r="AZ37" i="47"/>
  <c r="BA37" i="47"/>
  <c r="AV87" i="74"/>
  <c r="BE104" i="75"/>
  <c r="BJ59" i="75"/>
  <c r="BK59" i="75"/>
  <c r="BH73" i="60"/>
  <c r="BI73" i="60"/>
  <c r="BJ96" i="67"/>
  <c r="BK96" i="67"/>
  <c r="BA32" i="74"/>
  <c r="BB32" i="74"/>
  <c r="BH114" i="47"/>
  <c r="BI114" i="47"/>
  <c r="BD68" i="47"/>
  <c r="BE68" i="47"/>
  <c r="BE114" i="75"/>
  <c r="BF114" i="75"/>
  <c r="BF128" i="67"/>
  <c r="BE128" i="67"/>
  <c r="BJ88" i="81"/>
  <c r="BF88" i="81"/>
  <c r="BE88" i="81"/>
  <c r="AW91" i="80"/>
  <c r="AV91" i="80"/>
  <c r="BA91" i="80"/>
  <c r="BB91" i="80"/>
  <c r="BF115" i="75"/>
  <c r="BE115" i="75"/>
  <c r="AW140" i="74"/>
  <c r="AV140" i="74"/>
  <c r="BF133" i="73"/>
  <c r="BE133" i="73"/>
  <c r="BJ133" i="73"/>
  <c r="BK133" i="73"/>
  <c r="BE137" i="70"/>
  <c r="BJ137" i="70"/>
  <c r="BF137" i="70"/>
  <c r="AW104" i="69"/>
  <c r="AV104" i="69"/>
  <c r="BF129" i="67"/>
  <c r="BE129" i="67"/>
  <c r="AW110" i="66"/>
  <c r="AV110" i="66"/>
  <c r="AV128" i="1"/>
  <c r="BA128" i="1"/>
  <c r="BB128" i="1"/>
  <c r="AW109" i="76"/>
  <c r="BA109" i="76"/>
  <c r="BB109" i="76"/>
  <c r="AV109" i="76"/>
  <c r="AV84" i="81"/>
  <c r="BA84" i="81"/>
  <c r="BB84" i="81"/>
  <c r="AW84" i="81"/>
  <c r="BE107" i="78"/>
  <c r="BF107" i="78"/>
  <c r="BJ107" i="78"/>
  <c r="BK107" i="78"/>
  <c r="BA113" i="66"/>
  <c r="BB113" i="66"/>
  <c r="AV113" i="66"/>
  <c r="AW113" i="66"/>
  <c r="BF136" i="70"/>
  <c r="BE136" i="70"/>
  <c r="AV108" i="78"/>
  <c r="AW108" i="78"/>
  <c r="I436" i="2"/>
  <c r="F437" i="2"/>
  <c r="I437" i="2"/>
  <c r="BE52" i="67"/>
  <c r="BF52" i="67"/>
  <c r="BJ52" i="67"/>
  <c r="BK52" i="67"/>
  <c r="BJ136" i="70"/>
  <c r="BK136" i="70"/>
  <c r="BA133" i="70"/>
  <c r="BB133" i="70"/>
  <c r="AW133" i="70"/>
  <c r="BH68" i="47"/>
  <c r="BI68" i="47"/>
  <c r="BA104" i="69"/>
  <c r="BB104" i="69"/>
  <c r="BE128" i="1"/>
  <c r="AV117" i="71"/>
  <c r="AW128" i="1"/>
  <c r="BF48" i="67"/>
  <c r="BE48" i="67"/>
  <c r="BF83" i="68"/>
  <c r="BE83" i="68"/>
  <c r="BF55" i="77"/>
  <c r="BJ55" i="77"/>
  <c r="BK55" i="77"/>
  <c r="BE99" i="67"/>
  <c r="BJ99" i="67"/>
  <c r="BK99" i="67"/>
  <c r="BF99" i="67"/>
  <c r="AW48" i="69"/>
  <c r="BA48" i="69"/>
  <c r="BB48" i="69"/>
  <c r="AV48" i="69"/>
  <c r="BE40" i="67"/>
  <c r="BF40" i="67"/>
  <c r="BE39" i="82"/>
  <c r="BF39" i="82"/>
  <c r="BE43" i="68"/>
  <c r="BF43" i="68"/>
  <c r="BE53" i="80"/>
  <c r="BJ53" i="80"/>
  <c r="BK53" i="80"/>
  <c r="AW31" i="69"/>
  <c r="AV31" i="69"/>
  <c r="AV33" i="66"/>
  <c r="AW33" i="66"/>
  <c r="BH102" i="61"/>
  <c r="BI102" i="61"/>
  <c r="BE102" i="61"/>
  <c r="AW41" i="70"/>
  <c r="AV41" i="70"/>
  <c r="BE53" i="69"/>
  <c r="BF53" i="69"/>
  <c r="BA42" i="1"/>
  <c r="BB42" i="1"/>
  <c r="AV42" i="1"/>
  <c r="AW42" i="1"/>
  <c r="AV89" i="75"/>
  <c r="AW89" i="75"/>
  <c r="BJ61" i="76"/>
  <c r="BK61" i="76"/>
  <c r="BF61" i="76"/>
  <c r="AV64" i="47"/>
  <c r="AW64" i="47"/>
  <c r="AZ64" i="47"/>
  <c r="BA64" i="47"/>
  <c r="BF52" i="76"/>
  <c r="BE52" i="76"/>
  <c r="BE53" i="71"/>
  <c r="BF53" i="71"/>
  <c r="BJ53" i="71"/>
  <c r="BK53" i="71"/>
  <c r="BE63" i="73"/>
  <c r="BF63" i="73"/>
  <c r="AW41" i="74"/>
  <c r="AV41" i="74"/>
  <c r="BF123" i="70"/>
  <c r="BE123" i="70"/>
  <c r="AW55" i="66"/>
  <c r="AV55" i="66"/>
  <c r="AV48" i="70"/>
  <c r="BA48" i="70"/>
  <c r="BB48" i="70"/>
  <c r="AW48" i="70"/>
  <c r="BE60" i="71"/>
  <c r="BJ60" i="71"/>
  <c r="BK60" i="71"/>
  <c r="AW62" i="71"/>
  <c r="AV62" i="71"/>
  <c r="AV59" i="70"/>
  <c r="AW59" i="70"/>
  <c r="BJ56" i="76"/>
  <c r="BK56" i="76"/>
  <c r="BE56" i="76"/>
  <c r="AW68" i="67"/>
  <c r="AV68" i="67"/>
  <c r="BF54" i="74"/>
  <c r="BE54" i="74"/>
  <c r="BJ54" i="74"/>
  <c r="BK54" i="74"/>
  <c r="AV31" i="74"/>
  <c r="AW31" i="74"/>
  <c r="BE41" i="1"/>
  <c r="BF41" i="1"/>
  <c r="BJ41" i="1"/>
  <c r="BK41" i="1"/>
  <c r="BF69" i="80"/>
  <c r="BE69" i="80"/>
  <c r="BD110" i="64"/>
  <c r="BE110" i="64"/>
  <c r="AV71" i="64"/>
  <c r="AW71" i="64"/>
  <c r="BE42" i="70"/>
  <c r="BE75" i="47"/>
  <c r="BD75" i="47"/>
  <c r="BD80" i="61"/>
  <c r="BE80" i="61"/>
  <c r="AW51" i="61"/>
  <c r="AV51" i="61"/>
  <c r="AW31" i="1"/>
  <c r="AV31" i="1"/>
  <c r="BD116" i="61"/>
  <c r="BE116" i="61"/>
  <c r="AZ51" i="47"/>
  <c r="BA51" i="47"/>
  <c r="AV68" i="60"/>
  <c r="AW68" i="60"/>
  <c r="BH98" i="47"/>
  <c r="BI98" i="47"/>
  <c r="BB17" i="69"/>
  <c r="BI101" i="69"/>
  <c r="Y354" i="2"/>
  <c r="BK101" i="69"/>
  <c r="BI43" i="69"/>
  <c r="Y257" i="2"/>
  <c r="N257" i="2"/>
  <c r="F257" i="2"/>
  <c r="I257" i="2"/>
  <c r="BK43" i="69"/>
  <c r="BI102" i="69"/>
  <c r="Y355" i="2"/>
  <c r="N355" i="2"/>
  <c r="F355" i="2"/>
  <c r="I355" i="2"/>
  <c r="AZ17" i="69"/>
  <c r="X213" i="2"/>
  <c r="N213" i="2"/>
  <c r="F213" i="2"/>
  <c r="I213" i="2"/>
  <c r="AY105" i="69"/>
  <c r="BH42" i="69"/>
  <c r="AZ64" i="69"/>
  <c r="X184" i="2"/>
  <c r="N184" i="2"/>
  <c r="F184" i="2"/>
  <c r="I184" i="2"/>
  <c r="BK49" i="82"/>
  <c r="BK72" i="82"/>
  <c r="BK50" i="82"/>
  <c r="BI50" i="82"/>
  <c r="AU272" i="2"/>
  <c r="N272" i="2"/>
  <c r="F272" i="2"/>
  <c r="I272" i="2"/>
  <c r="N113" i="2"/>
  <c r="F113" i="2"/>
  <c r="I113" i="2"/>
  <c r="BK84" i="81"/>
  <c r="BH88" i="81"/>
  <c r="BI88" i="81"/>
  <c r="AS358" i="2"/>
  <c r="AZ88" i="81"/>
  <c r="AR358" i="2"/>
  <c r="BI19" i="81"/>
  <c r="AS130" i="2"/>
  <c r="BK19" i="81"/>
  <c r="BK88" i="81"/>
  <c r="BB88" i="81"/>
  <c r="BH86" i="81"/>
  <c r="N92" i="2"/>
  <c r="F92" i="2"/>
  <c r="I92" i="2"/>
  <c r="BK89" i="80"/>
  <c r="BH26" i="80"/>
  <c r="BI11" i="80"/>
  <c r="AQ95" i="2"/>
  <c r="N95" i="2"/>
  <c r="F95" i="2"/>
  <c r="I95" i="2"/>
  <c r="AZ51" i="80"/>
  <c r="AP135" i="2"/>
  <c r="N135" i="2"/>
  <c r="F135" i="2"/>
  <c r="I135" i="2"/>
  <c r="BB51" i="80"/>
  <c r="BI33" i="80"/>
  <c r="AQ131" i="2"/>
  <c r="N131" i="2"/>
  <c r="F131" i="2"/>
  <c r="I131" i="2"/>
  <c r="AY88" i="80"/>
  <c r="AZ14" i="80"/>
  <c r="AP108" i="2"/>
  <c r="N108" i="2"/>
  <c r="F108" i="2"/>
  <c r="I108" i="2"/>
  <c r="BH32" i="80"/>
  <c r="BI17" i="80"/>
  <c r="AQ101" i="2"/>
  <c r="BH22" i="80"/>
  <c r="BI7" i="80"/>
  <c r="AQ91" i="2"/>
  <c r="N91" i="2"/>
  <c r="F91" i="2"/>
  <c r="I91" i="2"/>
  <c r="BH92" i="80"/>
  <c r="BB92" i="80"/>
  <c r="AZ92" i="80"/>
  <c r="AP358" i="2"/>
  <c r="BK50" i="80"/>
  <c r="BH27" i="80"/>
  <c r="BI12" i="80"/>
  <c r="AQ96" i="2"/>
  <c r="N96" i="2"/>
  <c r="F96" i="2"/>
  <c r="I96" i="2"/>
  <c r="BI25" i="80"/>
  <c r="AQ123" i="2"/>
  <c r="N123" i="2"/>
  <c r="F123" i="2"/>
  <c r="I123" i="2"/>
  <c r="BI41" i="78"/>
  <c r="AO133" i="2"/>
  <c r="N133" i="2"/>
  <c r="F133" i="2"/>
  <c r="I133" i="2"/>
  <c r="BK41" i="78"/>
  <c r="BK67" i="78"/>
  <c r="BI67" i="78"/>
  <c r="AO254" i="2"/>
  <c r="N254" i="2"/>
  <c r="F254" i="2"/>
  <c r="I254" i="2"/>
  <c r="BI29" i="78"/>
  <c r="AO121" i="2"/>
  <c r="N121" i="2"/>
  <c r="F121" i="2"/>
  <c r="I121" i="2"/>
  <c r="BI35" i="78"/>
  <c r="AO127" i="2"/>
  <c r="N127" i="2"/>
  <c r="F127" i="2"/>
  <c r="I127" i="2"/>
  <c r="BH37" i="78"/>
  <c r="BI18" i="78"/>
  <c r="AO63" i="2"/>
  <c r="BI6" i="78"/>
  <c r="AO51" i="2"/>
  <c r="N51" i="2"/>
  <c r="F51" i="2"/>
  <c r="I51" i="2"/>
  <c r="BH25" i="78"/>
  <c r="BK108" i="78"/>
  <c r="BI108" i="78"/>
  <c r="AO358" i="2"/>
  <c r="BH104" i="78"/>
  <c r="AZ104" i="78"/>
  <c r="AN354" i="2"/>
  <c r="BI9" i="78"/>
  <c r="AO54" i="2"/>
  <c r="N54" i="2"/>
  <c r="F54" i="2"/>
  <c r="I54" i="2"/>
  <c r="BH28" i="78"/>
  <c r="BH36" i="78"/>
  <c r="BI17" i="78"/>
  <c r="AO62" i="2"/>
  <c r="N62" i="2"/>
  <c r="F62" i="2"/>
  <c r="I62" i="2"/>
  <c r="BK62" i="78"/>
  <c r="BK57" i="78"/>
  <c r="BI27" i="78"/>
  <c r="AO119" i="2"/>
  <c r="N119" i="2"/>
  <c r="F119" i="2"/>
  <c r="I119" i="2"/>
  <c r="BH24" i="78"/>
  <c r="BH106" i="78"/>
  <c r="BI5" i="78"/>
  <c r="AO50" i="2"/>
  <c r="N50" i="2"/>
  <c r="F50" i="2"/>
  <c r="I50" i="2"/>
  <c r="BK62" i="75"/>
  <c r="BB117" i="75"/>
  <c r="BH117" i="75"/>
  <c r="BI117" i="75"/>
  <c r="AK358" i="2"/>
  <c r="BK113" i="75"/>
  <c r="BK115" i="75"/>
  <c r="BI102" i="75"/>
  <c r="AK203" i="2"/>
  <c r="N203" i="2"/>
  <c r="F203" i="2"/>
  <c r="I203" i="2"/>
  <c r="BK117" i="75"/>
  <c r="BK106" i="74"/>
  <c r="BK118" i="74"/>
  <c r="BK46" i="74"/>
  <c r="BK141" i="74"/>
  <c r="BB111" i="76"/>
  <c r="BH111" i="76"/>
  <c r="BI111" i="76"/>
  <c r="AG358" i="2"/>
  <c r="BK111" i="76"/>
  <c r="BB107" i="76"/>
  <c r="BH107" i="76"/>
  <c r="BI107" i="76"/>
  <c r="AG354" i="2"/>
  <c r="BK109" i="76"/>
  <c r="BI109" i="76"/>
  <c r="AG356" i="2"/>
  <c r="BK107" i="76"/>
  <c r="BH135" i="73"/>
  <c r="AZ137" i="73"/>
  <c r="AD358" i="2"/>
  <c r="BH137" i="73"/>
  <c r="BI119" i="71"/>
  <c r="AC358" i="2"/>
  <c r="BB119" i="71"/>
  <c r="AZ119" i="71"/>
  <c r="AB358" i="2"/>
  <c r="N188" i="2"/>
  <c r="F188" i="2"/>
  <c r="I188" i="2"/>
  <c r="BK64" i="71"/>
  <c r="BI64" i="71"/>
  <c r="AC281" i="2"/>
  <c r="N281" i="2"/>
  <c r="F281" i="2"/>
  <c r="I281" i="2"/>
  <c r="BI121" i="70"/>
  <c r="AA349" i="2"/>
  <c r="N349" i="2"/>
  <c r="F349" i="2"/>
  <c r="I349" i="2"/>
  <c r="BK121" i="70"/>
  <c r="BI18" i="70"/>
  <c r="AA63" i="2"/>
  <c r="N63" i="2"/>
  <c r="F63" i="2"/>
  <c r="I63" i="2"/>
  <c r="BK66" i="70"/>
  <c r="AZ137" i="70"/>
  <c r="Z358" i="2"/>
  <c r="BH137" i="70"/>
  <c r="BI137" i="70"/>
  <c r="AA358" i="2"/>
  <c r="BK135" i="70"/>
  <c r="BK48" i="70"/>
  <c r="BK103" i="69"/>
  <c r="BI103" i="69"/>
  <c r="Y356" i="2"/>
  <c r="BK106" i="68"/>
  <c r="N159" i="2"/>
  <c r="F159" i="2"/>
  <c r="I159" i="2"/>
  <c r="BK103" i="68"/>
  <c r="BK104" i="68"/>
  <c r="BK129" i="67"/>
  <c r="BK63" i="67"/>
  <c r="BK131" i="67"/>
  <c r="BB109" i="66"/>
  <c r="BK110" i="66"/>
  <c r="BK111" i="66"/>
  <c r="BH113" i="66"/>
  <c r="AZ113" i="66"/>
  <c r="R358" i="2"/>
  <c r="BI17" i="66"/>
  <c r="S101" i="2"/>
  <c r="N101" i="2"/>
  <c r="F101" i="2"/>
  <c r="I101" i="2"/>
  <c r="BK44" i="66"/>
  <c r="BK109" i="66"/>
  <c r="BI109" i="66"/>
  <c r="S354" i="2"/>
  <c r="AZ131" i="1"/>
  <c r="P358" i="2"/>
  <c r="BB131" i="1"/>
  <c r="BH131" i="1"/>
  <c r="AZ127" i="1"/>
  <c r="P354" i="2"/>
  <c r="BH127" i="1"/>
  <c r="BH129" i="1"/>
  <c r="BI7" i="1"/>
  <c r="Q52" i="2"/>
  <c r="N52" i="2"/>
  <c r="F52" i="2"/>
  <c r="I52" i="2"/>
  <c r="BK45" i="1"/>
  <c r="BI45" i="1"/>
  <c r="Q245" i="2"/>
  <c r="N245" i="2"/>
  <c r="F245" i="2"/>
  <c r="I245" i="2"/>
  <c r="BB127" i="1"/>
  <c r="BK73" i="77"/>
  <c r="BB105" i="69"/>
  <c r="AZ105" i="69"/>
  <c r="X358" i="2"/>
  <c r="BH105" i="69"/>
  <c r="BK42" i="69"/>
  <c r="BI42" i="69"/>
  <c r="Y256" i="2"/>
  <c r="N256" i="2"/>
  <c r="F256" i="2"/>
  <c r="I256" i="2"/>
  <c r="BI86" i="81"/>
  <c r="AS356" i="2"/>
  <c r="BK86" i="81"/>
  <c r="BI22" i="80"/>
  <c r="AQ120" i="2"/>
  <c r="BI26" i="80"/>
  <c r="AQ124" i="2"/>
  <c r="N124" i="2"/>
  <c r="F124" i="2"/>
  <c r="I124" i="2"/>
  <c r="BI27" i="80"/>
  <c r="AQ125" i="2"/>
  <c r="N125" i="2"/>
  <c r="F125" i="2"/>
  <c r="I125" i="2"/>
  <c r="BK92" i="80"/>
  <c r="BI92" i="80"/>
  <c r="AQ358" i="2"/>
  <c r="BH88" i="80"/>
  <c r="BB88" i="80"/>
  <c r="AZ88" i="80"/>
  <c r="AP354" i="2"/>
  <c r="BI32" i="80"/>
  <c r="AQ130" i="2"/>
  <c r="N130" i="2"/>
  <c r="F130" i="2"/>
  <c r="I130" i="2"/>
  <c r="BH90" i="80"/>
  <c r="BI106" i="78"/>
  <c r="AO356" i="2"/>
  <c r="BK106" i="78"/>
  <c r="BI36" i="78"/>
  <c r="AO128" i="2"/>
  <c r="N128" i="2"/>
  <c r="F128" i="2"/>
  <c r="I128" i="2"/>
  <c r="BI104" i="78"/>
  <c r="AO354" i="2"/>
  <c r="BK104" i="78"/>
  <c r="BI24" i="78"/>
  <c r="AO116" i="2"/>
  <c r="N116" i="2"/>
  <c r="F116" i="2"/>
  <c r="I116" i="2"/>
  <c r="BI28" i="78"/>
  <c r="AO120" i="2"/>
  <c r="N120" i="2"/>
  <c r="F120" i="2"/>
  <c r="I120" i="2"/>
  <c r="BI25" i="78"/>
  <c r="AO117" i="2"/>
  <c r="N117" i="2"/>
  <c r="F117" i="2"/>
  <c r="I117" i="2"/>
  <c r="BK25" i="78"/>
  <c r="BI37" i="78"/>
  <c r="AO129" i="2"/>
  <c r="N129" i="2"/>
  <c r="F129" i="2"/>
  <c r="I129" i="2"/>
  <c r="BK137" i="73"/>
  <c r="BI137" i="73"/>
  <c r="AE358" i="2"/>
  <c r="BI135" i="73"/>
  <c r="AE356" i="2"/>
  <c r="BK135" i="73"/>
  <c r="BK137" i="70"/>
  <c r="BI113" i="66"/>
  <c r="S358" i="2"/>
  <c r="BK113" i="66"/>
  <c r="BI131" i="1"/>
  <c r="Q358" i="2"/>
  <c r="BK131" i="1"/>
  <c r="BI129" i="1"/>
  <c r="Q356" i="2"/>
  <c r="BK129" i="1"/>
  <c r="BI127" i="1"/>
  <c r="Q354" i="2"/>
  <c r="BK127" i="1"/>
  <c r="BK105" i="69"/>
  <c r="BI105" i="69"/>
  <c r="Y358" i="2"/>
  <c r="BI90" i="80"/>
  <c r="AQ356" i="2"/>
  <c r="BK90" i="80"/>
  <c r="BI88" i="80"/>
  <c r="AQ354" i="2"/>
  <c r="N354" i="2"/>
  <c r="F354" i="2"/>
  <c r="I354" i="2"/>
  <c r="BK88" i="80"/>
  <c r="N356" i="2"/>
  <c r="F356" i="2"/>
  <c r="I356" i="2"/>
  <c r="N358" i="2"/>
  <c r="F358" i="2"/>
  <c r="I358" i="2"/>
  <c r="F387" i="2"/>
  <c r="BH86" i="80" l="1"/>
  <c r="BI86" i="80" s="1"/>
  <c r="AQ207" i="2" s="1"/>
  <c r="BF34" i="1"/>
  <c r="BD15" i="64"/>
  <c r="AV20" i="81"/>
  <c r="AW30" i="78"/>
  <c r="AV22" i="1"/>
  <c r="BJ27" i="68"/>
  <c r="BK27" i="68" s="1"/>
  <c r="AV20" i="73"/>
  <c r="BA20" i="70"/>
  <c r="BB20" i="70" s="1"/>
  <c r="AV20" i="67"/>
  <c r="BE34" i="1"/>
  <c r="AV18" i="68"/>
  <c r="AU21" i="67"/>
  <c r="AV21" i="67" s="1"/>
  <c r="BA20" i="81"/>
  <c r="BB20" i="81" s="1"/>
  <c r="AW18" i="81"/>
  <c r="BH99" i="75"/>
  <c r="BI99" i="75" s="1"/>
  <c r="AK207" i="2" s="1"/>
  <c r="AZ66" i="75"/>
  <c r="AJ207" i="2" s="1"/>
  <c r="K207" i="2"/>
  <c r="AU43" i="82"/>
  <c r="BD125" i="70"/>
  <c r="BD99" i="76"/>
  <c r="BD68" i="82"/>
  <c r="L207" i="2"/>
  <c r="E207" i="2"/>
  <c r="AU80" i="1"/>
  <c r="AU70" i="66"/>
  <c r="G207" i="2"/>
  <c r="H207" i="2" s="1"/>
  <c r="C207" i="2"/>
  <c r="AU80" i="70"/>
  <c r="AU70" i="71"/>
  <c r="BD82" i="81"/>
  <c r="AU51" i="81"/>
  <c r="AU66" i="76"/>
  <c r="BD100" i="68"/>
  <c r="AU80" i="73"/>
  <c r="BD99" i="69"/>
  <c r="BD102" i="78"/>
  <c r="BD86" i="80"/>
  <c r="AU66" i="75"/>
  <c r="AU66" i="69"/>
  <c r="BD125" i="74"/>
  <c r="AY48" i="77"/>
  <c r="AY80" i="73"/>
  <c r="AU48" i="77"/>
  <c r="AU67" i="68"/>
  <c r="AU62" i="78"/>
  <c r="BD107" i="66"/>
  <c r="BD125" i="67"/>
  <c r="AU53" i="80"/>
  <c r="BD68" i="77"/>
  <c r="BD107" i="71"/>
  <c r="AU80" i="67"/>
  <c r="BD125" i="1"/>
  <c r="AU80" i="74"/>
  <c r="BD99" i="75"/>
  <c r="BD125" i="73"/>
  <c r="AY80" i="1"/>
  <c r="AY67" i="68"/>
  <c r="AY80" i="70"/>
  <c r="AY66" i="69"/>
  <c r="AY51" i="81"/>
  <c r="AY66" i="76"/>
  <c r="AY80" i="74"/>
  <c r="AY80" i="67"/>
  <c r="AY70" i="66"/>
  <c r="AY62" i="78"/>
  <c r="AZ70" i="71"/>
  <c r="AB207" i="2" s="1"/>
  <c r="AU21" i="73"/>
  <c r="BC18" i="64"/>
  <c r="AU17" i="68"/>
  <c r="BD53" i="78"/>
  <c r="AU21" i="1"/>
  <c r="D77" i="2"/>
  <c r="AU18" i="66"/>
  <c r="BC18" i="61"/>
  <c r="AU21" i="81"/>
  <c r="BD33" i="81"/>
  <c r="BD28" i="68"/>
  <c r="BE28" i="68" s="1"/>
  <c r="BD33" i="67"/>
  <c r="BD33" i="70"/>
  <c r="BE33" i="70" s="1"/>
  <c r="AU26" i="80"/>
  <c r="AW26" i="80" s="1"/>
  <c r="BD44" i="80"/>
  <c r="AU21" i="74"/>
  <c r="G77" i="2"/>
  <c r="H77" i="2" s="1"/>
  <c r="C77" i="2"/>
  <c r="AU21" i="70"/>
  <c r="AV21" i="70" s="1"/>
  <c r="BC18" i="60"/>
  <c r="BE18" i="60" s="1"/>
  <c r="BD28" i="71"/>
  <c r="K77" i="2"/>
  <c r="L77" i="2"/>
  <c r="AU18" i="71"/>
  <c r="E77" i="2"/>
  <c r="BD28" i="66"/>
  <c r="BF28" i="66" s="1"/>
  <c r="BD20" i="77"/>
  <c r="BD33" i="74"/>
  <c r="BF33" i="74" s="1"/>
  <c r="AW16" i="80"/>
  <c r="BA16" i="80"/>
  <c r="BB16" i="80" s="1"/>
  <c r="BE17" i="81"/>
  <c r="BF17" i="81"/>
  <c r="BE17" i="67"/>
  <c r="BJ17" i="67"/>
  <c r="BK17" i="67" s="1"/>
  <c r="AW11" i="81"/>
  <c r="AV11" i="81"/>
  <c r="AW11" i="73"/>
  <c r="AV11" i="73"/>
  <c r="BJ16" i="78"/>
  <c r="BK16" i="78" s="1"/>
  <c r="BE16" i="78"/>
  <c r="AV8" i="66"/>
  <c r="BA8" i="66"/>
  <c r="BB8" i="66" s="1"/>
  <c r="BJ11" i="1"/>
  <c r="BK11" i="1" s="1"/>
  <c r="BE11" i="1"/>
  <c r="AW12" i="1"/>
  <c r="BA12" i="1"/>
  <c r="BB12" i="1" s="1"/>
  <c r="BD33" i="47"/>
  <c r="BH33" i="47"/>
  <c r="BI33" i="47" s="1"/>
  <c r="BA83" i="74"/>
  <c r="BB83" i="74" s="1"/>
  <c r="AV83" i="74"/>
  <c r="BJ16" i="71"/>
  <c r="BK16" i="71" s="1"/>
  <c r="BF16" i="71"/>
  <c r="BH24" i="61"/>
  <c r="BI24" i="61" s="1"/>
  <c r="BE24" i="61"/>
  <c r="BD24" i="61"/>
  <c r="BF14" i="1"/>
  <c r="BE14" i="1"/>
  <c r="BE14" i="70"/>
  <c r="BJ14" i="70"/>
  <c r="BK14" i="70" s="1"/>
  <c r="AZ80" i="47"/>
  <c r="BA80" i="47" s="1"/>
  <c r="AW80" i="47"/>
  <c r="AV80" i="47"/>
  <c r="BE128" i="73"/>
  <c r="BF128" i="73"/>
  <c r="AV13" i="67"/>
  <c r="BA13" i="67"/>
  <c r="BB13" i="67" s="1"/>
  <c r="AW13" i="67"/>
  <c r="BE25" i="66"/>
  <c r="BJ25" i="66"/>
  <c r="BK25" i="66" s="1"/>
  <c r="BJ12" i="76"/>
  <c r="BK12" i="76" s="1"/>
  <c r="BE12" i="76"/>
  <c r="BF12" i="76"/>
  <c r="BJ12" i="75"/>
  <c r="BK12" i="75" s="1"/>
  <c r="BE12" i="75"/>
  <c r="AV5" i="64"/>
  <c r="AZ5" i="64"/>
  <c r="BA5" i="64" s="1"/>
  <c r="AV32" i="61"/>
  <c r="AZ32" i="61"/>
  <c r="BA32" i="61" s="1"/>
  <c r="AV13" i="78"/>
  <c r="AW13" i="78"/>
  <c r="AW25" i="61"/>
  <c r="BF17" i="75"/>
  <c r="AW26" i="47"/>
  <c r="BE41" i="61"/>
  <c r="BE21" i="74"/>
  <c r="BF6" i="75"/>
  <c r="AW13" i="61"/>
  <c r="AW88" i="61"/>
  <c r="AW8" i="66"/>
  <c r="BA7" i="75"/>
  <c r="BB7" i="75" s="1"/>
  <c r="BF25" i="78"/>
  <c r="BF17" i="67"/>
  <c r="BF12" i="80"/>
  <c r="BE33" i="47"/>
  <c r="BJ16" i="1"/>
  <c r="BK16" i="1" s="1"/>
  <c r="BJ14" i="1"/>
  <c r="BK14" i="1" s="1"/>
  <c r="BE15" i="73"/>
  <c r="BJ15" i="73"/>
  <c r="BK15" i="73" s="1"/>
  <c r="BE15" i="67"/>
  <c r="BF15" i="67"/>
  <c r="BD33" i="1"/>
  <c r="BC18" i="47"/>
  <c r="AV13" i="80"/>
  <c r="BE6" i="75"/>
  <c r="BE8" i="77"/>
  <c r="AZ88" i="61"/>
  <c r="BA88" i="61" s="1"/>
  <c r="BF9" i="68"/>
  <c r="BA11" i="73"/>
  <c r="BB11" i="73" s="1"/>
  <c r="BJ17" i="81"/>
  <c r="BK17" i="81" s="1"/>
  <c r="BF12" i="75"/>
  <c r="BJ12" i="80"/>
  <c r="BK12" i="80" s="1"/>
  <c r="AV12" i="1"/>
  <c r="BE16" i="1"/>
  <c r="AW5" i="64"/>
  <c r="BE16" i="71"/>
  <c r="BJ15" i="67"/>
  <c r="BK15" i="67" s="1"/>
  <c r="AU31" i="78"/>
  <c r="BD33" i="73"/>
  <c r="BJ33" i="73" s="1"/>
  <c r="BK33" i="73" s="1"/>
  <c r="C95" i="2"/>
  <c r="BD11" i="66"/>
  <c r="E89" i="2"/>
  <c r="BC21" i="64"/>
  <c r="BD5" i="71"/>
  <c r="BC21" i="47"/>
  <c r="C47" i="2"/>
  <c r="AU13" i="70"/>
  <c r="L137" i="2"/>
  <c r="AU28" i="47"/>
  <c r="K137" i="2"/>
  <c r="D25" i="2"/>
  <c r="C25" i="2"/>
  <c r="AU5" i="60"/>
  <c r="K180" i="2"/>
  <c r="BD16" i="82"/>
  <c r="G180" i="2"/>
  <c r="H180" i="2" s="1"/>
  <c r="D167" i="2"/>
  <c r="AU11" i="75"/>
  <c r="AU11" i="69"/>
  <c r="BC53" i="47"/>
  <c r="BC53" i="61"/>
  <c r="E141" i="2"/>
  <c r="E176" i="2"/>
  <c r="BD12" i="82"/>
  <c r="C176" i="2"/>
  <c r="B73" i="2"/>
  <c r="B72" i="2"/>
  <c r="B71" i="2"/>
  <c r="AU22" i="70"/>
  <c r="E78" i="2"/>
  <c r="BD54" i="78"/>
  <c r="BD34" i="74"/>
  <c r="BD29" i="71"/>
  <c r="AU22" i="81"/>
  <c r="AU22" i="73"/>
  <c r="E198" i="2"/>
  <c r="BD113" i="71"/>
  <c r="BD8" i="82"/>
  <c r="E172" i="2"/>
  <c r="G172" i="2"/>
  <c r="H172" i="2" s="1"/>
  <c r="BD34" i="67"/>
  <c r="BD32" i="74"/>
  <c r="BD19" i="77"/>
  <c r="AU17" i="71"/>
  <c r="BD27" i="66"/>
  <c r="BC17" i="60"/>
  <c r="AU17" i="66"/>
  <c r="BC17" i="61"/>
  <c r="BD32" i="70"/>
  <c r="AU18" i="74"/>
  <c r="E74" i="2"/>
  <c r="BD25" i="68"/>
  <c r="AU14" i="68"/>
  <c r="BD25" i="71"/>
  <c r="AU18" i="1"/>
  <c r="AU28" i="78"/>
  <c r="BD30" i="74"/>
  <c r="L74" i="2"/>
  <c r="BC39" i="61"/>
  <c r="E130" i="2"/>
  <c r="AU17" i="61"/>
  <c r="K143" i="2"/>
  <c r="BD19" i="78"/>
  <c r="K64" i="2"/>
  <c r="C64" i="2"/>
  <c r="G191" i="2"/>
  <c r="H191" i="2" s="1"/>
  <c r="E191" i="2"/>
  <c r="D23" i="2"/>
  <c r="K164" i="2"/>
  <c r="BE11" i="80"/>
  <c r="BF5" i="66"/>
  <c r="AV13" i="1"/>
  <c r="AW84" i="70"/>
  <c r="BJ14" i="73"/>
  <c r="BK14" i="73" s="1"/>
  <c r="AV6" i="77"/>
  <c r="AV6" i="66"/>
  <c r="BF35" i="78"/>
  <c r="BE13" i="74"/>
  <c r="BE10" i="77"/>
  <c r="AW8" i="80"/>
  <c r="AV6" i="74"/>
  <c r="BE6" i="71"/>
  <c r="BJ19" i="70"/>
  <c r="BK19" i="70" s="1"/>
  <c r="BE39" i="47"/>
  <c r="BE8" i="66"/>
  <c r="BA11" i="70"/>
  <c r="BB11" i="70" s="1"/>
  <c r="BE13" i="80"/>
  <c r="AW86" i="47"/>
  <c r="AW86" i="61"/>
  <c r="BJ11" i="82"/>
  <c r="BK11" i="82" s="1"/>
  <c r="AW8" i="67"/>
  <c r="AW8" i="81"/>
  <c r="AZ22" i="64"/>
  <c r="BA22" i="64" s="1"/>
  <c r="BA8" i="68"/>
  <c r="BB8" i="68" s="1"/>
  <c r="BE52" i="61"/>
  <c r="BE22" i="81"/>
  <c r="BF5" i="82"/>
  <c r="BA10" i="75"/>
  <c r="BB10" i="75" s="1"/>
  <c r="AW83" i="70"/>
  <c r="BE110" i="71"/>
  <c r="BF15" i="80"/>
  <c r="BE15" i="74"/>
  <c r="BE35" i="47"/>
  <c r="BA9" i="82"/>
  <c r="BB9" i="82" s="1"/>
  <c r="BD32" i="64"/>
  <c r="AV84" i="71"/>
  <c r="BA5" i="75"/>
  <c r="BB5" i="75" s="1"/>
  <c r="BJ13" i="69"/>
  <c r="BK13" i="69" s="1"/>
  <c r="BJ17" i="77"/>
  <c r="BK17" i="77" s="1"/>
  <c r="BD9" i="47"/>
  <c r="BJ8" i="68"/>
  <c r="BK8" i="68" s="1"/>
  <c r="BJ18" i="80"/>
  <c r="BK18" i="80" s="1"/>
  <c r="BJ12" i="67"/>
  <c r="BK12" i="67" s="1"/>
  <c r="AW7" i="69"/>
  <c r="BE16" i="70"/>
  <c r="BF14" i="82"/>
  <c r="AV9" i="73"/>
  <c r="AV7" i="69"/>
  <c r="BF11" i="80"/>
  <c r="BA84" i="70"/>
  <c r="BB84" i="70" s="1"/>
  <c r="BE10" i="68"/>
  <c r="BF13" i="74"/>
  <c r="BF6" i="69"/>
  <c r="BH31" i="61"/>
  <c r="BI31" i="61" s="1"/>
  <c r="BJ6" i="71"/>
  <c r="BK6" i="71" s="1"/>
  <c r="AV8" i="82"/>
  <c r="BJ19" i="1"/>
  <c r="BK19" i="1" s="1"/>
  <c r="BE38" i="78"/>
  <c r="BJ12" i="66"/>
  <c r="BK12" i="66" s="1"/>
  <c r="BF13" i="80"/>
  <c r="BF11" i="76"/>
  <c r="BE11" i="82"/>
  <c r="AV12" i="70"/>
  <c r="AV22" i="64"/>
  <c r="BJ22" i="67"/>
  <c r="BK22" i="67" s="1"/>
  <c r="BF22" i="81"/>
  <c r="BJ5" i="75"/>
  <c r="BK5" i="75" s="1"/>
  <c r="AW10" i="75"/>
  <c r="BE15" i="80"/>
  <c r="BJ15" i="81"/>
  <c r="BK15" i="81" s="1"/>
  <c r="BF15" i="74"/>
  <c r="BE13" i="69"/>
  <c r="BE18" i="80"/>
  <c r="BE12" i="67"/>
  <c r="AW9" i="73"/>
  <c r="BF11" i="78"/>
  <c r="BF16" i="70"/>
  <c r="BJ12" i="70"/>
  <c r="BK12" i="70" s="1"/>
  <c r="BD37" i="47"/>
  <c r="AW8" i="82"/>
  <c r="BF19" i="1"/>
  <c r="BF38" i="78"/>
  <c r="AV90" i="47"/>
  <c r="BA18" i="73"/>
  <c r="BB18" i="73" s="1"/>
  <c r="BD48" i="60"/>
  <c r="AV88" i="47"/>
  <c r="BJ10" i="81"/>
  <c r="BK10" i="81" s="1"/>
  <c r="BF10" i="81"/>
  <c r="BE10" i="81"/>
  <c r="AW31" i="47"/>
  <c r="AV31" i="47"/>
  <c r="AZ31" i="47"/>
  <c r="BA31" i="47" s="1"/>
  <c r="BJ16" i="75"/>
  <c r="BK16" i="75" s="1"/>
  <c r="BF16" i="75"/>
  <c r="BJ16" i="76"/>
  <c r="BK16" i="76" s="1"/>
  <c r="BE16" i="76"/>
  <c r="BA6" i="70"/>
  <c r="BB6" i="70" s="1"/>
  <c r="AV6" i="70"/>
  <c r="AW6" i="70"/>
  <c r="AV17" i="47"/>
  <c r="AZ17" i="47"/>
  <c r="BA17" i="47" s="1"/>
  <c r="BE8" i="73"/>
  <c r="BF8" i="73"/>
  <c r="AV32" i="78"/>
  <c r="BA32" i="78"/>
  <c r="BB32" i="78" s="1"/>
  <c r="AW32" i="78"/>
  <c r="BF29" i="68"/>
  <c r="BJ29" i="68"/>
  <c r="BK29" i="68" s="1"/>
  <c r="BE29" i="68"/>
  <c r="BF29" i="66"/>
  <c r="BE29" i="66"/>
  <c r="BE52" i="78"/>
  <c r="BF52" i="78"/>
  <c r="BE43" i="80"/>
  <c r="BJ43" i="80"/>
  <c r="BK43" i="80" s="1"/>
  <c r="BF43" i="80"/>
  <c r="BF32" i="67"/>
  <c r="BE32" i="67"/>
  <c r="BJ32" i="67"/>
  <c r="BK32" i="67" s="1"/>
  <c r="E79" i="2"/>
  <c r="AU33" i="78"/>
  <c r="K44" i="2"/>
  <c r="D44" i="2"/>
  <c r="AU19" i="80"/>
  <c r="AU12" i="67"/>
  <c r="C157" i="2"/>
  <c r="BC31" i="60"/>
  <c r="BE31" i="60" s="1"/>
  <c r="BC8" i="61"/>
  <c r="BC8" i="60"/>
  <c r="AU21" i="64"/>
  <c r="AW21" i="64" s="1"/>
  <c r="BD15" i="68"/>
  <c r="BJ18" i="1"/>
  <c r="BK18" i="1" s="1"/>
  <c r="BE18" i="1"/>
  <c r="E50" i="2"/>
  <c r="L50" i="2"/>
  <c r="G30" i="2"/>
  <c r="H30" i="2" s="1"/>
  <c r="AU10" i="47"/>
  <c r="D30" i="2"/>
  <c r="AU10" i="64"/>
  <c r="AW18" i="47"/>
  <c r="AV18" i="47"/>
  <c r="AZ18" i="47"/>
  <c r="BA18" i="47" s="1"/>
  <c r="AW7" i="70"/>
  <c r="BA7" i="70"/>
  <c r="BB7" i="70" s="1"/>
  <c r="AV5" i="66"/>
  <c r="BA5" i="66"/>
  <c r="BB5" i="66" s="1"/>
  <c r="AW5" i="66"/>
  <c r="BJ20" i="81"/>
  <c r="BK20" i="81" s="1"/>
  <c r="BE20" i="81"/>
  <c r="BH40" i="61"/>
  <c r="BI40" i="61" s="1"/>
  <c r="BD40" i="61"/>
  <c r="BE40" i="61"/>
  <c r="BE12" i="68"/>
  <c r="BJ12" i="68"/>
  <c r="BK12" i="68" s="1"/>
  <c r="BE37" i="61"/>
  <c r="BD37" i="61"/>
  <c r="BA11" i="67"/>
  <c r="BB11" i="67" s="1"/>
  <c r="AW11" i="67"/>
  <c r="BA21" i="78"/>
  <c r="BB21" i="78" s="1"/>
  <c r="AV21" i="78"/>
  <c r="AW21" i="78"/>
  <c r="AV11" i="74"/>
  <c r="AW11" i="74"/>
  <c r="BE12" i="1"/>
  <c r="BJ12" i="1"/>
  <c r="BK12" i="1" s="1"/>
  <c r="BE17" i="69"/>
  <c r="BJ17" i="69"/>
  <c r="BK17" i="69" s="1"/>
  <c r="BF17" i="69"/>
  <c r="BJ7" i="1"/>
  <c r="BK7" i="1" s="1"/>
  <c r="BE7" i="1"/>
  <c r="BF13" i="82"/>
  <c r="BE13" i="82"/>
  <c r="BE9" i="80"/>
  <c r="BJ9" i="80"/>
  <c r="BK9" i="80" s="1"/>
  <c r="BJ13" i="70"/>
  <c r="BK13" i="70" s="1"/>
  <c r="BF13" i="70"/>
  <c r="BE102" i="75"/>
  <c r="BJ102" i="75"/>
  <c r="BK102" i="75" s="1"/>
  <c r="AZ90" i="61"/>
  <c r="BA90" i="61" s="1"/>
  <c r="AW90" i="61"/>
  <c r="BJ16" i="66"/>
  <c r="BK16" i="66" s="1"/>
  <c r="BE16" i="66"/>
  <c r="BE47" i="61"/>
  <c r="BH47" i="61"/>
  <c r="BI47" i="61" s="1"/>
  <c r="BD47" i="61"/>
  <c r="BA6" i="71"/>
  <c r="BB6" i="71" s="1"/>
  <c r="AV6" i="71"/>
  <c r="AV24" i="47"/>
  <c r="AW24" i="47"/>
  <c r="BD9" i="60"/>
  <c r="BH9" i="60"/>
  <c r="BI9" i="60" s="1"/>
  <c r="BJ21" i="1"/>
  <c r="BK21" i="1" s="1"/>
  <c r="BF21" i="1"/>
  <c r="BE21" i="1"/>
  <c r="BF21" i="70"/>
  <c r="BE21" i="70"/>
  <c r="AZ22" i="47"/>
  <c r="BA22" i="47" s="1"/>
  <c r="AW22" i="47"/>
  <c r="AZ22" i="61"/>
  <c r="BA22" i="61" s="1"/>
  <c r="AW22" i="61"/>
  <c r="BJ15" i="75"/>
  <c r="BK15" i="75" s="1"/>
  <c r="BF15" i="75"/>
  <c r="BE15" i="75"/>
  <c r="BE15" i="69"/>
  <c r="BJ15" i="69"/>
  <c r="BK15" i="69" s="1"/>
  <c r="AW13" i="81"/>
  <c r="AV13" i="81"/>
  <c r="BA13" i="81"/>
  <c r="BB13" i="81" s="1"/>
  <c r="AW23" i="78"/>
  <c r="AV23" i="78"/>
  <c r="BA23" i="78"/>
  <c r="BB23" i="78" s="1"/>
  <c r="BA5" i="70"/>
  <c r="BB5" i="70" s="1"/>
  <c r="AV5" i="70"/>
  <c r="BJ8" i="76"/>
  <c r="BK8" i="76" s="1"/>
  <c r="BF8" i="76"/>
  <c r="BE15" i="61"/>
  <c r="BD15" i="61"/>
  <c r="BH15" i="61"/>
  <c r="BI15" i="61" s="1"/>
  <c r="AW23" i="80"/>
  <c r="AV23" i="80"/>
  <c r="AV18" i="67"/>
  <c r="BA18" i="67"/>
  <c r="BB18" i="67" s="1"/>
  <c r="AW10" i="77"/>
  <c r="AV10" i="77"/>
  <c r="BE15" i="60"/>
  <c r="BD15" i="60"/>
  <c r="BH15" i="60"/>
  <c r="BI15" i="60" s="1"/>
  <c r="BE50" i="78"/>
  <c r="BJ50" i="78"/>
  <c r="BK50" i="78" s="1"/>
  <c r="BF30" i="70"/>
  <c r="BE30" i="70"/>
  <c r="BJ33" i="74"/>
  <c r="BK33" i="74" s="1"/>
  <c r="BE33" i="74"/>
  <c r="BJ33" i="1"/>
  <c r="BK33" i="1" s="1"/>
  <c r="BF33" i="1"/>
  <c r="BE33" i="1"/>
  <c r="BJ33" i="70"/>
  <c r="BK33" i="70" s="1"/>
  <c r="BF33" i="70"/>
  <c r="AW21" i="70"/>
  <c r="BA21" i="70"/>
  <c r="BB21" i="70" s="1"/>
  <c r="BE16" i="61"/>
  <c r="BA8" i="69"/>
  <c r="BB8" i="69" s="1"/>
  <c r="AV5" i="61"/>
  <c r="AW9" i="68"/>
  <c r="BF16" i="66"/>
  <c r="AV11" i="67"/>
  <c r="BJ52" i="78"/>
  <c r="BK52" i="78" s="1"/>
  <c r="BF16" i="76"/>
  <c r="D50" i="2"/>
  <c r="BD20" i="78"/>
  <c r="BE20" i="78" s="1"/>
  <c r="AW9" i="74"/>
  <c r="BA9" i="74"/>
  <c r="BB9" i="74" s="1"/>
  <c r="BA5" i="69"/>
  <c r="BB5" i="69" s="1"/>
  <c r="AW5" i="69"/>
  <c r="AW5" i="76"/>
  <c r="BA5" i="76"/>
  <c r="BB5" i="76" s="1"/>
  <c r="BE18" i="76"/>
  <c r="BJ18" i="76"/>
  <c r="BK18" i="76" s="1"/>
  <c r="BF12" i="81"/>
  <c r="BJ12" i="81"/>
  <c r="BK12" i="81" s="1"/>
  <c r="BE31" i="78"/>
  <c r="BJ31" i="78"/>
  <c r="BK31" i="78" s="1"/>
  <c r="BF25" i="80"/>
  <c r="BJ25" i="80"/>
  <c r="BK25" i="80" s="1"/>
  <c r="BE25" i="80"/>
  <c r="BJ40" i="78"/>
  <c r="BK40" i="78" s="1"/>
  <c r="BF40" i="78"/>
  <c r="BJ21" i="67"/>
  <c r="BK21" i="67" s="1"/>
  <c r="BF21" i="67"/>
  <c r="BE21" i="67"/>
  <c r="BF131" i="73"/>
  <c r="BJ131" i="73"/>
  <c r="BK131" i="73" s="1"/>
  <c r="BE30" i="64"/>
  <c r="BD30" i="64"/>
  <c r="BH30" i="64"/>
  <c r="BI30" i="64" s="1"/>
  <c r="AV9" i="68"/>
  <c r="BH37" i="61"/>
  <c r="BI37" i="61" s="1"/>
  <c r="BF12" i="68"/>
  <c r="BJ29" i="66"/>
  <c r="BK29" i="66" s="1"/>
  <c r="BE16" i="75"/>
  <c r="BE13" i="70"/>
  <c r="BF7" i="1"/>
  <c r="BJ5" i="68"/>
  <c r="BK5" i="68" s="1"/>
  <c r="BE5" i="68"/>
  <c r="AV9" i="69"/>
  <c r="AW9" i="69"/>
  <c r="AU20" i="61"/>
  <c r="BF15" i="66"/>
  <c r="BJ15" i="66"/>
  <c r="BK15" i="66" s="1"/>
  <c r="BE15" i="66"/>
  <c r="BE22" i="74"/>
  <c r="BJ22" i="74"/>
  <c r="BK22" i="74" s="1"/>
  <c r="BJ22" i="73"/>
  <c r="BK22" i="73" s="1"/>
  <c r="BE22" i="73"/>
  <c r="BE52" i="47"/>
  <c r="BH52" i="47"/>
  <c r="BI52" i="47" s="1"/>
  <c r="BF6" i="68"/>
  <c r="BJ6" i="68"/>
  <c r="BK6" i="68" s="1"/>
  <c r="AV10" i="76"/>
  <c r="AW10" i="76"/>
  <c r="AZ26" i="61"/>
  <c r="BA26" i="61" s="1"/>
  <c r="AV26" i="61"/>
  <c r="BJ14" i="69"/>
  <c r="BK14" i="69" s="1"/>
  <c r="BE14" i="69"/>
  <c r="BJ17" i="82"/>
  <c r="BK17" i="82" s="1"/>
  <c r="BF17" i="82"/>
  <c r="AW7" i="80"/>
  <c r="BA7" i="80"/>
  <c r="BB7" i="80" s="1"/>
  <c r="BH48" i="64"/>
  <c r="BI48" i="64" s="1"/>
  <c r="BE48" i="64"/>
  <c r="BE13" i="78"/>
  <c r="BF13" i="78"/>
  <c r="AZ92" i="61"/>
  <c r="BA92" i="61" s="1"/>
  <c r="AW92" i="61"/>
  <c r="BE13" i="67"/>
  <c r="BJ13" i="67"/>
  <c r="BK13" i="67" s="1"/>
  <c r="BH58" i="47"/>
  <c r="BI58" i="47" s="1"/>
  <c r="BE58" i="47"/>
  <c r="AW35" i="61"/>
  <c r="AV35" i="61"/>
  <c r="BA5" i="67"/>
  <c r="BB5" i="67" s="1"/>
  <c r="AV5" i="67"/>
  <c r="BJ34" i="70"/>
  <c r="BK34" i="70" s="1"/>
  <c r="BF34" i="70"/>
  <c r="BE45" i="80"/>
  <c r="BJ45" i="80"/>
  <c r="BK45" i="80" s="1"/>
  <c r="AV20" i="74"/>
  <c r="AW20" i="74"/>
  <c r="BF32" i="81"/>
  <c r="BJ32" i="81"/>
  <c r="BK32" i="81" s="1"/>
  <c r="AW16" i="68"/>
  <c r="BA16" i="68"/>
  <c r="BB16" i="68" s="1"/>
  <c r="BA12" i="77"/>
  <c r="BB12" i="77" s="1"/>
  <c r="AW12" i="77"/>
  <c r="AU19" i="70"/>
  <c r="BD51" i="78"/>
  <c r="BD31" i="67"/>
  <c r="AW20" i="47"/>
  <c r="AZ20" i="47"/>
  <c r="BA20" i="47" s="1"/>
  <c r="D155" i="2"/>
  <c r="BC29" i="64"/>
  <c r="C50" i="2"/>
  <c r="G50" i="2"/>
  <c r="H50" i="2" s="1"/>
  <c r="K50" i="2"/>
  <c r="AU10" i="60"/>
  <c r="AW10" i="60" s="1"/>
  <c r="E30" i="2"/>
  <c r="BD6" i="77"/>
  <c r="E108" i="2"/>
  <c r="C108" i="2"/>
  <c r="AV9" i="74"/>
  <c r="AW9" i="76"/>
  <c r="BF12" i="1"/>
  <c r="BJ5" i="69"/>
  <c r="BK5" i="69" s="1"/>
  <c r="AV16" i="80"/>
  <c r="BA9" i="69"/>
  <c r="BB9" i="69" s="1"/>
  <c r="BJ6" i="66"/>
  <c r="BK6" i="66" s="1"/>
  <c r="BE6" i="66"/>
  <c r="BE18" i="75"/>
  <c r="BF18" i="75"/>
  <c r="BE6" i="82"/>
  <c r="BJ6" i="82"/>
  <c r="BK6" i="82" s="1"/>
  <c r="BE33" i="78"/>
  <c r="BF33" i="78"/>
  <c r="BE6" i="68"/>
  <c r="BD46" i="60"/>
  <c r="BE46" i="60"/>
  <c r="BF14" i="71"/>
  <c r="BJ14" i="71"/>
  <c r="BK14" i="71" s="1"/>
  <c r="BF18" i="69"/>
  <c r="BJ18" i="69"/>
  <c r="BK18" i="69" s="1"/>
  <c r="BE21" i="73"/>
  <c r="BJ21" i="73"/>
  <c r="BK21" i="73" s="1"/>
  <c r="BE26" i="47"/>
  <c r="BH26" i="47"/>
  <c r="BI26" i="47" s="1"/>
  <c r="BF11" i="75"/>
  <c r="BJ11" i="75"/>
  <c r="BK11" i="75" s="1"/>
  <c r="AW10" i="68"/>
  <c r="BA10" i="68"/>
  <c r="BB10" i="68" s="1"/>
  <c r="BJ32" i="80"/>
  <c r="BK32" i="80" s="1"/>
  <c r="BE32" i="80"/>
  <c r="AV83" i="61"/>
  <c r="AZ83" i="61"/>
  <c r="BA83" i="61" s="1"/>
  <c r="BD46" i="61"/>
  <c r="BE46" i="61"/>
  <c r="AV5" i="71"/>
  <c r="BA5" i="71"/>
  <c r="BB5" i="71" s="1"/>
  <c r="BE31" i="47"/>
  <c r="BH31" i="47"/>
  <c r="BI31" i="47" s="1"/>
  <c r="BE31" i="81"/>
  <c r="BF31" i="81"/>
  <c r="BJ37" i="78"/>
  <c r="BK37" i="78" s="1"/>
  <c r="BF37" i="78"/>
  <c r="BF18" i="67"/>
  <c r="BJ18" i="67"/>
  <c r="BK18" i="67" s="1"/>
  <c r="BF7" i="74"/>
  <c r="BJ7" i="74"/>
  <c r="BK7" i="74" s="1"/>
  <c r="BH9" i="64"/>
  <c r="BI9" i="64" s="1"/>
  <c r="BE9" i="64"/>
  <c r="BD9" i="64"/>
  <c r="BF8" i="78"/>
  <c r="BE8" i="78"/>
  <c r="BJ15" i="82"/>
  <c r="BK15" i="82" s="1"/>
  <c r="BF15" i="82"/>
  <c r="AV16" i="61"/>
  <c r="AZ16" i="61"/>
  <c r="BA16" i="61" s="1"/>
  <c r="AV6" i="82"/>
  <c r="BA6" i="82"/>
  <c r="BB6" i="82" s="1"/>
  <c r="BA18" i="70"/>
  <c r="BB18" i="70" s="1"/>
  <c r="AW18" i="70"/>
  <c r="BF30" i="73"/>
  <c r="BJ30" i="73"/>
  <c r="BK30" i="73" s="1"/>
  <c r="BH15" i="47"/>
  <c r="BI15" i="47" s="1"/>
  <c r="BE15" i="47"/>
  <c r="BD18" i="60"/>
  <c r="BH18" i="60"/>
  <c r="BI18" i="60" s="1"/>
  <c r="AV13" i="77"/>
  <c r="BA13" i="77"/>
  <c r="BB13" i="77" s="1"/>
  <c r="BF28" i="68"/>
  <c r="BJ28" i="68"/>
  <c r="BK28" i="68" s="1"/>
  <c r="BF9" i="74"/>
  <c r="BE9" i="74"/>
  <c r="BJ9" i="74"/>
  <c r="BK9" i="74" s="1"/>
  <c r="AW18" i="80"/>
  <c r="BA18" i="80"/>
  <c r="BB18" i="80" s="1"/>
  <c r="BE49" i="47"/>
  <c r="BD49" i="47"/>
  <c r="AU16" i="71"/>
  <c r="AU19" i="1"/>
  <c r="BC16" i="47"/>
  <c r="BD16" i="47" s="1"/>
  <c r="BD31" i="1"/>
  <c r="BD35" i="74"/>
  <c r="L79" i="2"/>
  <c r="AU23" i="70"/>
  <c r="E121" i="2"/>
  <c r="BD23" i="80"/>
  <c r="G113" i="2"/>
  <c r="H113" i="2" s="1"/>
  <c r="AU12" i="73"/>
  <c r="G35" i="2"/>
  <c r="H35" i="2" s="1"/>
  <c r="AU14" i="61"/>
  <c r="BC28" i="64"/>
  <c r="D154" i="2"/>
  <c r="E65" i="2"/>
  <c r="D65" i="2"/>
  <c r="L65" i="2"/>
  <c r="K65" i="2"/>
  <c r="AU8" i="1"/>
  <c r="E42" i="2"/>
  <c r="L43" i="2"/>
  <c r="G43" i="2"/>
  <c r="H43" i="2" s="1"/>
  <c r="K43" i="2"/>
  <c r="C155" i="2"/>
  <c r="K155" i="2"/>
  <c r="G193" i="2"/>
  <c r="H193" i="2" s="1"/>
  <c r="D193" i="2"/>
  <c r="BD5" i="78"/>
  <c r="BD5" i="1"/>
  <c r="BD5" i="70"/>
  <c r="L91" i="2"/>
  <c r="D91" i="2"/>
  <c r="K30" i="2"/>
  <c r="L30" i="2"/>
  <c r="C30" i="2"/>
  <c r="BD10" i="80"/>
  <c r="E94" i="2"/>
  <c r="AW7" i="78"/>
  <c r="BJ13" i="1"/>
  <c r="BK13" i="1" s="1"/>
  <c r="BF13" i="1"/>
  <c r="BD35" i="61"/>
  <c r="BE35" i="61"/>
  <c r="BF15" i="71"/>
  <c r="BE15" i="71"/>
  <c r="BA6" i="73"/>
  <c r="BB6" i="73" s="1"/>
  <c r="AV6" i="73"/>
  <c r="BF14" i="75"/>
  <c r="BE14" i="75"/>
  <c r="BF18" i="74"/>
  <c r="BE18" i="74"/>
  <c r="BE16" i="81"/>
  <c r="BF16" i="81"/>
  <c r="BE8" i="68"/>
  <c r="AV84" i="76"/>
  <c r="AU19" i="73"/>
  <c r="BC16" i="60"/>
  <c r="D75" i="2"/>
  <c r="BD26" i="68"/>
  <c r="BD26" i="71"/>
  <c r="AU19" i="81"/>
  <c r="AU24" i="80"/>
  <c r="AU29" i="78"/>
  <c r="BD31" i="73"/>
  <c r="BD31" i="70"/>
  <c r="AU19" i="74"/>
  <c r="AU15" i="68"/>
  <c r="C75" i="2"/>
  <c r="BD26" i="66"/>
  <c r="BC16" i="64"/>
  <c r="BD42" i="80"/>
  <c r="BD31" i="74"/>
  <c r="AU11" i="77"/>
  <c r="E75" i="2"/>
  <c r="K75" i="2"/>
  <c r="BD18" i="77"/>
  <c r="BJ18" i="77" s="1"/>
  <c r="BK18" i="77" s="1"/>
  <c r="AU16" i="66"/>
  <c r="BA16" i="66" s="1"/>
  <c r="BB16" i="66" s="1"/>
  <c r="G75" i="2"/>
  <c r="H75" i="2" s="1"/>
  <c r="AU19" i="67"/>
  <c r="L75" i="2"/>
  <c r="G79" i="2"/>
  <c r="H79" i="2" s="1"/>
  <c r="K79" i="2"/>
  <c r="BD35" i="73"/>
  <c r="AU23" i="1"/>
  <c r="AU23" i="81"/>
  <c r="AV23" i="81" s="1"/>
  <c r="AU23" i="74"/>
  <c r="BD35" i="1"/>
  <c r="BD35" i="70"/>
  <c r="AU23" i="73"/>
  <c r="AV23" i="73" s="1"/>
  <c r="BD30" i="68"/>
  <c r="D79" i="2"/>
  <c r="BD35" i="67"/>
  <c r="AU19" i="68"/>
  <c r="AU23" i="67"/>
  <c r="BD55" i="78"/>
  <c r="C79" i="2"/>
  <c r="BD35" i="81"/>
  <c r="AU9" i="61"/>
  <c r="BD5" i="77"/>
  <c r="G29" i="2"/>
  <c r="H29" i="2" s="1"/>
  <c r="E29" i="2"/>
  <c r="D29" i="2"/>
  <c r="AU9" i="47"/>
  <c r="L29" i="2"/>
  <c r="K29" i="2"/>
  <c r="AU9" i="64"/>
  <c r="AV9" i="64" s="1"/>
  <c r="AU9" i="60"/>
  <c r="AZ9" i="60" s="1"/>
  <c r="BA9" i="60" s="1"/>
  <c r="C60" i="2"/>
  <c r="BD15" i="78"/>
  <c r="E60" i="2"/>
  <c r="K60" i="2"/>
  <c r="D60" i="2"/>
  <c r="BD15" i="1"/>
  <c r="G60" i="2"/>
  <c r="H60" i="2" s="1"/>
  <c r="BD15" i="70"/>
  <c r="L60" i="2"/>
  <c r="BD10" i="73"/>
  <c r="BD29" i="78"/>
  <c r="D121" i="2"/>
  <c r="BD10" i="74"/>
  <c r="BD10" i="67"/>
  <c r="C121" i="2"/>
  <c r="K121" i="2"/>
  <c r="L121" i="2"/>
  <c r="G121" i="2"/>
  <c r="H121" i="2" s="1"/>
  <c r="AU10" i="78"/>
  <c r="G44" i="2"/>
  <c r="H44" i="2" s="1"/>
  <c r="C44" i="2"/>
  <c r="L44" i="2"/>
  <c r="AU10" i="70"/>
  <c r="AU10" i="1"/>
  <c r="E44" i="2"/>
  <c r="C113" i="2"/>
  <c r="L113" i="2"/>
  <c r="AU12" i="81"/>
  <c r="BA12" i="81" s="1"/>
  <c r="BB12" i="81" s="1"/>
  <c r="E113" i="2"/>
  <c r="D113" i="2"/>
  <c r="K113" i="2"/>
  <c r="AU12" i="74"/>
  <c r="AU22" i="78"/>
  <c r="BD5" i="67"/>
  <c r="BD24" i="78"/>
  <c r="G116" i="2"/>
  <c r="H116" i="2" s="1"/>
  <c r="D116" i="2"/>
  <c r="L116" i="2"/>
  <c r="BD5" i="81"/>
  <c r="BD5" i="74"/>
  <c r="C116" i="2"/>
  <c r="K116" i="2"/>
  <c r="BD5" i="73"/>
  <c r="AU91" i="61"/>
  <c r="E204" i="2"/>
  <c r="AU91" i="47"/>
  <c r="AU84" i="74"/>
  <c r="BD129" i="74"/>
  <c r="G204" i="2"/>
  <c r="H204" i="2" s="1"/>
  <c r="C204" i="2"/>
  <c r="D204" i="2"/>
  <c r="K204" i="2"/>
  <c r="BD6" i="70"/>
  <c r="K51" i="2"/>
  <c r="E51" i="2"/>
  <c r="BD6" i="78"/>
  <c r="G51" i="2"/>
  <c r="H51" i="2" s="1"/>
  <c r="D51" i="2"/>
  <c r="L51" i="2"/>
  <c r="BD6" i="1"/>
  <c r="AU14" i="60"/>
  <c r="L35" i="2"/>
  <c r="BD11" i="77"/>
  <c r="BE11" i="77" s="1"/>
  <c r="AU14" i="47"/>
  <c r="AU14" i="64"/>
  <c r="E35" i="2"/>
  <c r="C35" i="2"/>
  <c r="K35" i="2"/>
  <c r="L171" i="2"/>
  <c r="D171" i="2"/>
  <c r="BD7" i="69"/>
  <c r="C171" i="2"/>
  <c r="BD7" i="82"/>
  <c r="BD7" i="76"/>
  <c r="BD7" i="75"/>
  <c r="E171" i="2"/>
  <c r="G171" i="2"/>
  <c r="H171" i="2" s="1"/>
  <c r="K171" i="2"/>
  <c r="BC10" i="47"/>
  <c r="E67" i="2"/>
  <c r="BC10" i="61"/>
  <c r="C67" i="2"/>
  <c r="L67" i="2"/>
  <c r="G67" i="2"/>
  <c r="H67" i="2" s="1"/>
  <c r="K67" i="2"/>
  <c r="BD22" i="70"/>
  <c r="BC10" i="60"/>
  <c r="BD22" i="1"/>
  <c r="BC10" i="64"/>
  <c r="D67" i="2"/>
  <c r="G33" i="2"/>
  <c r="H33" i="2" s="1"/>
  <c r="K33" i="2"/>
  <c r="BD9" i="77"/>
  <c r="C33" i="2"/>
  <c r="L33" i="2"/>
  <c r="E33" i="2"/>
  <c r="BD9" i="75"/>
  <c r="BD9" i="76"/>
  <c r="BD9" i="82"/>
  <c r="C173" i="2"/>
  <c r="L173" i="2"/>
  <c r="D173" i="2"/>
  <c r="G173" i="2"/>
  <c r="H173" i="2" s="1"/>
  <c r="BD9" i="69"/>
  <c r="E173" i="2"/>
  <c r="K173" i="2"/>
  <c r="BC31" i="64"/>
  <c r="D157" i="2"/>
  <c r="L157" i="2"/>
  <c r="G157" i="2"/>
  <c r="H157" i="2" s="1"/>
  <c r="E157" i="2"/>
  <c r="AU23" i="64"/>
  <c r="K157" i="2"/>
  <c r="BD17" i="68"/>
  <c r="AU23" i="60"/>
  <c r="BD14" i="68"/>
  <c r="AU20" i="60"/>
  <c r="AU20" i="64"/>
  <c r="E154" i="2"/>
  <c r="G154" i="2"/>
  <c r="H154" i="2" s="1"/>
  <c r="C154" i="2"/>
  <c r="BC28" i="60"/>
  <c r="L154" i="2"/>
  <c r="K154" i="2"/>
  <c r="BD20" i="70"/>
  <c r="BC8" i="47"/>
  <c r="G65" i="2"/>
  <c r="H65" i="2" s="1"/>
  <c r="BC8" i="64"/>
  <c r="BD20" i="1"/>
  <c r="C65" i="2"/>
  <c r="L153" i="2"/>
  <c r="BC27" i="64"/>
  <c r="K153" i="2"/>
  <c r="E153" i="2"/>
  <c r="C153" i="2"/>
  <c r="G153" i="2"/>
  <c r="H153" i="2" s="1"/>
  <c r="BD13" i="68"/>
  <c r="BC27" i="60"/>
  <c r="AU19" i="64"/>
  <c r="AU19" i="60"/>
  <c r="L42" i="2"/>
  <c r="AU8" i="70"/>
  <c r="K42" i="2"/>
  <c r="AU19" i="61"/>
  <c r="C42" i="2"/>
  <c r="AU19" i="47"/>
  <c r="AV19" i="47" s="1"/>
  <c r="AU8" i="78"/>
  <c r="G42" i="2"/>
  <c r="H42" i="2" s="1"/>
  <c r="D42" i="2"/>
  <c r="C87" i="2"/>
  <c r="AU11" i="80"/>
  <c r="D87" i="2"/>
  <c r="G87" i="2"/>
  <c r="H87" i="2" s="1"/>
  <c r="AU11" i="66"/>
  <c r="AU11" i="71"/>
  <c r="L87" i="2"/>
  <c r="K87" i="2"/>
  <c r="D43" i="2"/>
  <c r="C43" i="2"/>
  <c r="AU9" i="78"/>
  <c r="AU9" i="1"/>
  <c r="AU9" i="70"/>
  <c r="E43" i="2"/>
  <c r="L155" i="2"/>
  <c r="G155" i="2"/>
  <c r="H155" i="2" s="1"/>
  <c r="AU21" i="60"/>
  <c r="E155" i="2"/>
  <c r="BC29" i="60"/>
  <c r="E111" i="2"/>
  <c r="L111" i="2"/>
  <c r="D111" i="2"/>
  <c r="C111" i="2"/>
  <c r="AU17" i="80"/>
  <c r="K111" i="2"/>
  <c r="AU20" i="78"/>
  <c r="AU10" i="74"/>
  <c r="AU10" i="67"/>
  <c r="AU10" i="73"/>
  <c r="AU10" i="81"/>
  <c r="BC6" i="60"/>
  <c r="BC6" i="64"/>
  <c r="K63" i="2"/>
  <c r="BC6" i="47"/>
  <c r="BC6" i="61"/>
  <c r="L63" i="2"/>
  <c r="BD18" i="78"/>
  <c r="E63" i="2"/>
  <c r="BD18" i="70"/>
  <c r="D63" i="2"/>
  <c r="C63" i="2"/>
  <c r="G63" i="2"/>
  <c r="H63" i="2" s="1"/>
  <c r="AU11" i="64"/>
  <c r="AU11" i="47"/>
  <c r="E31" i="2"/>
  <c r="AU11" i="61"/>
  <c r="BD7" i="77"/>
  <c r="C31" i="2"/>
  <c r="K31" i="2"/>
  <c r="AU11" i="60"/>
  <c r="L31" i="2"/>
  <c r="G31" i="2"/>
  <c r="H31" i="2" s="1"/>
  <c r="AU9" i="80"/>
  <c r="C85" i="2"/>
  <c r="AU9" i="66"/>
  <c r="E85" i="2"/>
  <c r="K85" i="2"/>
  <c r="AU9" i="71"/>
  <c r="G85" i="2"/>
  <c r="H85" i="2" s="1"/>
  <c r="D85" i="2"/>
  <c r="L85" i="2"/>
  <c r="C193" i="2"/>
  <c r="AU84" i="47"/>
  <c r="E193" i="2"/>
  <c r="L193" i="2"/>
  <c r="AU84" i="73"/>
  <c r="AU84" i="61"/>
  <c r="K193" i="2"/>
  <c r="K197" i="2"/>
  <c r="C197" i="2"/>
  <c r="L197" i="2"/>
  <c r="E197" i="2"/>
  <c r="BD131" i="70"/>
  <c r="G197" i="2"/>
  <c r="H197" i="2" s="1"/>
  <c r="D120" i="2"/>
  <c r="E120" i="2"/>
  <c r="BD28" i="78"/>
  <c r="G120" i="2"/>
  <c r="H120" i="2" s="1"/>
  <c r="L120" i="2"/>
  <c r="BD9" i="73"/>
  <c r="K120" i="2"/>
  <c r="BD9" i="67"/>
  <c r="BD9" i="81"/>
  <c r="C120" i="2"/>
  <c r="BD22" i="80"/>
  <c r="BD11" i="67"/>
  <c r="BJ11" i="67" s="1"/>
  <c r="BK11" i="67" s="1"/>
  <c r="BD11" i="73"/>
  <c r="BD11" i="74"/>
  <c r="C122" i="2"/>
  <c r="D122" i="2"/>
  <c r="BD24" i="80"/>
  <c r="K122" i="2"/>
  <c r="E122" i="2"/>
  <c r="BD11" i="81"/>
  <c r="G122" i="2"/>
  <c r="H122" i="2" s="1"/>
  <c r="BD30" i="78"/>
  <c r="L122" i="2"/>
  <c r="BD7" i="80"/>
  <c r="BD7" i="66"/>
  <c r="BD7" i="71"/>
  <c r="BC22" i="64"/>
  <c r="BC22" i="60"/>
  <c r="E91" i="2"/>
  <c r="G91" i="2"/>
  <c r="H91" i="2" s="1"/>
  <c r="C91" i="2"/>
  <c r="BC22" i="47"/>
  <c r="BC22" i="61"/>
  <c r="K91" i="2"/>
  <c r="AU6" i="47"/>
  <c r="AU6" i="64"/>
  <c r="D26" i="2"/>
  <c r="L26" i="2"/>
  <c r="AU6" i="60"/>
  <c r="E26" i="2"/>
  <c r="AU6" i="61"/>
  <c r="G26" i="2"/>
  <c r="H26" i="2" s="1"/>
  <c r="AU8" i="77"/>
  <c r="K26" i="2"/>
  <c r="C54" i="2"/>
  <c r="K54" i="2"/>
  <c r="BD9" i="70"/>
  <c r="L54" i="2"/>
  <c r="AU23" i="61"/>
  <c r="BD9" i="78"/>
  <c r="D54" i="2"/>
  <c r="AU23" i="47"/>
  <c r="G54" i="2"/>
  <c r="H54" i="2" s="1"/>
  <c r="BD9" i="1"/>
  <c r="E54" i="2"/>
  <c r="AU7" i="81"/>
  <c r="K108" i="2"/>
  <c r="D108" i="2"/>
  <c r="AU14" i="80"/>
  <c r="BC32" i="47"/>
  <c r="BC32" i="61"/>
  <c r="AU17" i="78"/>
  <c r="AU7" i="67"/>
  <c r="L108" i="2"/>
  <c r="G108" i="2"/>
  <c r="H108" i="2" s="1"/>
  <c r="AU7" i="74"/>
  <c r="C94" i="2"/>
  <c r="BD10" i="71"/>
  <c r="D94" i="2"/>
  <c r="BD10" i="66"/>
  <c r="G94" i="2"/>
  <c r="H94" i="2" s="1"/>
  <c r="L94" i="2"/>
  <c r="BH46" i="64"/>
  <c r="BI46" i="64" s="1"/>
  <c r="BD46" i="64"/>
  <c r="D153" i="2"/>
  <c r="BD22" i="78"/>
  <c r="BF33" i="80"/>
  <c r="BJ33" i="80"/>
  <c r="BK33" i="80" s="1"/>
  <c r="BD40" i="47"/>
  <c r="BE40" i="47"/>
  <c r="BH40" i="47"/>
  <c r="BI40" i="47" s="1"/>
  <c r="AW7" i="73"/>
  <c r="BA7" i="73"/>
  <c r="BB7" i="73" s="1"/>
  <c r="AV7" i="82"/>
  <c r="BA7" i="82"/>
  <c r="BB7" i="82" s="1"/>
  <c r="AV9" i="60"/>
  <c r="AW9" i="60"/>
  <c r="AW9" i="64"/>
  <c r="AZ9" i="64"/>
  <c r="BA9" i="64" s="1"/>
  <c r="AV16" i="66"/>
  <c r="AW16" i="66"/>
  <c r="BE18" i="77"/>
  <c r="BE17" i="76"/>
  <c r="BF17" i="76"/>
  <c r="BE105" i="76"/>
  <c r="BF105" i="76"/>
  <c r="BD30" i="60"/>
  <c r="BH30" i="60"/>
  <c r="BI30" i="60" s="1"/>
  <c r="BA12" i="78"/>
  <c r="BB12" i="78" s="1"/>
  <c r="AV12" i="78"/>
  <c r="AV18" i="61"/>
  <c r="AW18" i="61"/>
  <c r="AZ18" i="61"/>
  <c r="BA18" i="61" s="1"/>
  <c r="AV83" i="71"/>
  <c r="AW83" i="71"/>
  <c r="BJ11" i="77"/>
  <c r="BK11" i="77" s="1"/>
  <c r="BF11" i="77"/>
  <c r="BE6" i="81"/>
  <c r="BF6" i="81"/>
  <c r="BJ6" i="81"/>
  <c r="BK6" i="81" s="1"/>
  <c r="BJ6" i="73"/>
  <c r="BK6" i="73" s="1"/>
  <c r="BE6" i="73"/>
  <c r="AW12" i="81"/>
  <c r="AV12" i="81"/>
  <c r="AW23" i="73"/>
  <c r="BA23" i="73"/>
  <c r="BB23" i="73" s="1"/>
  <c r="BD31" i="60"/>
  <c r="BH31" i="60"/>
  <c r="BI31" i="60" s="1"/>
  <c r="AW11" i="78"/>
  <c r="AV11" i="78"/>
  <c r="BF28" i="80"/>
  <c r="BE28" i="80"/>
  <c r="BJ28" i="80"/>
  <c r="BK28" i="80" s="1"/>
  <c r="AW10" i="61"/>
  <c r="AZ10" i="61"/>
  <c r="BA10" i="61" s="1"/>
  <c r="AV10" i="60"/>
  <c r="AZ10" i="60"/>
  <c r="BA10" i="60" s="1"/>
  <c r="AZ83" i="47"/>
  <c r="BA83" i="47" s="1"/>
  <c r="AW83" i="47"/>
  <c r="AV24" i="64"/>
  <c r="AW24" i="64"/>
  <c r="AV21" i="64"/>
  <c r="AZ21" i="64"/>
  <c r="BA21" i="64" s="1"/>
  <c r="AW20" i="61"/>
  <c r="AV20" i="61"/>
  <c r="AZ20" i="61"/>
  <c r="BA20" i="61" s="1"/>
  <c r="BJ14" i="80"/>
  <c r="BK14" i="80" s="1"/>
  <c r="BE14" i="80"/>
  <c r="BF14" i="80"/>
  <c r="BF20" i="78"/>
  <c r="BJ20" i="78"/>
  <c r="BK20" i="78" s="1"/>
  <c r="BJ12" i="73"/>
  <c r="BK12" i="73" s="1"/>
  <c r="BF12" i="73"/>
  <c r="BA23" i="81"/>
  <c r="BB23" i="81" s="1"/>
  <c r="AW23" i="81"/>
  <c r="AZ19" i="47"/>
  <c r="BA19" i="47" s="1"/>
  <c r="BF7" i="78"/>
  <c r="BJ7" i="78"/>
  <c r="BK7" i="78" s="1"/>
  <c r="BJ33" i="78"/>
  <c r="BK33" i="78" s="1"/>
  <c r="BJ28" i="78"/>
  <c r="BK28" i="78" s="1"/>
  <c r="AV18" i="73"/>
  <c r="BJ30" i="81"/>
  <c r="BK30" i="81" s="1"/>
  <c r="BD15" i="47"/>
  <c r="BF25" i="66"/>
  <c r="BE30" i="73"/>
  <c r="BE17" i="77"/>
  <c r="AV18" i="70"/>
  <c r="BJ30" i="1"/>
  <c r="BK30" i="1" s="1"/>
  <c r="BJ16" i="81"/>
  <c r="BK16" i="81" s="1"/>
  <c r="BD47" i="78"/>
  <c r="AU15" i="73"/>
  <c r="E71" i="2"/>
  <c r="BC12" i="60"/>
  <c r="BD27" i="70"/>
  <c r="K71" i="2"/>
  <c r="E151" i="2"/>
  <c r="BD11" i="68"/>
  <c r="L151" i="2"/>
  <c r="K151" i="2"/>
  <c r="C151" i="2"/>
  <c r="C106" i="2"/>
  <c r="AU5" i="73"/>
  <c r="AU15" i="78"/>
  <c r="AU5" i="81"/>
  <c r="AU5" i="74"/>
  <c r="L106" i="2"/>
  <c r="BC30" i="47"/>
  <c r="K106" i="2"/>
  <c r="E106" i="2"/>
  <c r="E24" i="2"/>
  <c r="C24" i="2"/>
  <c r="D24" i="2"/>
  <c r="K24" i="2"/>
  <c r="BD12" i="77"/>
  <c r="K36" i="2"/>
  <c r="E36" i="2"/>
  <c r="G36" i="2"/>
  <c r="H36" i="2" s="1"/>
  <c r="L36" i="2"/>
  <c r="BD17" i="1"/>
  <c r="K62" i="2"/>
  <c r="BC5" i="61"/>
  <c r="BC5" i="47"/>
  <c r="BD17" i="70"/>
  <c r="BD17" i="78"/>
  <c r="BC5" i="64"/>
  <c r="L62" i="2"/>
  <c r="C62" i="2"/>
  <c r="BD10" i="1"/>
  <c r="E55" i="2"/>
  <c r="C55" i="2"/>
  <c r="BD10" i="78"/>
  <c r="BD10" i="70"/>
  <c r="AU24" i="61"/>
  <c r="BD10" i="69"/>
  <c r="E174" i="2"/>
  <c r="BD10" i="76"/>
  <c r="C174" i="2"/>
  <c r="BD10" i="82"/>
  <c r="G174" i="2"/>
  <c r="H174" i="2" s="1"/>
  <c r="BC36" i="47"/>
  <c r="E127" i="2"/>
  <c r="G127" i="2"/>
  <c r="H127" i="2" s="1"/>
  <c r="BD16" i="74"/>
  <c r="BD29" i="80"/>
  <c r="K127" i="2"/>
  <c r="BD16" i="73"/>
  <c r="AU83" i="73"/>
  <c r="C189" i="2"/>
  <c r="G189" i="2"/>
  <c r="H189" i="2" s="1"/>
  <c r="BD102" i="76"/>
  <c r="AU80" i="61"/>
  <c r="BD31" i="80"/>
  <c r="L129" i="2"/>
  <c r="BD18" i="73"/>
  <c r="C129" i="2"/>
  <c r="D129" i="2"/>
  <c r="BC38" i="47"/>
  <c r="BC38" i="61"/>
  <c r="BD14" i="74"/>
  <c r="G125" i="2"/>
  <c r="H125" i="2" s="1"/>
  <c r="C125" i="2"/>
  <c r="BD14" i="81"/>
  <c r="D125" i="2"/>
  <c r="BD27" i="80"/>
  <c r="L125" i="2"/>
  <c r="E125" i="2"/>
  <c r="K119" i="2"/>
  <c r="BD8" i="74"/>
  <c r="C119" i="2"/>
  <c r="L119" i="2"/>
  <c r="D119" i="2"/>
  <c r="BD21" i="80"/>
  <c r="BD8" i="81"/>
  <c r="E119" i="2"/>
  <c r="BD27" i="78"/>
  <c r="AU10" i="66"/>
  <c r="AU10" i="71"/>
  <c r="K86" i="2"/>
  <c r="G86" i="2"/>
  <c r="H86" i="2" s="1"/>
  <c r="E86" i="2"/>
  <c r="L86" i="2"/>
  <c r="BD26" i="80"/>
  <c r="C124" i="2"/>
  <c r="BD13" i="81"/>
  <c r="L124" i="2"/>
  <c r="BD32" i="78"/>
  <c r="G124" i="2"/>
  <c r="H124" i="2" s="1"/>
  <c r="E124" i="2"/>
  <c r="BD17" i="66"/>
  <c r="BD17" i="80"/>
  <c r="E101" i="2"/>
  <c r="C101" i="2"/>
  <c r="L101" i="2"/>
  <c r="C93" i="2"/>
  <c r="BD9" i="66"/>
  <c r="E147" i="2"/>
  <c r="D147" i="2"/>
  <c r="L147" i="2"/>
  <c r="G147" i="2"/>
  <c r="H147" i="2" s="1"/>
  <c r="BD7" i="68"/>
  <c r="E142" i="2"/>
  <c r="L142" i="2"/>
  <c r="C142" i="2"/>
  <c r="K142" i="2"/>
  <c r="D142" i="2"/>
  <c r="G142" i="2"/>
  <c r="H142" i="2" s="1"/>
  <c r="BC54" i="61"/>
  <c r="AU31" i="61"/>
  <c r="L92" i="2"/>
  <c r="K92" i="2"/>
  <c r="BD8" i="80"/>
  <c r="C92" i="2"/>
  <c r="BD8" i="71"/>
  <c r="D92" i="2"/>
  <c r="BD13" i="75"/>
  <c r="D177" i="2"/>
  <c r="G177" i="2"/>
  <c r="H177" i="2" s="1"/>
  <c r="BJ11" i="73"/>
  <c r="BK11" i="73" s="1"/>
  <c r="BF30" i="81"/>
  <c r="BF30" i="1"/>
  <c r="AZ24" i="47"/>
  <c r="BA24" i="47" s="1"/>
  <c r="BH46" i="61"/>
  <c r="BI46" i="61" s="1"/>
  <c r="BF15" i="73"/>
  <c r="D106" i="2"/>
  <c r="BH16" i="47" l="1"/>
  <c r="BI16" i="47" s="1"/>
  <c r="AW21" i="67"/>
  <c r="BE16" i="47"/>
  <c r="BJ28" i="66"/>
  <c r="BK28" i="66" s="1"/>
  <c r="BA26" i="80"/>
  <c r="BB26" i="80" s="1"/>
  <c r="BA21" i="67"/>
  <c r="BB21" i="67" s="1"/>
  <c r="BE33" i="73"/>
  <c r="BE28" i="66"/>
  <c r="AV26" i="80"/>
  <c r="BF33" i="73"/>
  <c r="AZ80" i="74"/>
  <c r="AH207" i="2" s="1"/>
  <c r="BH125" i="74"/>
  <c r="BI125" i="74" s="1"/>
  <c r="AI207" i="2" s="1"/>
  <c r="AZ80" i="73"/>
  <c r="AD207" i="2" s="1"/>
  <c r="BH125" i="73"/>
  <c r="BI125" i="73" s="1"/>
  <c r="AE207" i="2" s="1"/>
  <c r="AV66" i="75"/>
  <c r="AW66" i="75"/>
  <c r="BA66" i="75"/>
  <c r="BB66" i="75" s="1"/>
  <c r="BE82" i="81"/>
  <c r="BJ82" i="81"/>
  <c r="BK82" i="81" s="1"/>
  <c r="BF82" i="81"/>
  <c r="AV43" i="82"/>
  <c r="AW43" i="82"/>
  <c r="BA43" i="82"/>
  <c r="BB43" i="82" s="1"/>
  <c r="BB4" i="82"/>
  <c r="F13" i="82" s="1"/>
  <c r="AZ62" i="78"/>
  <c r="AN207" i="2" s="1"/>
  <c r="BH102" i="78"/>
  <c r="BI102" i="78" s="1"/>
  <c r="AO207" i="2" s="1"/>
  <c r="BH99" i="76"/>
  <c r="BI99" i="76" s="1"/>
  <c r="AG207" i="2" s="1"/>
  <c r="AZ66" i="76"/>
  <c r="AF207" i="2" s="1"/>
  <c r="AZ67" i="68"/>
  <c r="V207" i="2" s="1"/>
  <c r="BH100" i="68"/>
  <c r="BI100" i="68" s="1"/>
  <c r="W207" i="2" s="1"/>
  <c r="AV80" i="74"/>
  <c r="AW80" i="74"/>
  <c r="BA80" i="74"/>
  <c r="BB80" i="74" s="1"/>
  <c r="BJ68" i="77"/>
  <c r="BK68" i="77" s="1"/>
  <c r="BE68" i="77"/>
  <c r="BF68" i="77"/>
  <c r="AW62" i="78"/>
  <c r="AV62" i="78"/>
  <c r="BA62" i="78"/>
  <c r="BB62" i="78" s="1"/>
  <c r="AZ48" i="77"/>
  <c r="AL207" i="2" s="1"/>
  <c r="BH68" i="77"/>
  <c r="BI68" i="77" s="1"/>
  <c r="AM207" i="2" s="1"/>
  <c r="BF86" i="80"/>
  <c r="BJ86" i="80"/>
  <c r="BK86" i="80" s="1"/>
  <c r="BE86" i="80"/>
  <c r="BF100" i="68"/>
  <c r="BE100" i="68"/>
  <c r="BJ100" i="68"/>
  <c r="BK100" i="68" s="1"/>
  <c r="BA70" i="71"/>
  <c r="BB70" i="71" s="1"/>
  <c r="AW70" i="71"/>
  <c r="AV70" i="71"/>
  <c r="AW70" i="66"/>
  <c r="AV70" i="66"/>
  <c r="BA70" i="66"/>
  <c r="BB70" i="66" s="1"/>
  <c r="BJ68" i="82"/>
  <c r="BK68" i="82" s="1"/>
  <c r="BF68" i="82"/>
  <c r="BE68" i="82"/>
  <c r="BH125" i="70"/>
  <c r="BI125" i="70" s="1"/>
  <c r="AA207" i="2" s="1"/>
  <c r="AZ80" i="70"/>
  <c r="Z207" i="2" s="1"/>
  <c r="BF99" i="75"/>
  <c r="BE99" i="75"/>
  <c r="BJ99" i="75"/>
  <c r="BK99" i="75" s="1"/>
  <c r="BF107" i="71"/>
  <c r="BE107" i="71"/>
  <c r="BJ107" i="71"/>
  <c r="BK107" i="71" s="1"/>
  <c r="BF107" i="66"/>
  <c r="BJ107" i="66"/>
  <c r="BK107" i="66" s="1"/>
  <c r="BE107" i="66"/>
  <c r="BA80" i="73"/>
  <c r="BB80" i="73" s="1"/>
  <c r="AW80" i="73"/>
  <c r="AV80" i="73"/>
  <c r="BH107" i="66"/>
  <c r="BI107" i="66" s="1"/>
  <c r="S207" i="2" s="1"/>
  <c r="AZ70" i="66"/>
  <c r="R207" i="2" s="1"/>
  <c r="AZ51" i="81"/>
  <c r="AR207" i="2" s="1"/>
  <c r="BH82" i="81"/>
  <c r="BI82" i="81" s="1"/>
  <c r="AS207" i="2" s="1"/>
  <c r="BH125" i="1"/>
  <c r="BI125" i="1" s="1"/>
  <c r="Q207" i="2" s="1"/>
  <c r="AZ80" i="1"/>
  <c r="P207" i="2" s="1"/>
  <c r="BJ125" i="1"/>
  <c r="BK125" i="1" s="1"/>
  <c r="BE125" i="1"/>
  <c r="BF125" i="1"/>
  <c r="AW53" i="80"/>
  <c r="AV53" i="80"/>
  <c r="BA53" i="80"/>
  <c r="BB53" i="80" s="1"/>
  <c r="AV67" i="68"/>
  <c r="AW67" i="68"/>
  <c r="BA67" i="68"/>
  <c r="BB67" i="68" s="1"/>
  <c r="BJ125" i="74"/>
  <c r="BK125" i="74" s="1"/>
  <c r="BE125" i="74"/>
  <c r="BF125" i="74"/>
  <c r="BE102" i="78"/>
  <c r="BF102" i="78"/>
  <c r="BJ102" i="78"/>
  <c r="BK102" i="78" s="1"/>
  <c r="BA66" i="76"/>
  <c r="BB66" i="76" s="1"/>
  <c r="BB4" i="76" s="1"/>
  <c r="F13" i="76" s="1"/>
  <c r="AV66" i="76"/>
  <c r="AW66" i="76"/>
  <c r="AV80" i="70"/>
  <c r="AW80" i="70"/>
  <c r="BA80" i="70"/>
  <c r="BB80" i="70" s="1"/>
  <c r="BA80" i="1"/>
  <c r="BB80" i="1" s="1"/>
  <c r="AV80" i="1"/>
  <c r="AW80" i="1"/>
  <c r="BJ99" i="76"/>
  <c r="BK99" i="76" s="1"/>
  <c r="BF99" i="76"/>
  <c r="BE99" i="76"/>
  <c r="AZ80" i="67"/>
  <c r="T207" i="2" s="1"/>
  <c r="BH125" i="67"/>
  <c r="BI125" i="67" s="1"/>
  <c r="U207" i="2" s="1"/>
  <c r="BH99" i="69"/>
  <c r="BI99" i="69" s="1"/>
  <c r="Y207" i="2" s="1"/>
  <c r="AZ66" i="69"/>
  <c r="X207" i="2" s="1"/>
  <c r="BJ125" i="73"/>
  <c r="BK125" i="73" s="1"/>
  <c r="BF125" i="73"/>
  <c r="BE125" i="73"/>
  <c r="BA80" i="67"/>
  <c r="BB80" i="67" s="1"/>
  <c r="AV80" i="67"/>
  <c r="AW80" i="67"/>
  <c r="BJ125" i="67"/>
  <c r="BK125" i="67" s="1"/>
  <c r="BE125" i="67"/>
  <c r="BF125" i="67"/>
  <c r="BA48" i="77"/>
  <c r="BB48" i="77" s="1"/>
  <c r="AV48" i="77"/>
  <c r="AW48" i="77"/>
  <c r="AV66" i="69"/>
  <c r="AW66" i="69"/>
  <c r="BA66" i="69"/>
  <c r="BB66" i="69" s="1"/>
  <c r="BF99" i="69"/>
  <c r="BE99" i="69"/>
  <c r="BJ99" i="69"/>
  <c r="BK99" i="69" s="1"/>
  <c r="AW51" i="81"/>
  <c r="BA51" i="81"/>
  <c r="BB51" i="81" s="1"/>
  <c r="AV51" i="81"/>
  <c r="BE125" i="70"/>
  <c r="BJ125" i="70"/>
  <c r="BK125" i="70" s="1"/>
  <c r="BF125" i="70"/>
  <c r="AZ17" i="61"/>
  <c r="BA17" i="61" s="1"/>
  <c r="AV17" i="61"/>
  <c r="AW17" i="61"/>
  <c r="BJ30" i="74"/>
  <c r="BK30" i="74" s="1"/>
  <c r="BF30" i="74"/>
  <c r="BE30" i="74"/>
  <c r="AW14" i="68"/>
  <c r="BA14" i="68"/>
  <c r="BB14" i="68" s="1"/>
  <c r="AV14" i="68"/>
  <c r="BJ32" i="70"/>
  <c r="BK32" i="70" s="1"/>
  <c r="BF32" i="70"/>
  <c r="BE32" i="70"/>
  <c r="BF27" i="66"/>
  <c r="BJ27" i="66"/>
  <c r="BK27" i="66" s="1"/>
  <c r="BE27" i="66"/>
  <c r="BJ34" i="67"/>
  <c r="BK34" i="67" s="1"/>
  <c r="BE34" i="67"/>
  <c r="BF34" i="67"/>
  <c r="BF113" i="71"/>
  <c r="BE113" i="71"/>
  <c r="BJ113" i="71"/>
  <c r="BK113" i="71" s="1"/>
  <c r="BF29" i="71"/>
  <c r="BJ29" i="71"/>
  <c r="BK29" i="71" s="1"/>
  <c r="BE29" i="71"/>
  <c r="BA22" i="70"/>
  <c r="BB22" i="70" s="1"/>
  <c r="AV22" i="70"/>
  <c r="AW22" i="70"/>
  <c r="BD53" i="61"/>
  <c r="BE53" i="61"/>
  <c r="BH53" i="61"/>
  <c r="BI53" i="61" s="1"/>
  <c r="AW5" i="60"/>
  <c r="AV5" i="60"/>
  <c r="AZ5" i="60"/>
  <c r="BA5" i="60" s="1"/>
  <c r="AV28" i="47"/>
  <c r="AW28" i="47"/>
  <c r="AZ28" i="47"/>
  <c r="BA28" i="47" s="1"/>
  <c r="BH21" i="47"/>
  <c r="BI21" i="47" s="1"/>
  <c r="BE21" i="47"/>
  <c r="BD21" i="47"/>
  <c r="BE11" i="66"/>
  <c r="BF11" i="66"/>
  <c r="BJ11" i="66"/>
  <c r="BK11" i="66" s="1"/>
  <c r="AW18" i="71"/>
  <c r="AV18" i="71"/>
  <c r="BA18" i="71"/>
  <c r="BB18" i="71" s="1"/>
  <c r="AW21" i="74"/>
  <c r="BA21" i="74"/>
  <c r="BB21" i="74" s="1"/>
  <c r="AV21" i="74"/>
  <c r="BJ33" i="67"/>
  <c r="BK33" i="67" s="1"/>
  <c r="BF33" i="67"/>
  <c r="BE33" i="67"/>
  <c r="BD18" i="61"/>
  <c r="BE18" i="61"/>
  <c r="BH18" i="61"/>
  <c r="BI18" i="61" s="1"/>
  <c r="BJ53" i="78"/>
  <c r="BK53" i="78" s="1"/>
  <c r="BE53" i="78"/>
  <c r="BF53" i="78"/>
  <c r="AW28" i="78"/>
  <c r="AV28" i="78"/>
  <c r="BA28" i="78"/>
  <c r="BB28" i="78" s="1"/>
  <c r="BE25" i="68"/>
  <c r="BF25" i="68"/>
  <c r="BJ25" i="68"/>
  <c r="BK25" i="68" s="1"/>
  <c r="BH17" i="61"/>
  <c r="BI17" i="61" s="1"/>
  <c r="BE17" i="61"/>
  <c r="BD17" i="61"/>
  <c r="AW17" i="71"/>
  <c r="BA17" i="71"/>
  <c r="BB17" i="71" s="1"/>
  <c r="AV17" i="71"/>
  <c r="BE34" i="74"/>
  <c r="BF34" i="74"/>
  <c r="BJ34" i="74"/>
  <c r="BK34" i="74" s="1"/>
  <c r="L71" i="2"/>
  <c r="BD27" i="81"/>
  <c r="D71" i="2"/>
  <c r="AU15" i="81"/>
  <c r="BD27" i="67"/>
  <c r="AU15" i="1"/>
  <c r="AU15" i="70"/>
  <c r="BC12" i="47"/>
  <c r="BD27" i="73"/>
  <c r="AU15" i="67"/>
  <c r="G71" i="2"/>
  <c r="H71" i="2" s="1"/>
  <c r="C71" i="2"/>
  <c r="AU15" i="74"/>
  <c r="BC12" i="64"/>
  <c r="AU25" i="78"/>
  <c r="BC12" i="61"/>
  <c r="BD27" i="74"/>
  <c r="BD27" i="1"/>
  <c r="BF12" i="82"/>
  <c r="BE12" i="82"/>
  <c r="BJ12" i="82"/>
  <c r="BK12" i="82" s="1"/>
  <c r="BE53" i="47"/>
  <c r="BH53" i="47"/>
  <c r="BI53" i="47" s="1"/>
  <c r="BD53" i="47"/>
  <c r="BF5" i="71"/>
  <c r="BE5" i="71"/>
  <c r="BJ5" i="71"/>
  <c r="BK5" i="71" s="1"/>
  <c r="BE20" i="77"/>
  <c r="BJ20" i="77"/>
  <c r="BK20" i="77" s="1"/>
  <c r="BF20" i="77"/>
  <c r="BJ44" i="80"/>
  <c r="BK44" i="80" s="1"/>
  <c r="BE44" i="80"/>
  <c r="BF44" i="80"/>
  <c r="AW18" i="66"/>
  <c r="BA18" i="66"/>
  <c r="BB18" i="66" s="1"/>
  <c r="AV18" i="66"/>
  <c r="AW17" i="68"/>
  <c r="AV17" i="68"/>
  <c r="BA17" i="68"/>
  <c r="BB17" i="68" s="1"/>
  <c r="BF19" i="78"/>
  <c r="BJ19" i="78"/>
  <c r="BK19" i="78" s="1"/>
  <c r="BE19" i="78"/>
  <c r="BE39" i="61"/>
  <c r="BD39" i="61"/>
  <c r="BH39" i="61"/>
  <c r="BI39" i="61" s="1"/>
  <c r="AW18" i="1"/>
  <c r="BA18" i="1"/>
  <c r="BB18" i="1" s="1"/>
  <c r="AV18" i="1"/>
  <c r="AV17" i="66"/>
  <c r="AW17" i="66"/>
  <c r="BA17" i="66"/>
  <c r="BB17" i="66" s="1"/>
  <c r="BJ19" i="77"/>
  <c r="BK19" i="77" s="1"/>
  <c r="BE19" i="77"/>
  <c r="BF19" i="77"/>
  <c r="BA22" i="73"/>
  <c r="BB22" i="73" s="1"/>
  <c r="AV22" i="73"/>
  <c r="AW22" i="73"/>
  <c r="BJ54" i="78"/>
  <c r="BK54" i="78" s="1"/>
  <c r="BE54" i="78"/>
  <c r="BF54" i="78"/>
  <c r="AU26" i="78"/>
  <c r="AU16" i="73"/>
  <c r="BD23" i="71"/>
  <c r="BD28" i="1"/>
  <c r="AU16" i="1"/>
  <c r="L72" i="2"/>
  <c r="BD28" i="70"/>
  <c r="AU21" i="80"/>
  <c r="BC13" i="61"/>
  <c r="BD28" i="73"/>
  <c r="BC13" i="47"/>
  <c r="AU16" i="70"/>
  <c r="BD39" i="80"/>
  <c r="BD28" i="67"/>
  <c r="AU16" i="81"/>
  <c r="E72" i="2"/>
  <c r="AU13" i="71"/>
  <c r="BD28" i="81"/>
  <c r="AU16" i="74"/>
  <c r="BD48" i="78"/>
  <c r="AU13" i="66"/>
  <c r="C72" i="2"/>
  <c r="BC13" i="64"/>
  <c r="D72" i="2"/>
  <c r="K72" i="2"/>
  <c r="G72" i="2"/>
  <c r="H72" i="2" s="1"/>
  <c r="AU16" i="67"/>
  <c r="BC13" i="60"/>
  <c r="BD23" i="66"/>
  <c r="BD28" i="74"/>
  <c r="AV11" i="69"/>
  <c r="BA11" i="69"/>
  <c r="BB11" i="69" s="1"/>
  <c r="AW11" i="69"/>
  <c r="BF16" i="82"/>
  <c r="BJ16" i="82"/>
  <c r="BK16" i="82" s="1"/>
  <c r="BE16" i="82"/>
  <c r="AW13" i="70"/>
  <c r="AV13" i="70"/>
  <c r="BA13" i="70"/>
  <c r="BB13" i="70" s="1"/>
  <c r="BH21" i="64"/>
  <c r="BI21" i="64" s="1"/>
  <c r="BE21" i="64"/>
  <c r="BD21" i="64"/>
  <c r="BD18" i="47"/>
  <c r="BH18" i="47"/>
  <c r="BI18" i="47" s="1"/>
  <c r="BE18" i="47"/>
  <c r="BF33" i="81"/>
  <c r="BE33" i="81"/>
  <c r="BJ33" i="81"/>
  <c r="BK33" i="81" s="1"/>
  <c r="BD18" i="64"/>
  <c r="BH18" i="64"/>
  <c r="BI18" i="64" s="1"/>
  <c r="BE18" i="64"/>
  <c r="BF25" i="71"/>
  <c r="BJ25" i="71"/>
  <c r="BK25" i="71" s="1"/>
  <c r="BE25" i="71"/>
  <c r="BA18" i="74"/>
  <c r="BB18" i="74" s="1"/>
  <c r="AW18" i="74"/>
  <c r="AV18" i="74"/>
  <c r="BE17" i="60"/>
  <c r="BD17" i="60"/>
  <c r="BH17" i="60"/>
  <c r="BI17" i="60" s="1"/>
  <c r="BF32" i="74"/>
  <c r="BE32" i="74"/>
  <c r="BJ32" i="74"/>
  <c r="BK32" i="74" s="1"/>
  <c r="BJ8" i="82"/>
  <c r="BK8" i="82" s="1"/>
  <c r="BE8" i="82"/>
  <c r="BF8" i="82"/>
  <c r="AW22" i="81"/>
  <c r="AV22" i="81"/>
  <c r="BA22" i="81"/>
  <c r="BB22" i="81" s="1"/>
  <c r="AU17" i="74"/>
  <c r="AU17" i="70"/>
  <c r="BD29" i="1"/>
  <c r="AU14" i="71"/>
  <c r="BD40" i="80"/>
  <c r="AU17" i="1"/>
  <c r="AU17" i="67"/>
  <c r="L73" i="2"/>
  <c r="BD24" i="66"/>
  <c r="BD29" i="74"/>
  <c r="BC14" i="47"/>
  <c r="BC14" i="61"/>
  <c r="BD29" i="67"/>
  <c r="AU17" i="73"/>
  <c r="BD29" i="73"/>
  <c r="BD29" i="70"/>
  <c r="AU22" i="80"/>
  <c r="K73" i="2"/>
  <c r="C73" i="2"/>
  <c r="BD24" i="71"/>
  <c r="E73" i="2"/>
  <c r="BD24" i="68"/>
  <c r="D73" i="2"/>
  <c r="AU13" i="68"/>
  <c r="AU27" i="78"/>
  <c r="AU17" i="81"/>
  <c r="BC14" i="60"/>
  <c r="AU14" i="66"/>
  <c r="BD49" i="78"/>
  <c r="BC14" i="64"/>
  <c r="G73" i="2"/>
  <c r="H73" i="2" s="1"/>
  <c r="BD29" i="81"/>
  <c r="AW11" i="75"/>
  <c r="BA11" i="75"/>
  <c r="BB11" i="75" s="1"/>
  <c r="BB4" i="75" s="1"/>
  <c r="F13" i="75" s="1"/>
  <c r="AV11" i="75"/>
  <c r="BA31" i="78"/>
  <c r="BB31" i="78" s="1"/>
  <c r="AW31" i="78"/>
  <c r="AV31" i="78"/>
  <c r="BF28" i="71"/>
  <c r="BE28" i="71"/>
  <c r="BJ28" i="71"/>
  <c r="BK28" i="71" s="1"/>
  <c r="AV21" i="81"/>
  <c r="BA21" i="81"/>
  <c r="BB21" i="81" s="1"/>
  <c r="AW21" i="81"/>
  <c r="AV21" i="1"/>
  <c r="AW21" i="1"/>
  <c r="BA21" i="1"/>
  <c r="BB21" i="1" s="1"/>
  <c r="AV21" i="73"/>
  <c r="AW21" i="73"/>
  <c r="BA21" i="73"/>
  <c r="BB21" i="73" s="1"/>
  <c r="BE8" i="61"/>
  <c r="BH8" i="61"/>
  <c r="BI8" i="61" s="1"/>
  <c r="BD8" i="61"/>
  <c r="BA19" i="80"/>
  <c r="BB19" i="80" s="1"/>
  <c r="AV19" i="80"/>
  <c r="AW19" i="80"/>
  <c r="AV10" i="64"/>
  <c r="AZ10" i="64"/>
  <c r="BA10" i="64" s="1"/>
  <c r="AW10" i="64"/>
  <c r="BJ15" i="68"/>
  <c r="BK15" i="68" s="1"/>
  <c r="BF15" i="68"/>
  <c r="BE15" i="68"/>
  <c r="AW10" i="47"/>
  <c r="AV10" i="47"/>
  <c r="AZ10" i="47"/>
  <c r="BA10" i="47" s="1"/>
  <c r="BD8" i="60"/>
  <c r="BH8" i="60"/>
  <c r="BI8" i="60" s="1"/>
  <c r="BE8" i="60"/>
  <c r="AV12" i="67"/>
  <c r="BA12" i="67"/>
  <c r="BB12" i="67" s="1"/>
  <c r="AW12" i="67"/>
  <c r="AW33" i="78"/>
  <c r="BA33" i="78"/>
  <c r="BB33" i="78" s="1"/>
  <c r="AV33" i="78"/>
  <c r="BE51" i="78"/>
  <c r="BF51" i="78"/>
  <c r="BJ51" i="78"/>
  <c r="BK51" i="78" s="1"/>
  <c r="AW19" i="47"/>
  <c r="BF18" i="77"/>
  <c r="BF6" i="77"/>
  <c r="BJ6" i="77"/>
  <c r="BK6" i="77" s="1"/>
  <c r="BE6" i="77"/>
  <c r="AW19" i="70"/>
  <c r="AV19" i="70"/>
  <c r="BA19" i="70"/>
  <c r="BB19" i="70" s="1"/>
  <c r="BH29" i="64"/>
  <c r="BI29" i="64" s="1"/>
  <c r="BE29" i="64"/>
  <c r="BD29" i="64"/>
  <c r="BF31" i="67"/>
  <c r="BJ31" i="67"/>
  <c r="BK31" i="67" s="1"/>
  <c r="BE31" i="67"/>
  <c r="BF10" i="80"/>
  <c r="BE10" i="80"/>
  <c r="BJ10" i="80"/>
  <c r="BK10" i="80" s="1"/>
  <c r="BJ5" i="78"/>
  <c r="BK5" i="78" s="1"/>
  <c r="BF5" i="78"/>
  <c r="BE5" i="78"/>
  <c r="AZ14" i="61"/>
  <c r="BA14" i="61" s="1"/>
  <c r="AW14" i="61"/>
  <c r="AV14" i="61"/>
  <c r="BJ23" i="80"/>
  <c r="BK23" i="80" s="1"/>
  <c r="BF23" i="80"/>
  <c r="BE23" i="80"/>
  <c r="BE35" i="74"/>
  <c r="BJ35" i="74"/>
  <c r="BK35" i="74" s="1"/>
  <c r="BF35" i="74"/>
  <c r="AW16" i="71"/>
  <c r="BA16" i="71"/>
  <c r="BB16" i="71" s="1"/>
  <c r="AV16" i="71"/>
  <c r="AV8" i="1"/>
  <c r="BA8" i="1"/>
  <c r="BB8" i="1" s="1"/>
  <c r="AW8" i="1"/>
  <c r="BF31" i="1"/>
  <c r="BJ31" i="1"/>
  <c r="BK31" i="1" s="1"/>
  <c r="BE31" i="1"/>
  <c r="BF5" i="70"/>
  <c r="BJ5" i="70"/>
  <c r="BK5" i="70" s="1"/>
  <c r="BE5" i="70"/>
  <c r="AW12" i="73"/>
  <c r="AV12" i="73"/>
  <c r="BA12" i="73"/>
  <c r="BB12" i="73" s="1"/>
  <c r="AV23" i="70"/>
  <c r="AW23" i="70"/>
  <c r="BA23" i="70"/>
  <c r="BB23" i="70" s="1"/>
  <c r="BE5" i="1"/>
  <c r="BJ5" i="1"/>
  <c r="BK5" i="1" s="1"/>
  <c r="BF5" i="1"/>
  <c r="BD28" i="64"/>
  <c r="BE28" i="64"/>
  <c r="BH28" i="64"/>
  <c r="BI28" i="64" s="1"/>
  <c r="BA19" i="1"/>
  <c r="BB19" i="1" s="1"/>
  <c r="AV19" i="1"/>
  <c r="AW19" i="1"/>
  <c r="BJ10" i="66"/>
  <c r="BK10" i="66" s="1"/>
  <c r="BF10" i="66"/>
  <c r="BE10" i="66"/>
  <c r="AW7" i="74"/>
  <c r="BA7" i="74"/>
  <c r="BB7" i="74" s="1"/>
  <c r="AV7" i="74"/>
  <c r="AV17" i="78"/>
  <c r="BA17" i="78"/>
  <c r="BB17" i="78" s="1"/>
  <c r="AW17" i="78"/>
  <c r="BF9" i="1"/>
  <c r="BJ9" i="1"/>
  <c r="BK9" i="1" s="1"/>
  <c r="BE9" i="1"/>
  <c r="BE9" i="78"/>
  <c r="BF9" i="78"/>
  <c r="BJ9" i="78"/>
  <c r="BK9" i="78" s="1"/>
  <c r="BF7" i="71"/>
  <c r="BE7" i="71"/>
  <c r="BJ7" i="71"/>
  <c r="BK7" i="71" s="1"/>
  <c r="BE30" i="78"/>
  <c r="BJ30" i="78"/>
  <c r="BK30" i="78" s="1"/>
  <c r="BF30" i="78"/>
  <c r="BF11" i="74"/>
  <c r="BE11" i="74"/>
  <c r="BJ11" i="74"/>
  <c r="BK11" i="74" s="1"/>
  <c r="BF9" i="73"/>
  <c r="BJ9" i="73"/>
  <c r="BK9" i="73" s="1"/>
  <c r="BE9" i="73"/>
  <c r="AZ11" i="47"/>
  <c r="BA11" i="47" s="1"/>
  <c r="AV11" i="47"/>
  <c r="AW11" i="47"/>
  <c r="BE6" i="64"/>
  <c r="BD6" i="64"/>
  <c r="BH6" i="64"/>
  <c r="BI6" i="64" s="1"/>
  <c r="AV10" i="67"/>
  <c r="BA10" i="67"/>
  <c r="BB10" i="67" s="1"/>
  <c r="AW10" i="67"/>
  <c r="BA17" i="80"/>
  <c r="BB17" i="80" s="1"/>
  <c r="AV17" i="80"/>
  <c r="AW17" i="80"/>
  <c r="BA9" i="1"/>
  <c r="BB9" i="1" s="1"/>
  <c r="AW9" i="1"/>
  <c r="AV9" i="1"/>
  <c r="BE13" i="68"/>
  <c r="BF13" i="68"/>
  <c r="BJ13" i="68"/>
  <c r="BK13" i="68" s="1"/>
  <c r="BF20" i="1"/>
  <c r="BE20" i="1"/>
  <c r="BJ20" i="1"/>
  <c r="BK20" i="1" s="1"/>
  <c r="BF20" i="70"/>
  <c r="BJ20" i="70"/>
  <c r="BK20" i="70" s="1"/>
  <c r="BE20" i="70"/>
  <c r="AW20" i="60"/>
  <c r="AZ20" i="60"/>
  <c r="BA20" i="60" s="1"/>
  <c r="AV20" i="60"/>
  <c r="BF9" i="75"/>
  <c r="BJ9" i="75"/>
  <c r="BK9" i="75" s="1"/>
  <c r="BE9" i="75"/>
  <c r="BF9" i="77"/>
  <c r="BE9" i="77"/>
  <c r="BJ9" i="77"/>
  <c r="BK9" i="77" s="1"/>
  <c r="BE10" i="64"/>
  <c r="BD10" i="64"/>
  <c r="BH10" i="64"/>
  <c r="BI10" i="64" s="1"/>
  <c r="BH10" i="61"/>
  <c r="BI10" i="61" s="1"/>
  <c r="BE10" i="61"/>
  <c r="BD10" i="61"/>
  <c r="BE7" i="82"/>
  <c r="BF7" i="82"/>
  <c r="BJ7" i="82"/>
  <c r="BK7" i="82" s="1"/>
  <c r="AV14" i="64"/>
  <c r="AW14" i="64"/>
  <c r="AZ14" i="64"/>
  <c r="BA14" i="64" s="1"/>
  <c r="AV14" i="60"/>
  <c r="AZ14" i="60"/>
  <c r="BA14" i="60" s="1"/>
  <c r="AW14" i="60"/>
  <c r="BE6" i="70"/>
  <c r="BF6" i="70"/>
  <c r="BJ6" i="70"/>
  <c r="BK6" i="70" s="1"/>
  <c r="AW22" i="78"/>
  <c r="AV22" i="78"/>
  <c r="BA22" i="78"/>
  <c r="BB22" i="78" s="1"/>
  <c r="BF10" i="74"/>
  <c r="BJ10" i="74"/>
  <c r="BK10" i="74" s="1"/>
  <c r="BE10" i="74"/>
  <c r="BE35" i="67"/>
  <c r="BF35" i="67"/>
  <c r="BJ35" i="67"/>
  <c r="BK35" i="67" s="1"/>
  <c r="BF35" i="70"/>
  <c r="BE35" i="70"/>
  <c r="BJ35" i="70"/>
  <c r="BK35" i="70" s="1"/>
  <c r="AV23" i="1"/>
  <c r="BA23" i="1"/>
  <c r="BB23" i="1" s="1"/>
  <c r="AW23" i="1"/>
  <c r="BJ31" i="74"/>
  <c r="BK31" i="74" s="1"/>
  <c r="BE31" i="74"/>
  <c r="BF31" i="74"/>
  <c r="BE31" i="73"/>
  <c r="BF31" i="73"/>
  <c r="BJ31" i="73"/>
  <c r="BK31" i="73" s="1"/>
  <c r="BF26" i="71"/>
  <c r="BJ26" i="71"/>
  <c r="BK26" i="71" s="1"/>
  <c r="BE26" i="71"/>
  <c r="AW19" i="73"/>
  <c r="AV19" i="73"/>
  <c r="BA19" i="73"/>
  <c r="BB19" i="73" s="1"/>
  <c r="BH32" i="61"/>
  <c r="BI32" i="61" s="1"/>
  <c r="BE32" i="61"/>
  <c r="BD32" i="61"/>
  <c r="AZ23" i="61"/>
  <c r="BA23" i="61" s="1"/>
  <c r="AV23" i="61"/>
  <c r="AW23" i="61"/>
  <c r="AV6" i="61"/>
  <c r="AW6" i="61"/>
  <c r="AZ6" i="61"/>
  <c r="BA6" i="61" s="1"/>
  <c r="BA4" i="61" s="1"/>
  <c r="F11" i="61" s="1"/>
  <c r="BH22" i="61"/>
  <c r="BI22" i="61" s="1"/>
  <c r="BE22" i="61"/>
  <c r="BD22" i="61"/>
  <c r="BF7" i="66"/>
  <c r="BE7" i="66"/>
  <c r="BJ7" i="66"/>
  <c r="BK7" i="66" s="1"/>
  <c r="BJ24" i="80"/>
  <c r="BK24" i="80" s="1"/>
  <c r="BE24" i="80"/>
  <c r="BF24" i="80"/>
  <c r="BE11" i="73"/>
  <c r="BF11" i="73"/>
  <c r="BF9" i="81"/>
  <c r="BJ9" i="81"/>
  <c r="BK9" i="81" s="1"/>
  <c r="BE9" i="81"/>
  <c r="AW84" i="61"/>
  <c r="AV84" i="61"/>
  <c r="AZ84" i="61"/>
  <c r="BA84" i="61" s="1"/>
  <c r="AV84" i="47"/>
  <c r="AW84" i="47"/>
  <c r="AZ84" i="47"/>
  <c r="BA84" i="47" s="1"/>
  <c r="BA9" i="66"/>
  <c r="BB9" i="66" s="1"/>
  <c r="AW9" i="66"/>
  <c r="AV9" i="66"/>
  <c r="BF7" i="77"/>
  <c r="BJ7" i="77"/>
  <c r="BK7" i="77" s="1"/>
  <c r="BE7" i="77"/>
  <c r="AW11" i="64"/>
  <c r="AZ11" i="64"/>
  <c r="BA11" i="64" s="1"/>
  <c r="AV11" i="64"/>
  <c r="BF18" i="70"/>
  <c r="BJ18" i="70"/>
  <c r="BK18" i="70" s="1"/>
  <c r="BE18" i="70"/>
  <c r="BE6" i="61"/>
  <c r="BH6" i="61"/>
  <c r="BI6" i="61" s="1"/>
  <c r="BD6" i="61"/>
  <c r="BE6" i="60"/>
  <c r="BD6" i="60"/>
  <c r="BH6" i="60"/>
  <c r="BI6" i="60" s="1"/>
  <c r="BA10" i="74"/>
  <c r="BB10" i="74" s="1"/>
  <c r="AW10" i="74"/>
  <c r="AV10" i="74"/>
  <c r="BE29" i="60"/>
  <c r="BH29" i="60"/>
  <c r="BI29" i="60" s="1"/>
  <c r="BD29" i="60"/>
  <c r="AV9" i="78"/>
  <c r="AW9" i="78"/>
  <c r="BA9" i="78"/>
  <c r="BB9" i="78" s="1"/>
  <c r="AZ19" i="61"/>
  <c r="BA19" i="61" s="1"/>
  <c r="AW19" i="61"/>
  <c r="AV19" i="61"/>
  <c r="AV19" i="60"/>
  <c r="AW19" i="60"/>
  <c r="AZ19" i="60"/>
  <c r="BA19" i="60" s="1"/>
  <c r="BH27" i="64"/>
  <c r="BI27" i="64" s="1"/>
  <c r="BD27" i="64"/>
  <c r="BE27" i="64"/>
  <c r="BD8" i="64"/>
  <c r="BE8" i="64"/>
  <c r="BH8" i="64"/>
  <c r="BI8" i="64" s="1"/>
  <c r="BE14" i="68"/>
  <c r="BF14" i="68"/>
  <c r="BJ14" i="68"/>
  <c r="BK14" i="68" s="1"/>
  <c r="AZ23" i="64"/>
  <c r="BA23" i="64" s="1"/>
  <c r="AV23" i="64"/>
  <c r="AW23" i="64"/>
  <c r="BE9" i="69"/>
  <c r="BJ9" i="69"/>
  <c r="BK9" i="69" s="1"/>
  <c r="BF9" i="69"/>
  <c r="BF22" i="1"/>
  <c r="BE22" i="1"/>
  <c r="BJ22" i="1"/>
  <c r="BK22" i="1" s="1"/>
  <c r="AV14" i="47"/>
  <c r="AW14" i="47"/>
  <c r="AZ14" i="47"/>
  <c r="BA14" i="47" s="1"/>
  <c r="BF6" i="1"/>
  <c r="BE6" i="1"/>
  <c r="BJ6" i="1"/>
  <c r="BK6" i="1" s="1"/>
  <c r="BF6" i="78"/>
  <c r="BJ6" i="78"/>
  <c r="BK6" i="78" s="1"/>
  <c r="BE6" i="78"/>
  <c r="BE129" i="74"/>
  <c r="BF129" i="74"/>
  <c r="BJ129" i="74"/>
  <c r="BK129" i="74" s="1"/>
  <c r="AV91" i="61"/>
  <c r="AW91" i="61"/>
  <c r="AZ91" i="61"/>
  <c r="BA91" i="61" s="1"/>
  <c r="BE5" i="74"/>
  <c r="BJ5" i="74"/>
  <c r="BK5" i="74" s="1"/>
  <c r="BF5" i="74"/>
  <c r="AW12" i="74"/>
  <c r="BA12" i="74"/>
  <c r="BB12" i="74" s="1"/>
  <c r="AV12" i="74"/>
  <c r="AW10" i="1"/>
  <c r="BA10" i="1"/>
  <c r="BB10" i="1" s="1"/>
  <c r="AV10" i="1"/>
  <c r="BJ15" i="70"/>
  <c r="BK15" i="70" s="1"/>
  <c r="BF15" i="70"/>
  <c r="BE15" i="70"/>
  <c r="AW9" i="47"/>
  <c r="AZ9" i="47"/>
  <c r="BA9" i="47" s="1"/>
  <c r="AV9" i="47"/>
  <c r="BJ5" i="77"/>
  <c r="BK5" i="77" s="1"/>
  <c r="BF5" i="77"/>
  <c r="BE5" i="77"/>
  <c r="BJ55" i="78"/>
  <c r="BK55" i="78" s="1"/>
  <c r="BE55" i="78"/>
  <c r="BF55" i="78"/>
  <c r="BJ35" i="1"/>
  <c r="BK35" i="1" s="1"/>
  <c r="BF35" i="1"/>
  <c r="BE35" i="1"/>
  <c r="BE35" i="73"/>
  <c r="BJ35" i="73"/>
  <c r="BK35" i="73" s="1"/>
  <c r="BF35" i="73"/>
  <c r="AV19" i="67"/>
  <c r="AW19" i="67"/>
  <c r="BA19" i="67"/>
  <c r="BB19" i="67" s="1"/>
  <c r="BE42" i="80"/>
  <c r="BF42" i="80"/>
  <c r="BJ42" i="80"/>
  <c r="BK42" i="80" s="1"/>
  <c r="AV15" i="68"/>
  <c r="AW15" i="68"/>
  <c r="BA15" i="68"/>
  <c r="BB15" i="68" s="1"/>
  <c r="AV29" i="78"/>
  <c r="AW29" i="78"/>
  <c r="BA29" i="78"/>
  <c r="BB29" i="78" s="1"/>
  <c r="BF26" i="68"/>
  <c r="BE26" i="68"/>
  <c r="BJ26" i="68"/>
  <c r="BK26" i="68" s="1"/>
  <c r="BJ22" i="78"/>
  <c r="BK22" i="78" s="1"/>
  <c r="BE22" i="78"/>
  <c r="BF22" i="78"/>
  <c r="BF10" i="71"/>
  <c r="BJ10" i="71"/>
  <c r="BK10" i="71" s="1"/>
  <c r="BE10" i="71"/>
  <c r="BH32" i="47"/>
  <c r="BI32" i="47" s="1"/>
  <c r="BE32" i="47"/>
  <c r="BD32" i="47"/>
  <c r="BA7" i="81"/>
  <c r="BB7" i="81" s="1"/>
  <c r="AV7" i="81"/>
  <c r="AW7" i="81"/>
  <c r="AZ23" i="47"/>
  <c r="BA23" i="47" s="1"/>
  <c r="AW23" i="47"/>
  <c r="AV23" i="47"/>
  <c r="AW6" i="64"/>
  <c r="AZ6" i="64"/>
  <c r="BA6" i="64" s="1"/>
  <c r="BA4" i="64" s="1"/>
  <c r="F11" i="64" s="1"/>
  <c r="AV6" i="64"/>
  <c r="BE22" i="47"/>
  <c r="BH22" i="47"/>
  <c r="BI22" i="47" s="1"/>
  <c r="BD22" i="47"/>
  <c r="BH22" i="60"/>
  <c r="BI22" i="60" s="1"/>
  <c r="BE22" i="60"/>
  <c r="BD22" i="60"/>
  <c r="BE7" i="80"/>
  <c r="BJ7" i="80"/>
  <c r="BK7" i="80" s="1"/>
  <c r="BF7" i="80"/>
  <c r="BJ11" i="81"/>
  <c r="BK11" i="81" s="1"/>
  <c r="BE11" i="81"/>
  <c r="BF11" i="81"/>
  <c r="BE11" i="67"/>
  <c r="BF11" i="67"/>
  <c r="BE9" i="67"/>
  <c r="BF9" i="67"/>
  <c r="BJ9" i="67"/>
  <c r="BK9" i="67" s="1"/>
  <c r="AW84" i="73"/>
  <c r="AV84" i="73"/>
  <c r="BA84" i="73"/>
  <c r="BB84" i="73" s="1"/>
  <c r="AW9" i="71"/>
  <c r="AV9" i="71"/>
  <c r="BA9" i="71"/>
  <c r="BB9" i="71" s="1"/>
  <c r="AW11" i="60"/>
  <c r="AV11" i="60"/>
  <c r="AZ11" i="60"/>
  <c r="BA11" i="60" s="1"/>
  <c r="AW11" i="61"/>
  <c r="AZ11" i="61"/>
  <c r="BA11" i="61" s="1"/>
  <c r="AV11" i="61"/>
  <c r="BE6" i="47"/>
  <c r="BD6" i="47"/>
  <c r="BH6" i="47"/>
  <c r="BI6" i="47" s="1"/>
  <c r="BA10" i="81"/>
  <c r="BB10" i="81" s="1"/>
  <c r="AV10" i="81"/>
  <c r="AW10" i="81"/>
  <c r="BA20" i="78"/>
  <c r="BB20" i="78" s="1"/>
  <c r="AW20" i="78"/>
  <c r="AV20" i="78"/>
  <c r="AV11" i="71"/>
  <c r="AW11" i="71"/>
  <c r="BA11" i="71"/>
  <c r="BB11" i="71" s="1"/>
  <c r="AV11" i="80"/>
  <c r="AW11" i="80"/>
  <c r="BA11" i="80"/>
  <c r="BB11" i="80" s="1"/>
  <c r="AV8" i="78"/>
  <c r="AW8" i="78"/>
  <c r="BA8" i="78"/>
  <c r="BB8" i="78" s="1"/>
  <c r="AV19" i="64"/>
  <c r="AW19" i="64"/>
  <c r="AZ19" i="64"/>
  <c r="BA19" i="64" s="1"/>
  <c r="AW23" i="60"/>
  <c r="AV23" i="60"/>
  <c r="AZ23" i="60"/>
  <c r="BA23" i="60" s="1"/>
  <c r="BH31" i="64"/>
  <c r="BI31" i="64" s="1"/>
  <c r="BD31" i="64"/>
  <c r="BE31" i="64"/>
  <c r="BE9" i="82"/>
  <c r="BJ9" i="82"/>
  <c r="BK9" i="82" s="1"/>
  <c r="BF9" i="82"/>
  <c r="BE10" i="60"/>
  <c r="BH10" i="60"/>
  <c r="BI10" i="60" s="1"/>
  <c r="BD10" i="60"/>
  <c r="BE10" i="47"/>
  <c r="BH10" i="47"/>
  <c r="BI10" i="47" s="1"/>
  <c r="BD10" i="47"/>
  <c r="BJ7" i="75"/>
  <c r="BK7" i="75" s="1"/>
  <c r="BE7" i="75"/>
  <c r="BF7" i="75"/>
  <c r="BF7" i="69"/>
  <c r="BE7" i="69"/>
  <c r="BJ7" i="69"/>
  <c r="BK7" i="69" s="1"/>
  <c r="AV84" i="74"/>
  <c r="BA84" i="74"/>
  <c r="BB84" i="74" s="1"/>
  <c r="AW84" i="74"/>
  <c r="BE5" i="73"/>
  <c r="BJ5" i="73"/>
  <c r="BK5" i="73" s="1"/>
  <c r="BF5" i="73"/>
  <c r="BE5" i="81"/>
  <c r="BF5" i="81"/>
  <c r="BJ5" i="81"/>
  <c r="BK5" i="81" s="1"/>
  <c r="BE24" i="78"/>
  <c r="BJ24" i="78"/>
  <c r="BK24" i="78" s="1"/>
  <c r="BF24" i="78"/>
  <c r="AW10" i="70"/>
  <c r="AV10" i="70"/>
  <c r="BA10" i="70"/>
  <c r="BB10" i="70" s="1"/>
  <c r="AV10" i="78"/>
  <c r="BA10" i="78"/>
  <c r="BB10" i="78" s="1"/>
  <c r="AW10" i="78"/>
  <c r="BF29" i="78"/>
  <c r="BE29" i="78"/>
  <c r="BJ29" i="78"/>
  <c r="BK29" i="78" s="1"/>
  <c r="AW9" i="61"/>
  <c r="AV9" i="61"/>
  <c r="AZ9" i="61"/>
  <c r="BA9" i="61" s="1"/>
  <c r="BA23" i="67"/>
  <c r="BB23" i="67" s="1"/>
  <c r="AV23" i="67"/>
  <c r="AW23" i="67"/>
  <c r="BE30" i="68"/>
  <c r="BF30" i="68"/>
  <c r="BJ30" i="68"/>
  <c r="BK30" i="68" s="1"/>
  <c r="BA23" i="74"/>
  <c r="BB23" i="74" s="1"/>
  <c r="AV23" i="74"/>
  <c r="AW23" i="74"/>
  <c r="BE16" i="64"/>
  <c r="BD16" i="64"/>
  <c r="BH16" i="64"/>
  <c r="BI16" i="64" s="1"/>
  <c r="AV19" i="74"/>
  <c r="AW19" i="74"/>
  <c r="BA19" i="74"/>
  <c r="BB19" i="74" s="1"/>
  <c r="AW24" i="80"/>
  <c r="BA24" i="80"/>
  <c r="BB24" i="80" s="1"/>
  <c r="AV24" i="80"/>
  <c r="AV7" i="67"/>
  <c r="AW7" i="67"/>
  <c r="BA7" i="67"/>
  <c r="BB7" i="67" s="1"/>
  <c r="AV14" i="80"/>
  <c r="AW14" i="80"/>
  <c r="BA14" i="80"/>
  <c r="BB14" i="80" s="1"/>
  <c r="BF9" i="70"/>
  <c r="BJ9" i="70"/>
  <c r="BK9" i="70" s="1"/>
  <c r="BE9" i="70"/>
  <c r="BA8" i="77"/>
  <c r="BB8" i="77" s="1"/>
  <c r="AW8" i="77"/>
  <c r="AV8" i="77"/>
  <c r="AW6" i="60"/>
  <c r="AZ6" i="60"/>
  <c r="BA6" i="60" s="1"/>
  <c r="BA4" i="60" s="1"/>
  <c r="F11" i="60" s="1"/>
  <c r="AV6" i="60"/>
  <c r="AW6" i="47"/>
  <c r="AV6" i="47"/>
  <c r="AZ6" i="47"/>
  <c r="BA6" i="47" s="1"/>
  <c r="BA4" i="47" s="1"/>
  <c r="F11" i="47" s="1"/>
  <c r="BH22" i="64"/>
  <c r="BI22" i="64" s="1"/>
  <c r="BD22" i="64"/>
  <c r="BE22" i="64"/>
  <c r="BE22" i="80"/>
  <c r="BF22" i="80"/>
  <c r="BJ22" i="80"/>
  <c r="BK22" i="80" s="1"/>
  <c r="BF28" i="78"/>
  <c r="BE28" i="78"/>
  <c r="BE131" i="70"/>
  <c r="BF131" i="70"/>
  <c r="BJ131" i="70"/>
  <c r="BK131" i="70" s="1"/>
  <c r="AV9" i="80"/>
  <c r="BA9" i="80"/>
  <c r="BB9" i="80" s="1"/>
  <c r="AW9" i="80"/>
  <c r="BJ18" i="78"/>
  <c r="BK18" i="78" s="1"/>
  <c r="BE18" i="78"/>
  <c r="BF18" i="78"/>
  <c r="BA10" i="73"/>
  <c r="BB10" i="73" s="1"/>
  <c r="AW10" i="73"/>
  <c r="AV10" i="73"/>
  <c r="AZ21" i="60"/>
  <c r="BA21" i="60" s="1"/>
  <c r="AW21" i="60"/>
  <c r="AV21" i="60"/>
  <c r="BA9" i="70"/>
  <c r="BB9" i="70" s="1"/>
  <c r="AV9" i="70"/>
  <c r="AW9" i="70"/>
  <c r="AW11" i="66"/>
  <c r="AV11" i="66"/>
  <c r="BA11" i="66"/>
  <c r="BB11" i="66" s="1"/>
  <c r="AW8" i="70"/>
  <c r="AV8" i="70"/>
  <c r="BA8" i="70"/>
  <c r="BB8" i="70" s="1"/>
  <c r="BH27" i="60"/>
  <c r="BI27" i="60" s="1"/>
  <c r="BE27" i="60"/>
  <c r="BD27" i="60"/>
  <c r="BE8" i="47"/>
  <c r="BD8" i="47"/>
  <c r="BH8" i="47"/>
  <c r="BI8" i="47" s="1"/>
  <c r="BH28" i="60"/>
  <c r="BI28" i="60" s="1"/>
  <c r="BE28" i="60"/>
  <c r="BD28" i="60"/>
  <c r="AW20" i="64"/>
  <c r="AZ20" i="64"/>
  <c r="BA20" i="64" s="1"/>
  <c r="AV20" i="64"/>
  <c r="BJ17" i="68"/>
  <c r="BK17" i="68" s="1"/>
  <c r="BF17" i="68"/>
  <c r="BE17" i="68"/>
  <c r="BE9" i="76"/>
  <c r="BF9" i="76"/>
  <c r="BJ9" i="76"/>
  <c r="BK9" i="76" s="1"/>
  <c r="BE22" i="70"/>
  <c r="BF22" i="70"/>
  <c r="BJ22" i="70"/>
  <c r="BK22" i="70" s="1"/>
  <c r="BE7" i="76"/>
  <c r="BF7" i="76"/>
  <c r="BJ7" i="76"/>
  <c r="BK7" i="76" s="1"/>
  <c r="AV91" i="47"/>
  <c r="AZ91" i="47"/>
  <c r="BA91" i="47" s="1"/>
  <c r="AW91" i="47"/>
  <c r="BE5" i="67"/>
  <c r="BF5" i="67"/>
  <c r="BJ5" i="67"/>
  <c r="BK5" i="67" s="1"/>
  <c r="BE10" i="67"/>
  <c r="BJ10" i="67"/>
  <c r="BK10" i="67" s="1"/>
  <c r="BF10" i="67"/>
  <c r="BE10" i="73"/>
  <c r="BJ10" i="73"/>
  <c r="BK10" i="73" s="1"/>
  <c r="BF10" i="73"/>
  <c r="BJ15" i="1"/>
  <c r="BK15" i="1" s="1"/>
  <c r="BF15" i="1"/>
  <c r="BE15" i="1"/>
  <c r="BF15" i="78"/>
  <c r="BE15" i="78"/>
  <c r="BJ15" i="78"/>
  <c r="BK15" i="78" s="1"/>
  <c r="BJ35" i="81"/>
  <c r="BK35" i="81" s="1"/>
  <c r="BF35" i="81"/>
  <c r="BE35" i="81"/>
  <c r="AV19" i="68"/>
  <c r="AW19" i="68"/>
  <c r="BA19" i="68"/>
  <c r="BB19" i="68" s="1"/>
  <c r="AV11" i="77"/>
  <c r="BA11" i="77"/>
  <c r="BB11" i="77" s="1"/>
  <c r="AW11" i="77"/>
  <c r="BE26" i="66"/>
  <c r="BF26" i="66"/>
  <c r="BJ26" i="66"/>
  <c r="BK26" i="66" s="1"/>
  <c r="BF31" i="70"/>
  <c r="BE31" i="70"/>
  <c r="BJ31" i="70"/>
  <c r="BK31" i="70" s="1"/>
  <c r="AW19" i="81"/>
  <c r="AV19" i="81"/>
  <c r="BA19" i="81"/>
  <c r="BB19" i="81" s="1"/>
  <c r="BD16" i="60"/>
  <c r="BE16" i="60"/>
  <c r="BH16" i="60"/>
  <c r="BI16" i="60" s="1"/>
  <c r="AZ31" i="61"/>
  <c r="BA31" i="61" s="1"/>
  <c r="AW31" i="61"/>
  <c r="AV31" i="61"/>
  <c r="BJ7" i="68"/>
  <c r="BK7" i="68" s="1"/>
  <c r="BF7" i="68"/>
  <c r="BE7" i="68"/>
  <c r="BJ13" i="81"/>
  <c r="BK13" i="81" s="1"/>
  <c r="BE13" i="81"/>
  <c r="BF13" i="81"/>
  <c r="AW10" i="66"/>
  <c r="BA10" i="66"/>
  <c r="BB10" i="66" s="1"/>
  <c r="AV10" i="66"/>
  <c r="BJ21" i="80"/>
  <c r="BK21" i="80" s="1"/>
  <c r="BE21" i="80"/>
  <c r="BF21" i="80"/>
  <c r="BJ8" i="74"/>
  <c r="BK8" i="74" s="1"/>
  <c r="BF8" i="74"/>
  <c r="BE8" i="74"/>
  <c r="BF27" i="80"/>
  <c r="BE27" i="80"/>
  <c r="BJ27" i="80"/>
  <c r="BK27" i="80" s="1"/>
  <c r="BJ31" i="80"/>
  <c r="BK31" i="80" s="1"/>
  <c r="BF31" i="80"/>
  <c r="BE31" i="80"/>
  <c r="BJ29" i="80"/>
  <c r="BK29" i="80" s="1"/>
  <c r="BE29" i="80"/>
  <c r="BF29" i="80"/>
  <c r="BH36" i="47"/>
  <c r="BI36" i="47" s="1"/>
  <c r="BE36" i="47"/>
  <c r="BD36" i="47"/>
  <c r="BE10" i="76"/>
  <c r="BJ10" i="76"/>
  <c r="BK10" i="76" s="1"/>
  <c r="BF10" i="76"/>
  <c r="BE10" i="70"/>
  <c r="BF10" i="70"/>
  <c r="BJ10" i="70"/>
  <c r="BK10" i="70" s="1"/>
  <c r="BE10" i="1"/>
  <c r="BJ10" i="1"/>
  <c r="BK10" i="1" s="1"/>
  <c r="BF10" i="1"/>
  <c r="BF17" i="78"/>
  <c r="BJ17" i="78"/>
  <c r="BK17" i="78" s="1"/>
  <c r="BE17" i="78"/>
  <c r="AW5" i="81"/>
  <c r="BA5" i="81"/>
  <c r="BB5" i="81" s="1"/>
  <c r="AV5" i="81"/>
  <c r="BE13" i="75"/>
  <c r="BJ13" i="75"/>
  <c r="BK13" i="75" s="1"/>
  <c r="BF13" i="75"/>
  <c r="BJ8" i="80"/>
  <c r="BK8" i="80" s="1"/>
  <c r="BF8" i="80"/>
  <c r="BE8" i="80"/>
  <c r="BE54" i="61"/>
  <c r="BD54" i="61"/>
  <c r="BH54" i="61"/>
  <c r="BI54" i="61" s="1"/>
  <c r="BJ9" i="66"/>
  <c r="BK9" i="66" s="1"/>
  <c r="BE9" i="66"/>
  <c r="BF9" i="66"/>
  <c r="BE27" i="78"/>
  <c r="BF27" i="78"/>
  <c r="BJ27" i="78"/>
  <c r="BK27" i="78" s="1"/>
  <c r="BJ14" i="74"/>
  <c r="BK14" i="74" s="1"/>
  <c r="BF14" i="74"/>
  <c r="BE14" i="74"/>
  <c r="AV80" i="61"/>
  <c r="AZ80" i="61"/>
  <c r="BA80" i="61" s="1"/>
  <c r="AW80" i="61"/>
  <c r="AV83" i="73"/>
  <c r="AW83" i="73"/>
  <c r="BA83" i="73"/>
  <c r="BB83" i="73" s="1"/>
  <c r="BF16" i="74"/>
  <c r="BE16" i="74"/>
  <c r="BJ16" i="74"/>
  <c r="BK16" i="74" s="1"/>
  <c r="BJ10" i="78"/>
  <c r="BK10" i="78" s="1"/>
  <c r="BE10" i="78"/>
  <c r="BF10" i="78"/>
  <c r="BJ17" i="70"/>
  <c r="BK17" i="70" s="1"/>
  <c r="BE17" i="70"/>
  <c r="BF17" i="70"/>
  <c r="BF17" i="1"/>
  <c r="BE17" i="1"/>
  <c r="BJ17" i="1"/>
  <c r="BK17" i="1" s="1"/>
  <c r="BE30" i="47"/>
  <c r="BD30" i="47"/>
  <c r="BH30" i="47"/>
  <c r="BI30" i="47" s="1"/>
  <c r="AW15" i="78"/>
  <c r="BA15" i="78"/>
  <c r="BB15" i="78" s="1"/>
  <c r="AV15" i="78"/>
  <c r="AV15" i="73"/>
  <c r="BA15" i="73"/>
  <c r="BB15" i="73" s="1"/>
  <c r="AW15" i="73"/>
  <c r="BJ17" i="80"/>
  <c r="BK17" i="80" s="1"/>
  <c r="BF17" i="80"/>
  <c r="BE17" i="80"/>
  <c r="BJ32" i="78"/>
  <c r="BK32" i="78" s="1"/>
  <c r="BE32" i="78"/>
  <c r="BF32" i="78"/>
  <c r="BF26" i="80"/>
  <c r="BJ26" i="80"/>
  <c r="BK26" i="80" s="1"/>
  <c r="BE26" i="80"/>
  <c r="BE14" i="81"/>
  <c r="BJ14" i="81"/>
  <c r="BK14" i="81" s="1"/>
  <c r="BF14" i="81"/>
  <c r="BE38" i="61"/>
  <c r="BH38" i="61"/>
  <c r="BI38" i="61" s="1"/>
  <c r="BD38" i="61"/>
  <c r="BJ18" i="73"/>
  <c r="BK18" i="73" s="1"/>
  <c r="BF18" i="73"/>
  <c r="BE18" i="73"/>
  <c r="BE102" i="76"/>
  <c r="BF102" i="76"/>
  <c r="BJ102" i="76"/>
  <c r="BK102" i="76" s="1"/>
  <c r="BJ16" i="73"/>
  <c r="BK16" i="73" s="1"/>
  <c r="BF16" i="73"/>
  <c r="BE16" i="73"/>
  <c r="BE10" i="82"/>
  <c r="BJ10" i="82"/>
  <c r="BK10" i="82" s="1"/>
  <c r="BF10" i="82"/>
  <c r="BF10" i="69"/>
  <c r="BE10" i="69"/>
  <c r="BJ10" i="69"/>
  <c r="BK10" i="69" s="1"/>
  <c r="BH5" i="47"/>
  <c r="BI5" i="47" s="1"/>
  <c r="BD5" i="47"/>
  <c r="BE5" i="47"/>
  <c r="BJ12" i="77"/>
  <c r="BK12" i="77" s="1"/>
  <c r="BF12" i="77"/>
  <c r="BE12" i="77"/>
  <c r="AW5" i="73"/>
  <c r="AV5" i="73"/>
  <c r="BA5" i="73"/>
  <c r="BB5" i="73" s="1"/>
  <c r="BF27" i="70"/>
  <c r="BE27" i="70"/>
  <c r="BJ27" i="70"/>
  <c r="BK27" i="70" s="1"/>
  <c r="BF47" i="78"/>
  <c r="BE47" i="78"/>
  <c r="BJ47" i="78"/>
  <c r="BK47" i="78" s="1"/>
  <c r="BJ8" i="71"/>
  <c r="BK8" i="71" s="1"/>
  <c r="BF8" i="71"/>
  <c r="BE8" i="71"/>
  <c r="BJ17" i="66"/>
  <c r="BK17" i="66" s="1"/>
  <c r="BF17" i="66"/>
  <c r="BE17" i="66"/>
  <c r="AV10" i="71"/>
  <c r="AW10" i="71"/>
  <c r="BA10" i="71"/>
  <c r="BB10" i="71" s="1"/>
  <c r="BJ8" i="81"/>
  <c r="BK8" i="81" s="1"/>
  <c r="BF8" i="81"/>
  <c r="BE8" i="81"/>
  <c r="BE38" i="47"/>
  <c r="BD38" i="47"/>
  <c r="BH38" i="47"/>
  <c r="BI38" i="47" s="1"/>
  <c r="AV24" i="61"/>
  <c r="AW24" i="61"/>
  <c r="AZ24" i="61"/>
  <c r="BA24" i="61" s="1"/>
  <c r="BH5" i="64"/>
  <c r="BI5" i="64" s="1"/>
  <c r="BI4" i="64" s="1"/>
  <c r="F12" i="64" s="1"/>
  <c r="BE5" i="64"/>
  <c r="BD5" i="64"/>
  <c r="BE5" i="61"/>
  <c r="BH5" i="61"/>
  <c r="BI5" i="61" s="1"/>
  <c r="BI4" i="61" s="1"/>
  <c r="F12" i="61" s="1"/>
  <c r="BD5" i="61"/>
  <c r="AV5" i="74"/>
  <c r="BA5" i="74"/>
  <c r="BB5" i="74" s="1"/>
  <c r="AW5" i="74"/>
  <c r="BE11" i="68"/>
  <c r="BF11" i="68"/>
  <c r="BJ11" i="68"/>
  <c r="BK11" i="68" s="1"/>
  <c r="BD12" i="60"/>
  <c r="BE12" i="60"/>
  <c r="BH12" i="60"/>
  <c r="BI12" i="60" s="1"/>
  <c r="N207" i="2" l="1"/>
  <c r="F207" i="2" s="1"/>
  <c r="I207" i="2" s="1"/>
  <c r="G449" i="2" s="1"/>
  <c r="BK4" i="69"/>
  <c r="BK4" i="82"/>
  <c r="BB4" i="69"/>
  <c r="F13" i="69" s="1"/>
  <c r="BH14" i="60"/>
  <c r="BI14" i="60" s="1"/>
  <c r="BD14" i="60"/>
  <c r="BE14" i="60"/>
  <c r="BF29" i="73"/>
  <c r="BE29" i="73"/>
  <c r="BJ29" i="73"/>
  <c r="BK29" i="73" s="1"/>
  <c r="BD14" i="47"/>
  <c r="BE14" i="47"/>
  <c r="BH14" i="47"/>
  <c r="BI14" i="47" s="1"/>
  <c r="AV17" i="67"/>
  <c r="BA17" i="67"/>
  <c r="BB17" i="67" s="1"/>
  <c r="AW17" i="67"/>
  <c r="BF29" i="1"/>
  <c r="BJ29" i="1"/>
  <c r="BK29" i="1" s="1"/>
  <c r="BE29" i="1"/>
  <c r="BH13" i="60"/>
  <c r="BI13" i="60" s="1"/>
  <c r="BD13" i="60"/>
  <c r="BE13" i="60"/>
  <c r="BF48" i="78"/>
  <c r="BJ48" i="78"/>
  <c r="BK48" i="78" s="1"/>
  <c r="BE48" i="78"/>
  <c r="AV16" i="70"/>
  <c r="AW16" i="70"/>
  <c r="BA16" i="70"/>
  <c r="BB16" i="70" s="1"/>
  <c r="BB4" i="70" s="1"/>
  <c r="F13" i="70" s="1"/>
  <c r="AW21" i="80"/>
  <c r="BA21" i="80"/>
  <c r="BB21" i="80" s="1"/>
  <c r="AV21" i="80"/>
  <c r="BE28" i="1"/>
  <c r="BF28" i="1"/>
  <c r="BJ28" i="1"/>
  <c r="BK28" i="1" s="1"/>
  <c r="BE12" i="61"/>
  <c r="BH12" i="61"/>
  <c r="BI12" i="61" s="1"/>
  <c r="BD12" i="61"/>
  <c r="BH12" i="47"/>
  <c r="BI12" i="47" s="1"/>
  <c r="BE12" i="47"/>
  <c r="BD12" i="47"/>
  <c r="AW15" i="81"/>
  <c r="BA15" i="81"/>
  <c r="BB15" i="81" s="1"/>
  <c r="AV15" i="81"/>
  <c r="BH14" i="64"/>
  <c r="BI14" i="64" s="1"/>
  <c r="BD14" i="64"/>
  <c r="BE14" i="64"/>
  <c r="AW17" i="81"/>
  <c r="BA17" i="81"/>
  <c r="BB17" i="81" s="1"/>
  <c r="BB4" i="81" s="1"/>
  <c r="F13" i="81" s="1"/>
  <c r="AV17" i="81"/>
  <c r="BE24" i="68"/>
  <c r="BF24" i="68"/>
  <c r="BJ24" i="68"/>
  <c r="BK24" i="68" s="1"/>
  <c r="BK4" i="68" s="1"/>
  <c r="AV17" i="73"/>
  <c r="BA17" i="73"/>
  <c r="BB17" i="73" s="1"/>
  <c r="AW17" i="73"/>
  <c r="BF29" i="74"/>
  <c r="BJ29" i="74"/>
  <c r="BK29" i="74" s="1"/>
  <c r="BE29" i="74"/>
  <c r="BA17" i="1"/>
  <c r="BB17" i="1" s="1"/>
  <c r="AW17" i="1"/>
  <c r="AV17" i="1"/>
  <c r="BA17" i="70"/>
  <c r="BB17" i="70" s="1"/>
  <c r="AV17" i="70"/>
  <c r="AW17" i="70"/>
  <c r="AW16" i="67"/>
  <c r="BA16" i="67"/>
  <c r="BB16" i="67" s="1"/>
  <c r="AV16" i="67"/>
  <c r="BH13" i="64"/>
  <c r="BI13" i="64" s="1"/>
  <c r="BD13" i="64"/>
  <c r="BE13" i="64"/>
  <c r="AV16" i="74"/>
  <c r="AW16" i="74"/>
  <c r="BA16" i="74"/>
  <c r="BB16" i="74" s="1"/>
  <c r="AV16" i="81"/>
  <c r="BA16" i="81"/>
  <c r="BB16" i="81" s="1"/>
  <c r="AW16" i="81"/>
  <c r="BH13" i="47"/>
  <c r="BI13" i="47" s="1"/>
  <c r="BD13" i="47"/>
  <c r="BE13" i="47"/>
  <c r="BE28" i="70"/>
  <c r="BF28" i="70"/>
  <c r="BJ28" i="70"/>
  <c r="BK28" i="70" s="1"/>
  <c r="BE23" i="71"/>
  <c r="BF23" i="71"/>
  <c r="BJ23" i="71"/>
  <c r="BK23" i="71" s="1"/>
  <c r="AV25" i="78"/>
  <c r="BA25" i="78"/>
  <c r="BB25" i="78" s="1"/>
  <c r="AW25" i="78"/>
  <c r="AV15" i="70"/>
  <c r="AW15" i="70"/>
  <c r="BA15" i="70"/>
  <c r="BB15" i="70" s="1"/>
  <c r="BJ49" i="78"/>
  <c r="BK49" i="78" s="1"/>
  <c r="BK4" i="78" s="1"/>
  <c r="BE49" i="78"/>
  <c r="BF49" i="78"/>
  <c r="BA27" i="78"/>
  <c r="BB27" i="78" s="1"/>
  <c r="AV27" i="78"/>
  <c r="AW27" i="78"/>
  <c r="AV22" i="80"/>
  <c r="AW22" i="80"/>
  <c r="BA22" i="80"/>
  <c r="BB22" i="80" s="1"/>
  <c r="BJ29" i="67"/>
  <c r="BK29" i="67" s="1"/>
  <c r="BF29" i="67"/>
  <c r="BE29" i="67"/>
  <c r="BJ24" i="66"/>
  <c r="BK24" i="66" s="1"/>
  <c r="BK4" i="66" s="1"/>
  <c r="BF24" i="66"/>
  <c r="BE24" i="66"/>
  <c r="BE40" i="80"/>
  <c r="BJ40" i="80"/>
  <c r="BK40" i="80" s="1"/>
  <c r="BK4" i="80" s="1"/>
  <c r="BF40" i="80"/>
  <c r="AV17" i="74"/>
  <c r="AW17" i="74"/>
  <c r="BA17" i="74"/>
  <c r="BB17" i="74" s="1"/>
  <c r="BJ28" i="74"/>
  <c r="BK28" i="74" s="1"/>
  <c r="BE28" i="74"/>
  <c r="BF28" i="74"/>
  <c r="BJ28" i="81"/>
  <c r="BK28" i="81" s="1"/>
  <c r="BK4" i="81" s="1"/>
  <c r="BF28" i="81"/>
  <c r="BE28" i="81"/>
  <c r="BF28" i="67"/>
  <c r="BE28" i="67"/>
  <c r="BJ28" i="67"/>
  <c r="BK28" i="67" s="1"/>
  <c r="BF28" i="73"/>
  <c r="BE28" i="73"/>
  <c r="BJ28" i="73"/>
  <c r="BK28" i="73" s="1"/>
  <c r="BK4" i="73" s="1"/>
  <c r="AV16" i="73"/>
  <c r="AW16" i="73"/>
  <c r="BA16" i="73"/>
  <c r="BB16" i="73" s="1"/>
  <c r="BE27" i="1"/>
  <c r="BF27" i="1"/>
  <c r="BJ27" i="1"/>
  <c r="BK27" i="1" s="1"/>
  <c r="BH12" i="64"/>
  <c r="BI12" i="64" s="1"/>
  <c r="BD12" i="64"/>
  <c r="BE12" i="64"/>
  <c r="BA15" i="67"/>
  <c r="BB15" i="67" s="1"/>
  <c r="BB4" i="67" s="1"/>
  <c r="F13" i="67" s="1"/>
  <c r="AV15" i="67"/>
  <c r="AW15" i="67"/>
  <c r="AW15" i="1"/>
  <c r="AV15" i="1"/>
  <c r="BA15" i="1"/>
  <c r="BB15" i="1" s="1"/>
  <c r="BE27" i="81"/>
  <c r="BJ27" i="81"/>
  <c r="BK27" i="81" s="1"/>
  <c r="BF27" i="81"/>
  <c r="BE29" i="81"/>
  <c r="BJ29" i="81"/>
  <c r="BK29" i="81" s="1"/>
  <c r="BF29" i="81"/>
  <c r="AW14" i="66"/>
  <c r="BA14" i="66"/>
  <c r="BB14" i="66" s="1"/>
  <c r="AV14" i="66"/>
  <c r="BA13" i="68"/>
  <c r="BB13" i="68" s="1"/>
  <c r="AV13" i="68"/>
  <c r="AW13" i="68"/>
  <c r="BF24" i="71"/>
  <c r="BJ24" i="71"/>
  <c r="BK24" i="71" s="1"/>
  <c r="BE24" i="71"/>
  <c r="BE29" i="70"/>
  <c r="BF29" i="70"/>
  <c r="BJ29" i="70"/>
  <c r="BK29" i="70" s="1"/>
  <c r="BH14" i="61"/>
  <c r="BI14" i="61" s="1"/>
  <c r="BD14" i="61"/>
  <c r="BE14" i="61"/>
  <c r="AW14" i="71"/>
  <c r="AV14" i="71"/>
  <c r="BA14" i="71"/>
  <c r="BB14" i="71" s="1"/>
  <c r="BJ23" i="66"/>
  <c r="BK23" i="66" s="1"/>
  <c r="BE23" i="66"/>
  <c r="BF23" i="66"/>
  <c r="BA13" i="66"/>
  <c r="BB13" i="66" s="1"/>
  <c r="AW13" i="66"/>
  <c r="AV13" i="66"/>
  <c r="BA13" i="71"/>
  <c r="BB13" i="71" s="1"/>
  <c r="AV13" i="71"/>
  <c r="AW13" i="71"/>
  <c r="BE39" i="80"/>
  <c r="BJ39" i="80"/>
  <c r="BK39" i="80" s="1"/>
  <c r="BF39" i="80"/>
  <c r="BD13" i="61"/>
  <c r="BE13" i="61"/>
  <c r="BH13" i="61"/>
  <c r="BI13" i="61" s="1"/>
  <c r="AW16" i="1"/>
  <c r="BA16" i="1"/>
  <c r="BB16" i="1" s="1"/>
  <c r="AV16" i="1"/>
  <c r="AW26" i="78"/>
  <c r="AV26" i="78"/>
  <c r="BA26" i="78"/>
  <c r="BB26" i="78" s="1"/>
  <c r="BF27" i="74"/>
  <c r="BE27" i="74"/>
  <c r="BJ27" i="74"/>
  <c r="BK27" i="74" s="1"/>
  <c r="BK4" i="74" s="1"/>
  <c r="AW15" i="74"/>
  <c r="AV15" i="74"/>
  <c r="BA15" i="74"/>
  <c r="BB15" i="74" s="1"/>
  <c r="BE27" i="73"/>
  <c r="BF27" i="73"/>
  <c r="BJ27" i="73"/>
  <c r="BK27" i="73" s="1"/>
  <c r="BF27" i="67"/>
  <c r="BE27" i="67"/>
  <c r="BJ27" i="67"/>
  <c r="BK27" i="67" s="1"/>
  <c r="BK4" i="67" s="1"/>
  <c r="BK4" i="75"/>
  <c r="BB4" i="66"/>
  <c r="F13" i="66" s="1"/>
  <c r="BK4" i="77"/>
  <c r="BB4" i="80"/>
  <c r="F13" i="80" s="1"/>
  <c r="BB4" i="73"/>
  <c r="F13" i="73" s="1"/>
  <c r="BI4" i="47"/>
  <c r="F12" i="47" s="1"/>
  <c r="BB4" i="77"/>
  <c r="F13" i="77" s="1"/>
  <c r="BB4" i="68"/>
  <c r="F13" i="68" s="1"/>
  <c r="BI4" i="60"/>
  <c r="F12" i="60" s="1"/>
  <c r="BB4" i="1"/>
  <c r="F13" i="1" s="1"/>
  <c r="BK4" i="1"/>
  <c r="BK4" i="70"/>
  <c r="BK4" i="76"/>
  <c r="BB4" i="74" l="1"/>
  <c r="F13" i="74" s="1"/>
  <c r="BB4" i="71"/>
  <c r="F13" i="71" s="1"/>
  <c r="BB4" i="78"/>
  <c r="F13" i="78" s="1"/>
  <c r="BK4" i="71"/>
</calcChain>
</file>

<file path=xl/comments1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0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1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2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3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4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5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6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17.xml><?xml version="1.0" encoding="utf-8"?>
<comments xmlns="http://schemas.openxmlformats.org/spreadsheetml/2006/main">
  <authors>
    <author>Jiří Kopenec</author>
  </authors>
  <commentList>
    <comment ref="F22" authorId="0" shapeId="0">
      <text>
        <r>
          <rPr>
            <b/>
            <sz val="12"/>
            <color indexed="81"/>
            <rFont val="Arial"/>
            <family val="2"/>
            <charset val="238"/>
          </rPr>
          <t xml:space="preserve">Odfiltrujte prázdné řádky
</t>
        </r>
        <r>
          <rPr>
            <b/>
            <sz val="10"/>
            <color indexed="81"/>
            <rFont val="Arial"/>
            <family val="2"/>
            <charset val="238"/>
          </rPr>
          <t>zrušte zatržítko u poslední
volby '(Prázné)'</t>
        </r>
      </text>
    </comment>
    <comment ref="F187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188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189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203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  <comment ref="F281" authorId="0" shapeId="0">
      <text>
        <r>
          <rPr>
            <b/>
            <sz val="12"/>
            <color indexed="10"/>
            <rFont val="Arial"/>
            <family val="2"/>
            <charset val="238"/>
          </rPr>
          <t>Máš upravený počet ks ?</t>
        </r>
      </text>
    </comment>
  </commentList>
</comments>
</file>

<file path=xl/comments2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3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4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5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6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7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8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comments9.xml><?xml version="1.0" encoding="utf-8"?>
<comments xmlns="http://schemas.openxmlformats.org/spreadsheetml/2006/main">
  <authors>
    <author>Jiří Kopenec</author>
  </authors>
  <commentList>
    <comment ref="AW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podľa tohto sa vyfarbuje pole, či sa jedná o sety, alebo veľkobalenia
</t>
        </r>
      </text>
    </comment>
  </commentList>
</comments>
</file>

<file path=xl/sharedStrings.xml><?xml version="1.0" encoding="utf-8"?>
<sst xmlns="http://schemas.openxmlformats.org/spreadsheetml/2006/main" count="3075" uniqueCount="1237">
  <si>
    <t>Jmenovitá délka:</t>
  </si>
  <si>
    <t>30 kg</t>
  </si>
  <si>
    <t>50 kg</t>
  </si>
  <si>
    <t>25 kg</t>
  </si>
  <si>
    <t>čiastočný výsuv</t>
  </si>
  <si>
    <t>plnovýsuv</t>
  </si>
  <si>
    <t>částečný výsuv</t>
  </si>
  <si>
    <t>CZK</t>
  </si>
  <si>
    <t>SK</t>
  </si>
  <si>
    <t>Menovitá dĺžka:</t>
  </si>
  <si>
    <t xml:space="preserve"> Úvod</t>
  </si>
  <si>
    <t xml:space="preserve"> Výběr doplňků</t>
  </si>
  <si>
    <t xml:space="preserve"> Objednávka</t>
  </si>
  <si>
    <t xml:space="preserve"> Základní údaje</t>
  </si>
  <si>
    <t>Údaje pro objednávku, zadání slevy od prodejce</t>
  </si>
  <si>
    <t>Pokračovat na:</t>
  </si>
  <si>
    <t>Zpět na:</t>
  </si>
  <si>
    <t xml:space="preserve"> Základné údaje</t>
  </si>
  <si>
    <t>Údaje pre objednávku, zadanie zľavy od predajcu</t>
  </si>
  <si>
    <t>Pokračovať na:</t>
  </si>
  <si>
    <t xml:space="preserve"> Výber doplnkov</t>
  </si>
  <si>
    <t xml:space="preserve"> Výber EASYS</t>
  </si>
  <si>
    <t>Späť na:</t>
  </si>
  <si>
    <t>bočnice:</t>
  </si>
  <si>
    <t>strieborná</t>
  </si>
  <si>
    <t>na skrutky</t>
  </si>
  <si>
    <t>bočnica:</t>
  </si>
  <si>
    <t>chrbát:</t>
  </si>
  <si>
    <t>farba:</t>
  </si>
  <si>
    <t>čelné kovanie:</t>
  </si>
  <si>
    <t>cena kovania:</t>
  </si>
  <si>
    <t xml:space="preserve"> Nápověda</t>
  </si>
  <si>
    <t>1.0.0</t>
  </si>
  <si>
    <t>Prodejce:</t>
  </si>
  <si>
    <t>Zpět na úvod</t>
  </si>
  <si>
    <t>Název</t>
  </si>
  <si>
    <t>Číslo artiklu</t>
  </si>
  <si>
    <t>Jednotková cena</t>
  </si>
  <si>
    <t>balenie</t>
  </si>
  <si>
    <t>MALOBALENIE :</t>
  </si>
  <si>
    <t>VELKOBALENIE:</t>
  </si>
  <si>
    <t>Odběratel</t>
  </si>
  <si>
    <t>Objednávka</t>
  </si>
  <si>
    <t>Dodací adresa</t>
  </si>
  <si>
    <t>Telefon, fax, e-mail</t>
  </si>
  <si>
    <t>Číslo objednávky</t>
  </si>
  <si>
    <t>Zakázka</t>
  </si>
  <si>
    <t>Počet</t>
  </si>
  <si>
    <t>Celkem</t>
  </si>
  <si>
    <t>Změna</t>
  </si>
  <si>
    <t>kusy</t>
  </si>
  <si>
    <t>celkem</t>
  </si>
  <si>
    <t>SD</t>
  </si>
  <si>
    <t xml:space="preserve">Cena celkem bez DPH </t>
  </si>
  <si>
    <t xml:space="preserve"> </t>
  </si>
  <si>
    <t>Poznámka:</t>
  </si>
  <si>
    <t xml:space="preserve"> Výběr EASYS</t>
  </si>
  <si>
    <t>Adresa</t>
  </si>
  <si>
    <t xml:space="preserve">Sleva od prodejce [%]: </t>
  </si>
  <si>
    <t>Odberateľ</t>
  </si>
  <si>
    <t>Dodacia adresa</t>
  </si>
  <si>
    <t>Telefón, fax, e-mail</t>
  </si>
  <si>
    <t xml:space="preserve">Zľava od predajcu [%]: </t>
  </si>
  <si>
    <t>Zákazka</t>
  </si>
  <si>
    <t>Názov</t>
  </si>
  <si>
    <t>balení</t>
  </si>
  <si>
    <t>Celkom</t>
  </si>
  <si>
    <t>Zmena</t>
  </si>
  <si>
    <t>na vruty</t>
  </si>
  <si>
    <t xml:space="preserve">Verze </t>
  </si>
  <si>
    <t>barva:</t>
  </si>
  <si>
    <t>čelní kování:</t>
  </si>
  <si>
    <t>Sleva %</t>
  </si>
  <si>
    <t>Formulář pro identifikační údaje</t>
  </si>
  <si>
    <t xml:space="preserve"> Nápoveda</t>
  </si>
  <si>
    <t>Verzia</t>
  </si>
  <si>
    <t>Cenová hladina:</t>
  </si>
  <si>
    <t>Zľava %</t>
  </si>
  <si>
    <t>stříbrná</t>
  </si>
  <si>
    <t>bílá</t>
  </si>
  <si>
    <t>biela</t>
  </si>
  <si>
    <t>antracit</t>
  </si>
  <si>
    <t>s rozpěrnými pouzdry</t>
  </si>
  <si>
    <t>s rozpernými púzdrami</t>
  </si>
  <si>
    <t>záda:</t>
  </si>
  <si>
    <t>cena kování:</t>
  </si>
  <si>
    <t>Formulár pre identifikačné údaje</t>
  </si>
  <si>
    <t>Späť na úvod</t>
  </si>
  <si>
    <t>Predajca:</t>
  </si>
  <si>
    <t>Před prvním spuštěním:</t>
  </si>
  <si>
    <t>Nápověda</t>
  </si>
  <si>
    <t>Úvod</t>
  </si>
  <si>
    <t>Pred prvým spustením:</t>
  </si>
  <si>
    <t>Základní ceny</t>
  </si>
  <si>
    <t>Základné ceny</t>
  </si>
  <si>
    <t>Nákupné ceny</t>
  </si>
  <si>
    <t>Nákupní ceny</t>
  </si>
  <si>
    <t>S volitelnou slevou</t>
  </si>
  <si>
    <t>S voliteľnou zľavou</t>
  </si>
  <si>
    <t>Ceny se slevou od prodejce [Základní údaje]</t>
  </si>
  <si>
    <t>Nastavit</t>
  </si>
  <si>
    <t>Nastaviť</t>
  </si>
  <si>
    <t>Ceny so zľavou od predajcu [Základné údaje]</t>
  </si>
  <si>
    <t>Nápoveda</t>
  </si>
  <si>
    <t>Tip:</t>
  </si>
  <si>
    <t>chróm</t>
  </si>
  <si>
    <t>nerez finiš</t>
  </si>
  <si>
    <t>barva relingu:</t>
  </si>
  <si>
    <t>farba relingu:</t>
  </si>
  <si>
    <t>veľkobalenia</t>
  </si>
  <si>
    <t xml:space="preserve"> Quadro V6 / SiSy</t>
  </si>
  <si>
    <t xml:space="preserve"> Quadro V6+ / SiSy</t>
  </si>
  <si>
    <t xml:space="preserve"> Quadro 30 / SiSy</t>
  </si>
  <si>
    <t xml:space="preserve"> Quadro V6 / P2O</t>
  </si>
  <si>
    <t xml:space="preserve"> Quadro V6+ / P2O</t>
  </si>
  <si>
    <t>zásuvka základná</t>
  </si>
  <si>
    <t>výška chrbátu :</t>
  </si>
  <si>
    <t>flexibilné sety</t>
  </si>
  <si>
    <t>STOP CONTROL - samodovieranie</t>
  </si>
  <si>
    <t>SILENT SYSTEM - s tlmením</t>
  </si>
  <si>
    <t>PUSH-TO-OPEN - bez úchytkové</t>
  </si>
  <si>
    <t>Kód predajcu</t>
  </si>
  <si>
    <t>Sklad</t>
  </si>
  <si>
    <t xml:space="preserve"> Základné údaje // Nápoveda</t>
  </si>
  <si>
    <t xml:space="preserve"> Výběr zásuvek</t>
  </si>
  <si>
    <t xml:space="preserve"> Výber zásuviek</t>
  </si>
  <si>
    <t>Vpred na:</t>
  </si>
  <si>
    <t>Vpřed na:</t>
  </si>
  <si>
    <t>Vybrané</t>
  </si>
  <si>
    <t>Vybraté</t>
  </si>
  <si>
    <t>ATIRA</t>
  </si>
  <si>
    <t>výška bočnice :</t>
  </si>
  <si>
    <t>zásuvka s TopSide oceľ.</t>
  </si>
  <si>
    <t>zásuvka s TopSide sklen.</t>
  </si>
  <si>
    <t>zásuvka s 2x relingom</t>
  </si>
  <si>
    <t>zásuvka s 2x relingem</t>
  </si>
  <si>
    <t>zásuvka s TopSide ocel.</t>
  </si>
  <si>
    <t>zásuvka s TopSide skleň.</t>
  </si>
  <si>
    <t>výška zad :</t>
  </si>
  <si>
    <r>
      <rPr>
        <sz val="16"/>
        <color indexed="8"/>
        <rFont val="Arial"/>
        <family val="2"/>
        <charset val="238"/>
      </rPr>
      <t>Zásuvka</t>
    </r>
    <r>
      <rPr>
        <b/>
        <sz val="16"/>
        <color indexed="8"/>
        <rFont val="Arial"/>
        <family val="2"/>
        <charset val="238"/>
      </rPr>
      <t xml:space="preserve"> ATIRA 144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</si>
  <si>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70</t>
    </r>
  </si>
  <si>
    <t>STOP CONTROL - samodovírání</t>
  </si>
  <si>
    <t>SILENT SYSTEM - s tlumením</t>
  </si>
  <si>
    <t>flexibilní sety</t>
  </si>
  <si>
    <t>velkobalení</t>
  </si>
  <si>
    <t>Fakturační adresa</t>
  </si>
  <si>
    <t>Fakturačná adresa</t>
  </si>
  <si>
    <t>IČO</t>
  </si>
  <si>
    <t>DIČ / IČDPH</t>
  </si>
  <si>
    <t>Kód prodejce</t>
  </si>
  <si>
    <t>Platnost cenníka od</t>
  </si>
  <si>
    <t>Platnosť cenníku od</t>
  </si>
  <si>
    <t>&lt;&lt;  zpět</t>
  </si>
  <si>
    <t>vpřed  &gt;&gt;</t>
  </si>
  <si>
    <t>&lt;&lt;  späť</t>
  </si>
  <si>
    <t>vpred  &gt;&gt;</t>
  </si>
  <si>
    <t>Čelo na vnútornú zásuvku</t>
  </si>
  <si>
    <t>vonkajšie rozmery zásuvkovej skrinky [mm]</t>
  </si>
  <si>
    <t>Šírka korpusu:</t>
  </si>
  <si>
    <t>Čelo na vnitřní zásuvku</t>
  </si>
  <si>
    <t>vnější rozměry zásuvkové skřínky [mm]</t>
  </si>
  <si>
    <t>Šířka korpusu:</t>
  </si>
  <si>
    <t>Je potrebné vybrať</t>
  </si>
  <si>
    <t>Je potřebné vybrat</t>
  </si>
  <si>
    <t>ks vnitřních čel.</t>
  </si>
  <si>
    <t>ks vnútorných čiel.</t>
  </si>
  <si>
    <t>Vybral si o</t>
  </si>
  <si>
    <t>ks vnútorných čiel VIACEJ.</t>
  </si>
  <si>
    <t>Vybral jsi o</t>
  </si>
  <si>
    <t>ks vnitřních čel VÍCE.</t>
  </si>
  <si>
    <t>Ešte CHÝBA vybrať</t>
  </si>
  <si>
    <t>Ešte CHYBÍ vybrat</t>
  </si>
  <si>
    <t>Počet vnútorných čiel teraz pasuje s počtom zásuviek.</t>
  </si>
  <si>
    <t>Ku každej zásuvke je uvažované jedno predné 2m hliníkové čelo.</t>
  </si>
  <si>
    <t>Ke každé zásuvce je uvažované jedno přední 2m hliníkové čelo.</t>
  </si>
  <si>
    <t>Je nutné vybrať sklenené čelá podľa rozmerov skriniek !</t>
  </si>
  <si>
    <t>Je nutné vybrat skleněné čela podle rozměrů skříněk !</t>
  </si>
  <si>
    <t>Pre výber kliknu tu.</t>
  </si>
  <si>
    <t>Pro výběr kliknu zde.</t>
  </si>
  <si>
    <t>Ku každej zásuvke je uvažované jedno predné 2m hliníkové čelo a priečný reling.</t>
  </si>
  <si>
    <t>Ke každé zásuvce je uvažované jedno přední 2m hliníkové čelo a příčny reling.</t>
  </si>
  <si>
    <t>vonkajšia šírka skrinky</t>
  </si>
  <si>
    <t>šírka výlisku</t>
  </si>
  <si>
    <t>370 - 440</t>
  </si>
  <si>
    <t>441 - 520</t>
  </si>
  <si>
    <t>581 - 620</t>
  </si>
  <si>
    <t>175 - 200</t>
  </si>
  <si>
    <t>201 - 250</t>
  </si>
  <si>
    <t>251 - 300</t>
  </si>
  <si>
    <t>301 - 350</t>
  </si>
  <si>
    <t>351 - 400</t>
  </si>
  <si>
    <t>401 - 450</t>
  </si>
  <si>
    <t>451 - 500</t>
  </si>
  <si>
    <t>601 - 600</t>
  </si>
  <si>
    <t>601 - 700</t>
  </si>
  <si>
    <t>701 - 800</t>
  </si>
  <si>
    <t>801 - 900</t>
  </si>
  <si>
    <t>901 - 1000</t>
  </si>
  <si>
    <t>1091 - 1150</t>
  </si>
  <si>
    <t>OrgaTray 440 / 480</t>
  </si>
  <si>
    <t>hĺbka zásuvky</t>
  </si>
  <si>
    <t>[ mm ]</t>
  </si>
  <si>
    <t>hĺbka výlisku [mm]</t>
  </si>
  <si>
    <t>vnější šířka skřínky</t>
  </si>
  <si>
    <t>šířka výlisku</t>
  </si>
  <si>
    <t>hloubka výlisku [mm]</t>
  </si>
  <si>
    <t>hloubka zásuvky</t>
  </si>
  <si>
    <t xml:space="preserve"> [ mm ]</t>
  </si>
  <si>
    <t xml:space="preserve">[ mm ] </t>
  </si>
  <si>
    <t>OT440/480</t>
  </si>
  <si>
    <t>Špeciálne zásuvky a špeciálne riešenia</t>
  </si>
  <si>
    <t>zásuvka s relingom a individuálne vysokým chrbátom</t>
  </si>
  <si>
    <t>zásuvka s relingem a individuálně vysokými zády</t>
  </si>
  <si>
    <t>zásuvka veľkokapacitná XXL</t>
  </si>
  <si>
    <t>zásuvka velkokapacitní XXL</t>
  </si>
  <si>
    <t>zásuvka s vybráním pod dřez</t>
  </si>
  <si>
    <t>zásuvka s relingem a s vybráním pod dřez</t>
  </si>
  <si>
    <t>zásuvka s vybraním pod drez</t>
  </si>
  <si>
    <t>zásuvka s relingom a s vybraním pod drez</t>
  </si>
  <si>
    <t>zásuvka velkokapacitní pod sporák</t>
  </si>
  <si>
    <t>zásuvka veľkokapacitná pod šporák</t>
  </si>
  <si>
    <t>alebo</t>
  </si>
  <si>
    <t>nebo</t>
  </si>
  <si>
    <t>potravinová skriňa vysoká výsuvná</t>
  </si>
  <si>
    <t>potravinová skriňa vysoká otváravá</t>
  </si>
  <si>
    <t>potravinová skříň vysoká výsuvná</t>
  </si>
  <si>
    <t>potravinová skříň vysoká otvíravá</t>
  </si>
  <si>
    <t>Koľko úrovňový chceš mať reling ?</t>
  </si>
  <si>
    <t>Kolik úrovňový chceš mít reling ?</t>
  </si>
  <si>
    <t>Prípadnú zmenu na inú dĺžku vykonajte v objednávke.</t>
  </si>
  <si>
    <t>Vnitřní krátke bočnice jsou uvažované v jmenovité délce 260mm.</t>
  </si>
  <si>
    <t>Vnútorné krátke bočnice sú uvažované v menovitej dĺžke 260mm.</t>
  </si>
  <si>
    <t>Případnou změnu na jinou délku vykonejte v objednávce.</t>
  </si>
  <si>
    <t>Jmenovitá délka 470 mm:</t>
  </si>
  <si>
    <t>Menovitá dĺžka 470 mm: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</si>
  <si>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70/144</t>
    </r>
  </si>
  <si>
    <t>Maximální výška korpusu skříňky = 750mm.   Maximální šířka korpusu skříňky = 300mm.</t>
  </si>
  <si>
    <t>Maximálna výška korpusu skrinky = 750mm.   Maximálna šírka korpusu skrinky = 300mm.</t>
  </si>
  <si>
    <t>IT70</t>
  </si>
  <si>
    <t>IT70-vnútorná</t>
  </si>
  <si>
    <t>IT144</t>
  </si>
  <si>
    <t>IT144-vnútorná</t>
  </si>
  <si>
    <t>Je potrebné vybrať vnútorné čelá na</t>
  </si>
  <si>
    <t>Je potřebné vybrat vnitřní čela na</t>
  </si>
  <si>
    <t>Ešte CHÝBA vybrať vnútorné čelá na</t>
  </si>
  <si>
    <t>skriňu (skrine).</t>
  </si>
  <si>
    <t>skříň (skříně).</t>
  </si>
  <si>
    <t>Ešte CHYBÍ vybrat vnitřní čela na</t>
  </si>
  <si>
    <t>Vybral si na</t>
  </si>
  <si>
    <t>Vybral jsi na</t>
  </si>
  <si>
    <t>Počet vnitřních čel nyní pasuje s počtem zásuvek.</t>
  </si>
  <si>
    <t>skriňu (skrine) vnútorných čiel VIACEJ.</t>
  </si>
  <si>
    <t>skříň (skříně) vnitřních čel VÍCE.</t>
  </si>
  <si>
    <t>Případnou úpravu počtu hliníkových čel (profilů) vykonej v objednávce.</t>
  </si>
  <si>
    <t>Případnou úpravu počtu hliníkových čel (profilů) a příčných relingů vykonej v objednávce.</t>
  </si>
  <si>
    <t>Prípadnú úpravu počtu hliníkových čiel (profilov) vykonaj v objednávke.</t>
  </si>
  <si>
    <t>Prípadnú úpravu počtu hliníkových čiel (profilov) a priečnych relingov vykonaj v objednávke.</t>
  </si>
  <si>
    <t xml:space="preserve">Zadaj výšku zľavy [%] </t>
  </si>
  <si>
    <t>Zadaj výšku zľavy</t>
  </si>
  <si>
    <t xml:space="preserve">Zadej výšku slevy [%] </t>
  </si>
  <si>
    <t>Zadej výšku slevy</t>
  </si>
  <si>
    <t>vyber farbu povrchovej úpravy</t>
  </si>
  <si>
    <t>vyber zpôsob montáže čelného kovania</t>
  </si>
  <si>
    <t>vyber barvu povrchové úpravy</t>
  </si>
  <si>
    <t>vyber způsob montáže čelního kování</t>
  </si>
  <si>
    <t>Na úvodnej obrazovke :</t>
  </si>
  <si>
    <t>Na úvodní obrazovce :</t>
  </si>
  <si>
    <t>vyber, aké ceny sa budú zobrazovať:</t>
  </si>
  <si>
    <t>vyber, jaké ceny se budou zobrazovat:</t>
  </si>
  <si>
    <t>V levé části obrazovky vyplň identifikační údaje.</t>
  </si>
  <si>
    <t>Ve střední části vyplň výšku slevy od prodejce.</t>
  </si>
  <si>
    <t>Vrať se na úvod a soubor ulož nebo zavři s potvzením změn.</t>
  </si>
  <si>
    <t>Identifikační údaje se budou zobrazovat v hlavičce objednávky.</t>
  </si>
  <si>
    <t>Identifikačné údaje sa budú zobrazovať v hlavičke objednávky.</t>
  </si>
  <si>
    <t>V strednej časti vyplň výšku zľavy od predajcu.</t>
  </si>
  <si>
    <t>V ľavej časti obrazovky vyplň identifikačné údaje.</t>
  </si>
  <si>
    <t>Vrať sa na úvod a súbor ulož, alebo zatvor s potvdením zmien.</t>
  </si>
  <si>
    <t>základní ceny, tj. ceníkové bez slevy</t>
  </si>
  <si>
    <t>nákupní ceny, tj. ceny se slevou od prodejce</t>
  </si>
  <si>
    <t>základné ceny, tj. cenníkové bez zľavy</t>
  </si>
  <si>
    <t>nákupné ceny, tj. ceny so zľavou od predajcu</t>
  </si>
  <si>
    <t>ceny s volitelnou slevou</t>
  </si>
  <si>
    <t>ceny s voliteľnou zľavou</t>
  </si>
  <si>
    <t>Zadáte-li slevu s mínusovým znamínkem, zobrazí se ceny o tuto hodnotu vyšší.</t>
  </si>
  <si>
    <t>Pokiaľ zadáte zľavu s mínusovým znamienkom, zobrazia sa ceny o túto hodnotu vyššie.</t>
  </si>
  <si>
    <t>…</t>
  </si>
  <si>
    <t xml:space="preserve">V stĺpci "Zmena" môžeš upraviť počty kusov jednotlivých položiek. </t>
  </si>
  <si>
    <t>Po úpravě objednávky odfiltruj prázné řádky pomocí filtru ve sloupci "Počet".</t>
  </si>
  <si>
    <t>Po úprave objednávky odfiltruj prázné riadky pomocou filtru v stĺpci "Počet".</t>
  </si>
  <si>
    <t>Pokud chceš objednávku uložit nebo odeslat jako přílohu, vytvoř nový soubor kliknutím na odkaz  'Vytvořit objednávku'.</t>
  </si>
  <si>
    <t>VYTVORIŤ  OBJEDNÁVKU</t>
  </si>
  <si>
    <t>VYTVOŘIT  OBJEDNÁVKU</t>
  </si>
  <si>
    <t>Pokiaľ chceš objednávku uložiť alebo odoslať ako prílohu, vytvor nový súbor kliknutím na odkaz  'Vytvoriť objednávku'.</t>
  </si>
  <si>
    <r>
      <rPr>
        <sz val="16"/>
        <color indexed="8"/>
        <rFont val="Arial"/>
        <family val="2"/>
        <charset val="238"/>
      </rPr>
      <t>Zásuvka</t>
    </r>
    <r>
      <rPr>
        <b/>
        <sz val="16"/>
        <color indexed="8"/>
        <rFont val="Arial"/>
        <family val="2"/>
        <charset val="238"/>
      </rPr>
      <t xml:space="preserve"> ATIRA 70/144</t>
    </r>
  </si>
  <si>
    <t>Zásuvky uzké</t>
  </si>
  <si>
    <t>Vysoké potravinové skrine</t>
  </si>
  <si>
    <t>Vysoké potravinové skříně</t>
  </si>
  <si>
    <t>IT144-celny-TS-s</t>
  </si>
  <si>
    <t>IT144-celny-DS</t>
  </si>
  <si>
    <t>………………</t>
  </si>
  <si>
    <t>potr-v-R</t>
  </si>
  <si>
    <t>potr-v-TS-o</t>
  </si>
  <si>
    <t>potr-v-DS</t>
  </si>
  <si>
    <t>Nevymazal si vnútorné čelá !</t>
  </si>
  <si>
    <t>Nevymazal jsi vnitřní čela !</t>
  </si>
  <si>
    <t>potr-ot-R</t>
  </si>
  <si>
    <t>potr-ot-DS</t>
  </si>
  <si>
    <t>zásuvky</t>
  </si>
  <si>
    <t>závesy</t>
  </si>
  <si>
    <t>Zásuvky úzké</t>
  </si>
  <si>
    <t>zásuvka s DesignSide</t>
  </si>
  <si>
    <t>275 mm</t>
  </si>
  <si>
    <t>1200 mm</t>
  </si>
  <si>
    <t>370 mm</t>
  </si>
  <si>
    <t>620 mm</t>
  </si>
  <si>
    <t>min.šířka korp.:</t>
  </si>
  <si>
    <t>min.šírka korp.:</t>
  </si>
  <si>
    <t>max.šířka korp.:</t>
  </si>
  <si>
    <t>max.šírka korp.:</t>
  </si>
  <si>
    <t>min.hl.příbor. :</t>
  </si>
  <si>
    <t>max.hl.příbor.:</t>
  </si>
  <si>
    <t>min.hĺb.príbor.:</t>
  </si>
  <si>
    <t>max.hĺb.príbor.: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</si>
  <si>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275 mm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</si>
  <si>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1 200 mm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</si>
  <si>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370 mm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</si>
  <si>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620 mm</t>
    </r>
  </si>
  <si>
    <t>DUPLO-podperka police /chróm.</t>
  </si>
  <si>
    <t>Volné pole</t>
  </si>
  <si>
    <t>Voľné pole</t>
  </si>
  <si>
    <t>jazyk A</t>
  </si>
  <si>
    <t>jazyk B</t>
  </si>
  <si>
    <t>ATR-OrgaTray 440 /h440/š275/antr.</t>
  </si>
  <si>
    <t>ATR-OrgaTray 440 /h440/š300/antr.</t>
  </si>
  <si>
    <t>ATR-OrgaTray 440 /h440/š350/antr.</t>
  </si>
  <si>
    <t>ATR-OrgaTray 440 /h440/š400/antr.</t>
  </si>
  <si>
    <t>ATR-OrgaTray 440 /h440/š450/antr.</t>
  </si>
  <si>
    <t>ATR-OrgaTray 440 /h440/š500/antr.</t>
  </si>
  <si>
    <t>ATR-OrgaTray 440 /h440/š550/antr.</t>
  </si>
  <si>
    <t>ATR-OrgaTray 440 /h440/š600/antr.</t>
  </si>
  <si>
    <t>ATR-OrgaTray 440 /h440/š700/antr.</t>
  </si>
  <si>
    <t>ATR-OrgaTray 440 /h440/š800/antr.</t>
  </si>
  <si>
    <t>ATR-OrgaTray 440 /h440/š900/antr.</t>
  </si>
  <si>
    <t>ATR-OrgaTray 440 /h440/š1000/antr.</t>
  </si>
  <si>
    <t>ATR-OrgaTray 440 /h440/š1200/antr.</t>
  </si>
  <si>
    <t>ATR-OrgaTray 440 /h520/š275/antr.</t>
  </si>
  <si>
    <t>ATR-OrgaTray 440 /h520/š300/antr.</t>
  </si>
  <si>
    <t>ATR-OrgaTray 440 /h520/š350/antr.</t>
  </si>
  <si>
    <t>ATR-OrgaTray 440 /h520/š400/antr.</t>
  </si>
  <si>
    <t>ATR-OrgaTray 440 /h520/š450/antr.</t>
  </si>
  <si>
    <t>ATR-OrgaTray 440 /h520/š500/antr.</t>
  </si>
  <si>
    <t>ATR-OrgaTray 440 /h520/š550/antr.</t>
  </si>
  <si>
    <t>ATR-OrgaTray 440 /h520/š600/antr.</t>
  </si>
  <si>
    <t>ATR-OrgaTray 440 /h520/š700/antr.</t>
  </si>
  <si>
    <t>ATR-OrgaTray 440 /h520/š800/antr.</t>
  </si>
  <si>
    <t>ATR-OrgaTray 440 /h520/š900/antr.</t>
  </si>
  <si>
    <t>ATR-OrgaTray 440 /h520/š1000/antr.</t>
  </si>
  <si>
    <t>ATR-OrgaTray 440 /h520/š1200/antr.</t>
  </si>
  <si>
    <t>ATR-OrgaTray 440 /h620/š600/antr.</t>
  </si>
  <si>
    <t>ATR-OrgaTray 440 /h620/š800/antr.</t>
  </si>
  <si>
    <t>ATR-OrgaTray 440 /h620/š900/antr.</t>
  </si>
  <si>
    <t>ATR-OrgaTray 440 /h620/š1000/antr.</t>
  </si>
  <si>
    <t>ATR-OrgaTray 440 /h620/š1200/antr.</t>
  </si>
  <si>
    <t>ATR-OrgaTray 480 /h470/š400/antr.</t>
  </si>
  <si>
    <t>ATR-OrgaTray 480 /h470/š500/antr.</t>
  </si>
  <si>
    <t>ATR-OrgaTray 480 /h470/š550/antr.</t>
  </si>
  <si>
    <t>ATR-OrgaTray 480 /h470/š600/antr.</t>
  </si>
  <si>
    <t>ATR-OrgaTray 480 /h470/š900/antr.</t>
  </si>
  <si>
    <t>Speciální zásuvky a speciální řešení</t>
  </si>
  <si>
    <t>DIČ</t>
  </si>
  <si>
    <t>ATR-OrgaTray 440 /h520/š800/biela</t>
  </si>
  <si>
    <t>ATR-OrgaTray 440 /h520/š900/biela</t>
  </si>
  <si>
    <t>ATR-OrgaTray 440 /h520/š1000/biela</t>
  </si>
  <si>
    <t>ATR-OrgaTray 440 /h520/š1200/biela</t>
  </si>
  <si>
    <t>ATR-OrgaTray 440 /h620/š600/biela</t>
  </si>
  <si>
    <t>ATR-OrgaTray 440 /h620/š700/biela</t>
  </si>
  <si>
    <t>ATR-OrgaTray 440 /h620/š800/biela</t>
  </si>
  <si>
    <t>ATR-OrgaTray 440 /h620/š900/biela</t>
  </si>
  <si>
    <t>ATR-OrgaTray 440 /h620/š1000/biela</t>
  </si>
  <si>
    <t>ATR-OrgaTray 440 /h620/š1200/biela</t>
  </si>
  <si>
    <t>ATR-OrgaTray 480 /h470/š400/biela</t>
  </si>
  <si>
    <t>ATR-OrgaTray 480 /h470/š500/biela</t>
  </si>
  <si>
    <t>ATR-OrgaTray 480 /h470/š550/biela</t>
  </si>
  <si>
    <t>ATR-OrgaTray 480 /h470/š600/biela</t>
  </si>
  <si>
    <t>ATR-OrgaTray 480 /h470/š900/biela</t>
  </si>
  <si>
    <t>ATR-OrgaTray 440 /h620/š700/antr.</t>
  </si>
  <si>
    <t xml:space="preserve"> =SVYHLEDAT(B1038;'[CP_vzor_2016-HSR-news.xlsm]CENÍK'!$B$4:$I$45000;2;NEPRAVDA)</t>
  </si>
  <si>
    <t xml:space="preserve"> =SVYHLEDAT(B1038;'[CP_vzor_2016-HSR-news.xlsm]CENÍK'!$B$4:$I$45000;8;NEPRAVDA)</t>
  </si>
  <si>
    <t xml:space="preserve"> =SVYHLEDAT(B1038;'[CP_vzor_2016-HSR-news.xlsm]CENÍK'!$B$4:$I$45000;6;NEPRAVDA)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</si>
  <si>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101</t>
    </r>
  </si>
  <si>
    <t>Actro YOU</t>
  </si>
  <si>
    <t>Quadro YOU</t>
  </si>
  <si>
    <t>10 kg</t>
  </si>
  <si>
    <t>40 kg</t>
  </si>
  <si>
    <t>70 kg</t>
  </si>
  <si>
    <t xml:space="preserve"> Actro YOU 10 / SiSy</t>
  </si>
  <si>
    <t xml:space="preserve"> Actro YOU 40 / SiSy</t>
  </si>
  <si>
    <t xml:space="preserve"> Actro YOU 70 / SiSy</t>
  </si>
  <si>
    <t xml:space="preserve"> Quadro YOU 10 / SiSy</t>
  </si>
  <si>
    <t>spôsob balenia:</t>
  </si>
  <si>
    <t>Zásuvky - 101 mm</t>
  </si>
  <si>
    <t>Zásuvky - 139 mm</t>
  </si>
  <si>
    <t>Zásuvky - 187 mm</t>
  </si>
  <si>
    <t>Zásuvky - 251 mm</t>
  </si>
  <si>
    <t xml:space="preserve">8 - 20 kg </t>
  </si>
  <si>
    <t xml:space="preserve">&lt; 10 kg </t>
  </si>
  <si>
    <t xml:space="preserve">10 - 40 kg </t>
  </si>
  <si>
    <t xml:space="preserve">20 - 70 kg </t>
  </si>
  <si>
    <t xml:space="preserve">10 - 30 kg </t>
  </si>
  <si>
    <t>typ</t>
  </si>
  <si>
    <t>P2O Silent pre Actro</t>
  </si>
  <si>
    <t>P2O Silent pre Quadro</t>
  </si>
  <si>
    <t>ss</t>
  </si>
  <si>
    <t>hliník</t>
  </si>
  <si>
    <t>nerez</t>
  </si>
  <si>
    <t>dub</t>
  </si>
  <si>
    <t>orech</t>
  </si>
  <si>
    <t>dekoratívny profil:</t>
  </si>
  <si>
    <t>žiadna</t>
  </si>
  <si>
    <t>strieborná s logom</t>
  </si>
  <si>
    <t>strieborná bez loga</t>
  </si>
  <si>
    <t>biela s logom</t>
  </si>
  <si>
    <t>biela bez loga</t>
  </si>
  <si>
    <t>antracitová s logom</t>
  </si>
  <si>
    <t>antracitová bez loga</t>
  </si>
  <si>
    <t>krytka:</t>
  </si>
  <si>
    <t>hrúbka boku skrinky:</t>
  </si>
  <si>
    <t>dekorativní profil:</t>
  </si>
  <si>
    <t>vo farbe bočnice</t>
  </si>
  <si>
    <t>v barvě bočnice</t>
  </si>
  <si>
    <t>ořech</t>
  </si>
  <si>
    <t>stříbrná s logem</t>
  </si>
  <si>
    <t>stříbrná bez loga</t>
  </si>
  <si>
    <t>bílá bez loga</t>
  </si>
  <si>
    <t>bílá s logem</t>
  </si>
  <si>
    <t>antracitová s logem</t>
  </si>
  <si>
    <t>tloušťka boku skřínky: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</si>
  <si>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139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</si>
  <si>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187</t>
    </r>
  </si>
  <si>
    <t>AVT 139</t>
  </si>
  <si>
    <t>AVT 187</t>
  </si>
  <si>
    <t>AVT 101</t>
  </si>
  <si>
    <t>AVT 215</t>
  </si>
  <si>
    <t>min.vstavaná výška [mm] :</t>
  </si>
  <si>
    <t>101 mm</t>
  </si>
  <si>
    <t>139 mm</t>
  </si>
  <si>
    <t>187 mm</t>
  </si>
  <si>
    <t>251 mm</t>
  </si>
  <si>
    <t>len SiSy</t>
  </si>
  <si>
    <t xml:space="preserve"> + P2O/SiSy</t>
  </si>
  <si>
    <t>zásuvka ze skleněnou bočnicí</t>
  </si>
  <si>
    <t>zásuvka so sklenenou bočnicou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</si>
  <si>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251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</si>
  <si>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187 Inlay</t>
    </r>
  </si>
  <si>
    <t>AVT 187-In</t>
  </si>
  <si>
    <t>zásuvka nízká (v 77mm)</t>
  </si>
  <si>
    <t>zásuvka nízka (v 77mm)</t>
  </si>
  <si>
    <t>Vnitřní zásuvka - 101 mm s ALU čelem</t>
  </si>
  <si>
    <t>Vnitřní zásuvka - 139 mm s ALU čelem</t>
  </si>
  <si>
    <t>Vnitřní zásuvka - 187 mm s ALU čelem</t>
  </si>
  <si>
    <t>Vnitřní zásuvka - 187 mm se skleněným čelem</t>
  </si>
  <si>
    <t>Vnútorná zásuvka - 101 mm s ALU čelom</t>
  </si>
  <si>
    <t>Vnútorná zásuvka - 139 mm s ALU čelom</t>
  </si>
  <si>
    <t>Vnútorná zásuvka - 187 mm s ALU čelom</t>
  </si>
  <si>
    <t>Je nutné natypovať šírky čiel ?</t>
  </si>
  <si>
    <t>Je nutné natypovat šířky čel ?</t>
  </si>
  <si>
    <t>počet zásuviek</t>
  </si>
  <si>
    <t>počet zadaných čiel</t>
  </si>
  <si>
    <t>potreba čiel v bm (aj s 4mm rezmi)</t>
  </si>
  <si>
    <t>vnútorné s ALU čelom</t>
  </si>
  <si>
    <t>ALU čelo</t>
  </si>
  <si>
    <t>Skleněné čelo</t>
  </si>
  <si>
    <t>Sklenené čelo</t>
  </si>
  <si>
    <t>Vnútorná zásuvka - 187 mm so skleneným čelom</t>
  </si>
  <si>
    <t>nízke čelo = 66 mm</t>
  </si>
  <si>
    <t>vysoké čelo = 130 mm</t>
  </si>
  <si>
    <t>vnut.s sklen. čelom</t>
  </si>
  <si>
    <t>187 In (vnS)</t>
  </si>
  <si>
    <t>187 (vnS)</t>
  </si>
  <si>
    <t>101 (vnA)</t>
  </si>
  <si>
    <t>139 (vnA)</t>
  </si>
  <si>
    <t>187 (vnA)</t>
  </si>
  <si>
    <t xml:space="preserve"> Quadro YOU 30 / SiSy</t>
  </si>
  <si>
    <t xml:space="preserve"> Quadro YOU 30 / P2O</t>
  </si>
  <si>
    <t>jenom SiSy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</si>
  <si>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77</t>
    </r>
  </si>
  <si>
    <t>77 mm</t>
  </si>
  <si>
    <t>AVT 77</t>
  </si>
  <si>
    <t>187 In (vnA)</t>
  </si>
  <si>
    <t>zásuvka úzká spodní 101/187</t>
  </si>
  <si>
    <t>zásuvka uzká spodná 101/187</t>
  </si>
  <si>
    <t>zásuvka úzká spodní 139/187</t>
  </si>
  <si>
    <t>zásuvka uzká spodná 139/187</t>
  </si>
  <si>
    <t>zásuvka úzká spodní 2x187</t>
  </si>
  <si>
    <t>zásuvka uzká spodná 2x187</t>
  </si>
  <si>
    <t>101/187 mm</t>
  </si>
  <si>
    <t>139/187 mm</t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</si>
  <si>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101 + 187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</si>
  <si>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139 + 187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</si>
  <si>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 x 187</t>
    </r>
  </si>
  <si>
    <r>
      <rPr>
        <sz val="10"/>
        <color indexed="9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>2 x 187 Inlay</t>
    </r>
  </si>
  <si>
    <t>cel-101/187</t>
  </si>
  <si>
    <t>cel-139/187</t>
  </si>
  <si>
    <t>cel-2x187</t>
  </si>
  <si>
    <t>cel-2xIn187</t>
  </si>
  <si>
    <t>Konfigurátor   AVANTECH</t>
  </si>
  <si>
    <t>na dno + stabilizátor chrbáta</t>
  </si>
  <si>
    <t>na príchytky čela</t>
  </si>
  <si>
    <t>na chrbát</t>
  </si>
  <si>
    <t>na ALU čelo</t>
  </si>
  <si>
    <t>na Quadro a Actro lišty</t>
  </si>
  <si>
    <t>na 2/2 stabilizátor chrbáta</t>
  </si>
  <si>
    <t>na dno + 1/2 stabilizátor chrbáta</t>
  </si>
  <si>
    <t>Tlačítko "RESET" funguje len pri zapnutej funkcii MAKRO. Pokiaľ nie je zapnutá, musíte polia vymazať ručne.</t>
  </si>
  <si>
    <t>AVANTECH YOU BOKY V SADĚ V77 MM NL400 MM STŘÍBRNÁ</t>
  </si>
  <si>
    <t>AVANTECH YOU BOKY V SADĚ V77 MM NL450 MM STŘÍBRNÁ</t>
  </si>
  <si>
    <t>AVANTECH YOU BOKY V SADĚ V77 MM NL500 MM STŘÍBRNÁ</t>
  </si>
  <si>
    <t>AVANTECH YOU BOKY V SADĚ V77 MM NL550 MM STŘÍBRNÁ</t>
  </si>
  <si>
    <t>AVANTECH YOU BOKY V SADĚ V77 MM NL400 MM BÍLÁ</t>
  </si>
  <si>
    <t>AVANTECH YOU BOKY V SADĚ V77 MM NL450 MM BÍLÁ</t>
  </si>
  <si>
    <t>AVANTECH YOU BOKY V SADĚ V77 MM NL500 MM BÍLÁ</t>
  </si>
  <si>
    <t>AVANTECH YOU BOKY V SADĚ V77 MM NL550 MM BÍLÁ</t>
  </si>
  <si>
    <t>AVANTECH YOU BOKY V SADĚ V77 MM NL400 MM ANTRACITOVÁ</t>
  </si>
  <si>
    <t>AVANTECH YOU BOKY V SADĚ V77 MM NL450 MM ANTRACITOVÁ</t>
  </si>
  <si>
    <t>AVANTECH YOU BOKY V SADĚ V77 MM NL500 MM ANTRACITOVÁ</t>
  </si>
  <si>
    <t>AVANTECH YOU BOKY V SADĚ V77 MM NL550 MM ANTRACITOVÁ</t>
  </si>
  <si>
    <t>SPOJOVACI ÚHELNÍK 31X31 MM</t>
  </si>
  <si>
    <t>AVANTECH YOU BOK V77 MM NL400 MM STŘÍBRNÝ LEVÝ</t>
  </si>
  <si>
    <t>AVANTECH YOU BOK V77 MM NL400 MM STŘÍBRNÝ PRAVÝ</t>
  </si>
  <si>
    <t>AVANTECH YOU BOK V77 MM NL450 MM STŘÍBRNÝ LEVÝ</t>
  </si>
  <si>
    <t>AVANTECH YOU BOK V77 MM NL450 MM STŘÍBRNÝ PRAVÝ</t>
  </si>
  <si>
    <t>AVANTECH YOU BOK V77 MM NL500 MM STŘÍBRNÝ LEVÝ</t>
  </si>
  <si>
    <t>AVANTECH YOU BOK V77 MM NL500 MM STŘÍBRNÝ PRAVÝ</t>
  </si>
  <si>
    <t>AVANTECH YOU BOK V77 MM NL550 MM STŘÍBRNÝ LEVÝ</t>
  </si>
  <si>
    <t>AVANTECH YOU BOK V77 MM NL550 MM STŘÍBRNÝ PRAVÝ</t>
  </si>
  <si>
    <t>AVANTECH YOU BOK V77 MM NL400 MM BÍLÝ LEVÝ</t>
  </si>
  <si>
    <t>AVANTECH YOU BOK V77 MM NL400 MM BÍLÝ PRAVÝ</t>
  </si>
  <si>
    <t>AVANTECH YOU BOK V77 MM NL450 MM BÍLÝ LEVÝ</t>
  </si>
  <si>
    <t>AVANTECH YOU BOK V77 MM NL450 MM BÍLÝ PRAVÝ</t>
  </si>
  <si>
    <t>AVANTECH YOU BOK V77 MM NL500 MM BÍLÝ LEVÝ</t>
  </si>
  <si>
    <t>AVANTECH YOU BOK V77 MM NL500 MM BÍLÝ PRAVÝ</t>
  </si>
  <si>
    <t>AVANTECH YOU BOK V77 MM NL550 MM BÍLÝ LEVÝ</t>
  </si>
  <si>
    <t>AVANTECH YOU BOK V77 MM NL550 MM BÍLÝ PRAVÝ</t>
  </si>
  <si>
    <t>AVANTECH YOU BOK V77 MM NL400 MM ANTRACITOVÝ LEVÝ</t>
  </si>
  <si>
    <t>AVANTECH YOU BOK V77 MM NL400 MM ANTRACITOVÝ PRAVÝ</t>
  </si>
  <si>
    <t>AVANTECH YOU BOK V77 MM NL450 MM ANTRACITOVÝ LEVÝ</t>
  </si>
  <si>
    <t>AVANTECH YOU BOK V77 MM NL450 MM ANTRACITOVÝ PRAVÝ</t>
  </si>
  <si>
    <t>AVANTECH YOU BOK V77 MM NL500 MM ANTRACITOVÝ LEVÝ</t>
  </si>
  <si>
    <t>AVANTECH YOU BOK V77 MM NL500 MM ANTRACITOVÝ PRAVÝ</t>
  </si>
  <si>
    <t>AVANTECH YOU BOK V77 MM NL550 MM ANTRACITOVÝ LEVÝ</t>
  </si>
  <si>
    <t>AVANTECH YOU BOK V77 MM NL550 MM ANTRACITOVÝ PRAVÝ</t>
  </si>
  <si>
    <t>AVANTECH YOU PŘÍCHYTKA ČELA V77 MM K NAŠROUBOVÁNÍ</t>
  </si>
  <si>
    <t>AVANTECH YOU PŘÍCHYTKA ČELA V77 MM K ZALISOVÁNÍ</t>
  </si>
  <si>
    <t>AVANTECH YOU BOKY V SADĚ V101 MM NL270 MM STŘÍBRNÁ</t>
  </si>
  <si>
    <t>AVANTECH YOU BOKY V SADĚ V101 MM NL300 MM STŘÍBRNÁ</t>
  </si>
  <si>
    <t>AVANTECH YOU BOKY V SADĚ V101 MM NL350 MM STŘÍBRNÁ</t>
  </si>
  <si>
    <t>AVANTECH YOU BOKY V SADĚ V101 MM NL400 MM STŘÍBRNÁ</t>
  </si>
  <si>
    <t>AVANTECH YOU BOKY V SADĚ V101 MM NL450 MM STŘÍBRNÁ</t>
  </si>
  <si>
    <t>AVANTECH YOU BOKY V SADĚ V101 MM NL500 MM STŘÍBRNÁ</t>
  </si>
  <si>
    <t>AVANTECH YOU BOKY V SADĚ V101 MM NL550 MM STŘÍBRNÁ</t>
  </si>
  <si>
    <t>AVANTECH YOU BOKY V SADĚ V101 MM NL600 MM STŘÍBRNÁ</t>
  </si>
  <si>
    <t>AVANTECH YOU BOKY V SADĚ V101 MM NL650 MM STŘÍBRNÁ</t>
  </si>
  <si>
    <t>AVANTECH YOU BOKY V SADĚ V101 MM NL270 MM BÍLÁ</t>
  </si>
  <si>
    <t>AVANTECH YOU BOKY V SADĚ V101 MM NL300 MM BÍLÁ</t>
  </si>
  <si>
    <t>AVANTECH YOU BOKY V SADĚ V101 MM NL350 MM BÍLÁ</t>
  </si>
  <si>
    <t>AVANTECH YOU BOKY V SADĚ V101 MM NL400 MM BÍLÁ</t>
  </si>
  <si>
    <t>AVANTECH YOU BOKY V SADĚ V101 MM NL450 MM BÍLÁ</t>
  </si>
  <si>
    <t>AVANTECH YOU BOKY V SADĚ V101 MM NL500 MM BÍLÁ</t>
  </si>
  <si>
    <t>AVANTECH YOU BOKY V SADĚ V101 MM NL550 MM BÍLÁ</t>
  </si>
  <si>
    <t>AVANTECH YOU BOKY V SADĚ V101 MM NL600 MM BÍLÁ</t>
  </si>
  <si>
    <t>AVANTECH YOU BOKY V SADĚ V101 MM NL650 MM BÍLÁ</t>
  </si>
  <si>
    <t xml:space="preserve">AVANTECH YOU BOKY V SADĚ V101 MM NL270 MM ANTRACITOVÁ </t>
  </si>
  <si>
    <t xml:space="preserve">AVANTECH YOU BOKY V SADĚ V101 MM NL300 MM ANTRACITOVÁ </t>
  </si>
  <si>
    <t xml:space="preserve">AVANTECH YOU BOKY V SADĚ V101 MM NL350 MM ANTRACITOVÁ </t>
  </si>
  <si>
    <t xml:space="preserve">AVANTECH YOU BOKY V SADĚ V101 MM NL400 MM ANTRACITOVÁ </t>
  </si>
  <si>
    <t xml:space="preserve">AVANTECH YOU BOKY V SADĚ V101 MM NL450 MM ANTRACITOVÁ </t>
  </si>
  <si>
    <t xml:space="preserve">AVANTECH YOU BOKY V SADĚ V101 MM NL500 MM ANTRACITOVÁ </t>
  </si>
  <si>
    <t xml:space="preserve">AVANTECH YOU BOKY V SADĚ V101 MM NL550 MM ANTRACITOVÁ </t>
  </si>
  <si>
    <t xml:space="preserve">AVANTECH YOU BOKY V SADĚ V101 MM NL600 MM ANTRACITOVÁ </t>
  </si>
  <si>
    <t xml:space="preserve">AVANTECH YOU BOKY V SADĚ V101 MM NL650 MM ANTRACITOVÁ </t>
  </si>
  <si>
    <t>AVANTECH YOU STABILIZÁTOR ZAD V101/139/187/251 MM</t>
  </si>
  <si>
    <t>AVANTECH YOU BOK V101 MM NL270 MM STŘÍBRNÝ LEVÝ</t>
  </si>
  <si>
    <t>AVANTECH YOU BOK V101 MM NL270 MM STŘÍBRNÝ PRAVÝ</t>
  </si>
  <si>
    <t>AVANTECH YOU BOK V101 MM NL300 MM STŘÍBRNÝ LEVÝ</t>
  </si>
  <si>
    <t>AVANTECH YOU BOK V101 MM NL300 MM STŘÍBRNÝ PRAVÝ</t>
  </si>
  <si>
    <t>AVANTECH YOU BOK V101 MM NL350 MM STŘÍBRNÝ LEVÝ</t>
  </si>
  <si>
    <t>AVANTECH YOU BOK V101 MM NL350 MM STŘÍBRNÝ PRAVÝ</t>
  </si>
  <si>
    <t>AVANTECH YOU BOK V101 MM NL400 MM STŘÍBRNÝ LEVÝ</t>
  </si>
  <si>
    <t>AVANTECH YOU BOK V101 MM NL400 MM STŘÍBRNÝ PRAVÝ</t>
  </si>
  <si>
    <t>AVANTECH YOU BOK V101 MM NL450 MM STŘÍBRNÝ LEVÝ</t>
  </si>
  <si>
    <t>AVANTECH YOU BOK V101 MM NL450 MM STŘÍBRNÝ PRAVÝ</t>
  </si>
  <si>
    <t>AVANTECH YOU BOK V101 MM NL500 MM STŘÍBRNÝ LEVÝ</t>
  </si>
  <si>
    <t>AVANTECH YOU BOK V101 MM NL500 MM STŘÍBRNÝ PRAVÝ</t>
  </si>
  <si>
    <t>AVANTECH YOU BOK V101 MM NL550 MM STŘÍBRNÝ LEVÝ</t>
  </si>
  <si>
    <t>AVANTECH YOU BOK V101 MM NL550 MM STŘÍBRNÝ PRAVÝ</t>
  </si>
  <si>
    <t>AVANTECH YOU BOK V101 MM NL600 MM STŘÍBRNÝ LEVÝ</t>
  </si>
  <si>
    <t>AVANTECH YOU BOK V101 MM NL600 MM STŘÍBRNÝ PRAVÝ</t>
  </si>
  <si>
    <t>AVANTECH YOU BOK V101 MM NL650 MM STŘÍBRNÝ LEVÝ</t>
  </si>
  <si>
    <t>AVANTECH YOU BOK V101 MM NL650 MM STŘÍBRNÝ PRAVÝ</t>
  </si>
  <si>
    <t>AVANTECH YOU BOK V101 MM NL270 MM BÍLÝ LEVÝ</t>
  </si>
  <si>
    <t>AVANTECH YOU BOK V101 MM NL270 MM BÍLÝ PRAVÝ</t>
  </si>
  <si>
    <t>AVANTECH YOU BOK V101 MM NL300 MM BÍLÝ LEVÝ</t>
  </si>
  <si>
    <t>AVANTECH YOU BOK V101 MM NL300 MM BÍLÝ PRAVÝ</t>
  </si>
  <si>
    <t>AVANTECH YOU BOK V101 MM NL350 MM BÍLÝ LEVÝ</t>
  </si>
  <si>
    <t>AVANTECH YOU BOK V101 MM NL350 MM BÍLÝ PRAVÝ</t>
  </si>
  <si>
    <t>AVANTECH YOU BOK V101 MM NL400 MM BÍLÝ LEVÝ</t>
  </si>
  <si>
    <t>AVANTECH YOU BOK V101 MM NL400 MM BÍLÝ PRAVÝ</t>
  </si>
  <si>
    <t>AVANTECH YOU BOK V101 MM NL450 MM BÍLÝ LEVÝ</t>
  </si>
  <si>
    <t>AVANTECH YOU BOK V101 MM NL450 MM BÍLÝ PRAVÝ</t>
  </si>
  <si>
    <t>AVANTECH YOU BOK V101 MM NL500 MM BÍLÝ LEVÝ</t>
  </si>
  <si>
    <t>AVANTECH YOU BOK V101 MM NL500 MM BÍLÝ PRAVÝ</t>
  </si>
  <si>
    <t>AVANTECH YOU BOK V101 MM NL550 MM BÍLÝ LEVÝ</t>
  </si>
  <si>
    <t>AVANTECH YOU BOK V101 MM NL550 MM BÍLÝ PRAVÝ</t>
  </si>
  <si>
    <t>AVANTECH YOU BOK V101 MM NL600 MM BÍLÝ LEVÝ</t>
  </si>
  <si>
    <t>AVANTECH YOU BOK V101 MM NL600 MM BÍLÝ PRAVÝ</t>
  </si>
  <si>
    <t>AVANTECH YOU BOK V101 MM NL650 MM BÍLÝ LEVÝ</t>
  </si>
  <si>
    <t>AVANTECH YOU BOK V101 MM NL650 MM BÍLÝ PRAVÝ</t>
  </si>
  <si>
    <t>AVANTECH YOU BOK V101 MM NL270 MM ANTRACITOVÝ LEVÝ</t>
  </si>
  <si>
    <t>AVANTECH YOU BOK V101 MM NL270 MM ANTRACITOVÝ PRAVÝ</t>
  </si>
  <si>
    <t>AVANTECH YOU BOK V101 MM NL300 MM ANTRACITOVÝ LEVÝ</t>
  </si>
  <si>
    <t>AVANTECH YOU BOK V101 MM NL300 MM ANTRACITOVÝ PRAVÝ</t>
  </si>
  <si>
    <t>AVANTECH YOU BOK V101 MM NL350 MM ANTRACITOVÝ LEVÝ</t>
  </si>
  <si>
    <t>AVANTECH YOU BOK V101 MM NL350 MM ANTRACITOVÝ PRAVÝ</t>
  </si>
  <si>
    <t>AVANTECH YOU BOK V101 MM NL400 MM ANTRACITOVÝ LEVÝ</t>
  </si>
  <si>
    <t>AVANTECH YOU BOK V101 MM NL400 MM ANTRACITOVÝ PRAVÝ</t>
  </si>
  <si>
    <t>AVANTECH YOU BOK V101 MM NL450 MM ANTRACITOVÝ LEVÝ</t>
  </si>
  <si>
    <t>AVANTECH YOU BOK V101 MM NL450 MM ANTRACITOVÝ PRAVÝ</t>
  </si>
  <si>
    <t>AVANTECH YOU BOK V101 MM NL500 MM ANTRACITOVÝ LEVÝ</t>
  </si>
  <si>
    <t>AVANTECH YOU BOK V101 MM NL500 MM ANTRACITOVÝ PRAVÝ</t>
  </si>
  <si>
    <t>AVANTECH YOU BOK V101 MM NL550 MM ANTRACITOVÝ LEVÝ</t>
  </si>
  <si>
    <t>AVANTECH YOU BOK V101 MM NL550 MM ANTRACITOVÝ PRAVÝ</t>
  </si>
  <si>
    <t>AVANTECH YOU BOK V101 MM NL600 MM ANTRACITOVÝ LEVÝ</t>
  </si>
  <si>
    <t>AVANTECH YOU BOK V101 MM NL600 MM ANTRACITOVÝ PRAVÝ</t>
  </si>
  <si>
    <t>AVANTECH YOU BOK V101 MM NL650 MM ANTRACITOVÝ LEVÝ</t>
  </si>
  <si>
    <t>AVANTECH YOU BOK V101 MM NL650 MM ANTRACITOVÝ PRAVÝ</t>
  </si>
  <si>
    <t>AVANTECH YOU DEKORATIVNÍ PROFIL NL270 MM STŘÍBRNÝ</t>
  </si>
  <si>
    <t>AVANTECH YOU DEKORATIVNÍ PROFIL NL300 MM STŘÍBRNÝ</t>
  </si>
  <si>
    <t>AVANTECH YOU DEKORATIVNÍ PROFIL NL350 MM STŘÍBRNÝ</t>
  </si>
  <si>
    <t>AVANTECH YOU DEKORATIVNÍ PROFIL NL400 MM STŘÍBRNÝ</t>
  </si>
  <si>
    <t>AVANTECH YOU DEKORATIVNÍ PROFIL NL450 MM STŘÍBRNÝ</t>
  </si>
  <si>
    <t>AVANTECH YOU DEKORATIVNÍ PROFIL NL500 MM STŘÍBRNÝ</t>
  </si>
  <si>
    <t>AVANTECH YOU DEKORATIVNÍ PROFIL NL550 MM STŘÍBRNÝ</t>
  </si>
  <si>
    <t>AVANTECH YOU DEKORATIVNÍ PROFIL NL600 MM STŘÍBRNÝ</t>
  </si>
  <si>
    <t>AVANTECH YOU DEKORATIVNÍ PROFIL NL650 MM STŘÍBRNÝ</t>
  </si>
  <si>
    <t>AVANTECH YOU DEKORATIVNÍ PROFIL NL270 MM BÍLÝ</t>
  </si>
  <si>
    <t>AVANTECH YOU DEKORATIVNÍ PROFIL NL300 MM BÍLÝ</t>
  </si>
  <si>
    <t>AVANTECH YOU DEKORATIVNÍ PROFIL NL350 MM BÍLÝ</t>
  </si>
  <si>
    <t>AVANTECH YOU DEKORATIVNÍ PROFIL NL400 MM BÍLÝ</t>
  </si>
  <si>
    <t>AVANTECH YOU DEKORATIVNÍ PROFIL NL450 MM BÍLÝ</t>
  </si>
  <si>
    <t>AVANTECH YOU DEKORATIVNÍ PROFIL NL500 MM BÍLÝ</t>
  </si>
  <si>
    <t>AVANTECH YOU DEKORATIVNÍ PROFIL NL550 MM BÍLÝ</t>
  </si>
  <si>
    <t>AVANTECH YOU DEKORATIVNÍ PROFIL NL600 MM BÍLÝ</t>
  </si>
  <si>
    <t>AVANTECH YOU DEKORATIVNÍ PROFIL NL650 MM BÍLÝ</t>
  </si>
  <si>
    <t>AVANTECH YOU DEKORATIVNÍ PROFIL NL270 MM ANTRACITOVÝ</t>
  </si>
  <si>
    <t>AVANTECH YOU DEKORATIVNÍ PROFIL NL300 MM ANTRACITOVÝ</t>
  </si>
  <si>
    <t>AVANTECH YOU DEKORATIVNÍ PROFIL NL350 MM ANTRACITOVÝ</t>
  </si>
  <si>
    <t>AVANTECH YOU DEKORATIVNÍ PROFIL NL400 MM ANTRACITOVÝ</t>
  </si>
  <si>
    <t>AVANTECH YOU DEKORATIVNÍ PROFIL NL450 MM ANTRACITOVÝ</t>
  </si>
  <si>
    <t>AVANTECH YOU DEKORATIVNÍ PROFIL NL500 MM ANTRACITOVÝ</t>
  </si>
  <si>
    <t>AVANTECH YOU DEKORATIVNÍ PROFIL NL550 MM ANTRACITOVÝ</t>
  </si>
  <si>
    <t>AVANTECH YOU DEKORATIVNÍ PROFIL NL600 MM ANTRACITOVÝ</t>
  </si>
  <si>
    <t>AVANTECH YOU DEKORATIVNÍ PROFIL NL650 MM ANTRACITOVÝ</t>
  </si>
  <si>
    <t>AVANTECH YOU PŘÍCHYTKA ČELA V101 MM K NAŠROUBOVÁNÍ</t>
  </si>
  <si>
    <t>AVANTECH YOU PŘÍCHYTKA ČELA V101 MM K ZALISOVÁNÍ</t>
  </si>
  <si>
    <t>AVANTECH YOU BOKY V SADĚ V139 MM NL300 MM STŘÍBRNÁ</t>
  </si>
  <si>
    <t>AVANTECH YOU BOKY V SADĚ V139 MM NL350 MM STŘÍBRNÁ</t>
  </si>
  <si>
    <t>AVANTECH YOU BOKY V SADĚ V139 MM NL400 MM STŘÍBRNÁ</t>
  </si>
  <si>
    <t>AVANTECH YOU BOKY V SADĚ V139 MM NL450 MM STŘÍBRNÁ</t>
  </si>
  <si>
    <t>AVANTECH YOU BOKY V SADĚ V139 MM NL500 MM STŘÍBRNÁ</t>
  </si>
  <si>
    <t>AVANTECH YOU BOKY V SADĚ V139 MM NL550 MM STŘÍBRNÁ</t>
  </si>
  <si>
    <t>AVANTECH YOU BOKY V SADĚ V139 MM NL600 MM STŘÍBRNÁ</t>
  </si>
  <si>
    <t>AVANTECH YOU BOKY V SADĚ V139 MM NL300 MM BÍLÁ</t>
  </si>
  <si>
    <t>AVANTECH YOU BOKY V SADĚ V139 MM NL350 MM BÍLÁ</t>
  </si>
  <si>
    <t>AVANTECH YOU BOKY V SADĚ V139 MM NL400 MM BÍLÁ</t>
  </si>
  <si>
    <t>AVANTECH YOU BOKY V SADĚ V139 MM NL450 MM BÍLÁ</t>
  </si>
  <si>
    <t>AVANTECH YOU BOKY V SADĚ V139 MM NL500 MM BÍLÁ</t>
  </si>
  <si>
    <t>AVANTECH YOU BOKY V SADĚ V139 MM NL550 MM BÍLÁ</t>
  </si>
  <si>
    <t>AVANTECH YOU BOKY V SADĚ V139 MM NL600 MM BÍLÁ</t>
  </si>
  <si>
    <t xml:space="preserve">AVANTECH YOU BOKY V SADĚ V139 MM NL300 MM ANTRACITOVÁ </t>
  </si>
  <si>
    <t xml:space="preserve">AVANTECH YOU BOKY V SADĚ V139 MM NL350 MM ANTRACITOVÁ </t>
  </si>
  <si>
    <t xml:space="preserve">AVANTECH YOU BOKY V SADĚ V139 MM NL400 MM ANTRACITOVÁ </t>
  </si>
  <si>
    <t xml:space="preserve">AVANTECH YOU BOKY V SADĚ V139 MM NL450 MM ANTRACITOVÁ </t>
  </si>
  <si>
    <t xml:space="preserve">AVANTECH YOU BOKY V SADĚ V139 MM NL500 MM ANTRACITOVÁ </t>
  </si>
  <si>
    <t xml:space="preserve">AVANTECH YOU BOKY V SADĚ V139 MM NL550 MM ANTRACITOVÁ </t>
  </si>
  <si>
    <t xml:space="preserve">AVANTECH YOU BOKY V SADĚ V139 MM NL600 MM ANTRACITOVÁ </t>
  </si>
  <si>
    <t>AVANTECH YOU BOK V139 MM NL300 MM STŘÍBRNÝ LEVÝ</t>
  </si>
  <si>
    <t>AVANTECH YOU BOK V139 MM NL300 MM STŘÍBRNÝ PRAVÝ</t>
  </si>
  <si>
    <t>AVANTECH YOU BOK V139 MM NL350 MM STŘÍBRNÝ LEVÝ</t>
  </si>
  <si>
    <t>AVANTECH YOU BOK V139 MM NL350 MM STŘÍBRNÝ PRAVÝ</t>
  </si>
  <si>
    <t>AVANTECH YOU BOK V139 MM NL400 MM STŘÍBRNÝ LEVÝ</t>
  </si>
  <si>
    <t>AVANTECH YOU BOK V139 MM NL400 MM STŘÍBRNÝ PRAVÝ</t>
  </si>
  <si>
    <t>AVANTECH YOU BOK V139 MM NL450 MM STŘÍBRNÝ LEVÝ</t>
  </si>
  <si>
    <t>AVANTECH YOU BOK V139 MM NL450 MM STŘÍBRNÝ PRAVÝ</t>
  </si>
  <si>
    <t>AVANTECH YOU BOK V139 MM NL500 MM STŘÍBRNÝ LEVÝ</t>
  </si>
  <si>
    <t>AVANTECH YOU BOK V139 MM NL500 MM STŘÍBRNÝ PRAVÝ</t>
  </si>
  <si>
    <t>AVANTECH YOU BOK V139 MM NL550 MM STŘÍBRNÝ LEVÝ</t>
  </si>
  <si>
    <t>AVANTECH YOU BOK V139 MM NL550 MM STŘÍBRNÝ PRAVÝ</t>
  </si>
  <si>
    <t>AVANTECH YOU BOK V139 MM NL600 MM STŘÍBRNÝ LEVÝ</t>
  </si>
  <si>
    <t>AVANTECH YOU BOK V139 MM NL600 MM STŘÍBRNÝ PRAVÝ</t>
  </si>
  <si>
    <t>AVANTECH YOU BOK V139 MM NL300 MM BÍLÝ LEVÝ</t>
  </si>
  <si>
    <t>AVANTECH YOU BOK V139 MM NL300 MM BÍLÝ PRAVÝ</t>
  </si>
  <si>
    <t>AVANTECH YOU BOK V139 MM NL350 MM BÍLÝ LEVÝ</t>
  </si>
  <si>
    <t>AVANTECH YOU BOK V139 MM NL350 MM BÍLÝ PRAVÝ</t>
  </si>
  <si>
    <t>AVANTECH YOU BOK V139 MM NL400 MM BÍLÝ LEVÝ</t>
  </si>
  <si>
    <t>AVANTECH YOU BOK V139 MM NL400 MM BÍLÝ PRAVÝ</t>
  </si>
  <si>
    <t>AVANTECH YOU BOK V139 MM NL450 MM BÍLÝ LEVÝ</t>
  </si>
  <si>
    <t>AVANTECH YOU BOK V139 MM NL450 MM BÍLÝ PRAVÝ</t>
  </si>
  <si>
    <t>AVANTECH YOU BOK V139 MM NL500 MM BÍLÝ LEVÝ</t>
  </si>
  <si>
    <t>AVANTECH YOU BOK V139 MM NL500 MM BÍLÝ PRAVÝ</t>
  </si>
  <si>
    <t>AVANTECH YOU BOK V139 MM NL550 MM BÍLÝ LEVÝ</t>
  </si>
  <si>
    <t>AVANTECH YOU BOK V139 MM NL550 MM BÍLÝ PRAVÝ</t>
  </si>
  <si>
    <t>AVANTECH YOU BOK V139 MM NL600 MM BÍLÝ LEVÝ</t>
  </si>
  <si>
    <t>AVANTECH YOU BOK V139 MM NL600 MM BÍLÝ PRAVÝ</t>
  </si>
  <si>
    <t>AVANTECH YOU BOK V139 MM NL300 MM ANTRACITOVÝ LEVÝ</t>
  </si>
  <si>
    <t>AVANTECH YOU BOK V139 MM NL300 MM ANTRACITOVÝ PRAVÝ</t>
  </si>
  <si>
    <t>AVANTECH YOU BOK V139 MM NL350 MM ANTRACITOVÝ LEVÝ</t>
  </si>
  <si>
    <t>AVANTECH YOU BOK V139 MM NL350 MM ANTRACITOVÝ PRAVÝ</t>
  </si>
  <si>
    <t>AVANTECH YOU BOK V139 MM NL400 MM ANTRACITOVÝ LEVÝ</t>
  </si>
  <si>
    <t>AVANTECH YOU BOK V139 MM NL400 MM ANTRACITOVÝ PRAVÝ</t>
  </si>
  <si>
    <t>AVANTECH YOU BOK V139 MM NL450 MM ANTRACITOVÝ LEVÝ</t>
  </si>
  <si>
    <t>AVANTECH YOU BOK V139 MM NL450 MM ANTRACITOVÝ PRAVÝ</t>
  </si>
  <si>
    <t>AVANTECH YOU BOK V139 MM NL500 MM ANTRACITOVÝ LEVÝ</t>
  </si>
  <si>
    <t>AVANTECH YOU BOK V139 MM NL500 MM ANTRACITOVÝ PRAVÝ</t>
  </si>
  <si>
    <t>AVANTECH YOU BOK V139 MM NL550 MM ANTRACITOVÝ LEVÝ</t>
  </si>
  <si>
    <t>AVANTECH YOU BOK V139 MM NL550 MM ANTRACITOVÝ PRAVÝ</t>
  </si>
  <si>
    <t>AVANTECH YOU BOK V139 MM NL600 MM ANTRACITOVÝ LEVÝ</t>
  </si>
  <si>
    <t>AVANTECH YOU BOK V139 MM NL600 MM ANTRACITOVÝ PRAVÝ</t>
  </si>
  <si>
    <t>AVANTECH YOU PŘÍCHYTKA ČELA V139 MM K NAŠROUBOVÁNÍ</t>
  </si>
  <si>
    <t>AVANTECH YOU PŘÍCHYTKA ČELA V139 MM K ZALISOVÁNÍ</t>
  </si>
  <si>
    <t>AVANTECH YOU BOKY V SADĚ V187 MM NL270 MM STŘÍBRNÁ</t>
  </si>
  <si>
    <t>AVANTECH YOU BOKY V SADĚ V187 MM NL300 MM STŘÍBRNÁ</t>
  </si>
  <si>
    <t>AVANTECH YOU BOKY V SADĚ V187 MM NL350 MM STŘÍBRNÁ</t>
  </si>
  <si>
    <t>AVANTECH YOU BOKY V SADĚ V187 MM NL400 MM STŘÍBRNÁ</t>
  </si>
  <si>
    <t>AVANTECH YOU BOKY V SADĚ V187 MM NL450 MM STŘÍBRNÁ</t>
  </si>
  <si>
    <t>AVANTECH YOU BOKY V SADĚ V187 MM NL500 MM STŘÍBRNÁ</t>
  </si>
  <si>
    <t>AVANTECH YOU BOKY V SADĚ V187 MM NL550 MM STŘÍBRNÁ</t>
  </si>
  <si>
    <t>AVANTECH YOU BOKY V SADĚ V187 MM NL600 MM STŘÍBRNÁ</t>
  </si>
  <si>
    <t>AVANTECH YOU BOKY V SADĚ V187 MM NL650 MM STŘÍBRNÁ</t>
  </si>
  <si>
    <t>AVANTECH YOU BOKY V SADĚ V187 MM NL270 MM BÍLÁ</t>
  </si>
  <si>
    <t>AVANTECH YOU BOKY V SADĚ V187 MM NL300 MM BÍLÁ</t>
  </si>
  <si>
    <t>AVANTECH YOU BOKY V SADĚ V187 MM NL350 MM BÍLÁ</t>
  </si>
  <si>
    <t>AVANTECH YOU BOKY V SADĚ V187 MM NL400 MM BÍLÁ</t>
  </si>
  <si>
    <t>AVANTECH YOU BOKY V SADĚ V187 MM NL450 MM BÍLÁ</t>
  </si>
  <si>
    <t>AVANTECH YOU BOKY V SADĚ V187 MM NL500 MM BÍLÁ</t>
  </si>
  <si>
    <t>AVANTECH YOU BOKY V SADĚ V187 MM NL550 MM BÍLÁ</t>
  </si>
  <si>
    <t>AVANTECH YOU BOKY V SADĚ V187 MM NL600 MM BÍLÁ</t>
  </si>
  <si>
    <t>AVANTECH YOU BOKY V SADĚ V187 MM NL650 MM BÍLÁ</t>
  </si>
  <si>
    <t xml:space="preserve">AVANTECH YOU BOKY V SADĚ V187 MM NL270 MM ANTRACITOVÁ </t>
  </si>
  <si>
    <t xml:space="preserve">AVANTECH YOU BOKY V SADĚ V187 MM NL300 MM ANTRACITOVÁ </t>
  </si>
  <si>
    <t xml:space="preserve">AVANTECH YOU BOKY V SADĚ V187 MM NL350 MM ANTRACITOVÁ </t>
  </si>
  <si>
    <t xml:space="preserve">AVANTECH YOU BOKY V SADĚ V187 MM NL400 MM ANTRACITOVÁ </t>
  </si>
  <si>
    <t xml:space="preserve">AVANTECH YOU BOKY V SADĚ V187 MM NL450 MM ANTRACITOVÁ </t>
  </si>
  <si>
    <t xml:space="preserve">AVANTECH YOU BOKY V SADĚ V187 MM NL500 MM ANTRACITOVÁ </t>
  </si>
  <si>
    <t xml:space="preserve">AVANTECH YOU BOKY V SADĚ V187 MM NL550 MM ANTRACITOVÁ </t>
  </si>
  <si>
    <t xml:space="preserve">AVANTECH YOU BOKY V SADĚ V187 MM NL600 MM ANTRACITOVÁ </t>
  </si>
  <si>
    <t xml:space="preserve">AVANTECH YOU BOKY V SADĚ V187 MM NL650 MM ANTRACITOVÁ </t>
  </si>
  <si>
    <t>AVANTECH YOU BOK V187 MM NL270 MM STŘÍBRNÝ LEVÝ</t>
  </si>
  <si>
    <t>AVANTECH YOU BOK V187 MM NL270 MM STŘÍBRNÝ PRAVÝ</t>
  </si>
  <si>
    <t>AVANTECH YOU BOK V187 MM NL300 MM STŘÍBRNÝ LEVÝ</t>
  </si>
  <si>
    <t>AVANTECH YOU BOK V187 MM NL300 MM STŘÍBRNÝ PRAVÝ</t>
  </si>
  <si>
    <t>AVANTECH YOU BOK V187 MM NL350 MM STŘÍBRNÝ LEVÝ</t>
  </si>
  <si>
    <t>AVANTECH YOU BOK V187 MM NL350 MM STŘÍBRNÝ PRAVÝ</t>
  </si>
  <si>
    <t>AVANTECH YOU BOK V187 MM NL400 MM STŘÍBRNÝ LEVÝ</t>
  </si>
  <si>
    <t>AVANTECH YOU BOK V187 MM NL400 MM STŘÍBRNÝ PRAVÝ</t>
  </si>
  <si>
    <t>AVANTECH YOU BOK V187 MM NL450 MM STŘÍBRNÝ LEVÝ</t>
  </si>
  <si>
    <t>AVANTECH YOU BOK V187 MM NL450 MM STŘÍBRNÝ PRAVÝ</t>
  </si>
  <si>
    <t>AVANTECH YOU BOK V187 MM NL500 MM STŘÍBRNÝ LEVÝ</t>
  </si>
  <si>
    <t>AVANTECH YOU BOK V187 MM NL500 MM STŘÍBRNÝ PRAVÝ</t>
  </si>
  <si>
    <t>AVANTECH YOU BOK V187 MM NL550 MM STŘÍBRNÝ LEVÝ</t>
  </si>
  <si>
    <t>AVANTECH YOU BOK V187 MM NL550 MM STŘÍBRNÝ PRAVÝ</t>
  </si>
  <si>
    <t>AVANTECH YOU BOK V187 MM NL600 MM STŘÍBRNÝ LEVÝ</t>
  </si>
  <si>
    <t>AVANTECH YOU BOK V187 MM NL600 MM STŘÍBRNÝ PRAVÝ</t>
  </si>
  <si>
    <t>AVANTECH YOU BOK V187 MM NL650 MM STŘÍBRNÝ LEVÝ</t>
  </si>
  <si>
    <t>AVANTECH YOU BOK V187 MM NL650 MM STŘÍBRNÝ PRAVÝ</t>
  </si>
  <si>
    <t>AVANTECH YOU BOK V187 MM NL270 MM BÍLÝ LEVÝ</t>
  </si>
  <si>
    <t>AVANTECH YOU BOK V187 MM NL270 MM BÍLÝ PRAVÝ</t>
  </si>
  <si>
    <t>AVANTECH YOU BOK V187 MM NL300 MM BÍLÝ LEVÝ</t>
  </si>
  <si>
    <t>AVANTECH YOU BOK V187 MM NL300 MM BÍLÝ PRAVÝ</t>
  </si>
  <si>
    <t>AVANTECH YOU BOK V187 MM NL350 MM BÍLÝ LEVÝ</t>
  </si>
  <si>
    <t>AVANTECH YOU BOK V187 MM NL350 MM BÍLÝ PRAVÝ</t>
  </si>
  <si>
    <t>AVANTECH YOU BOK V187 MM NL400 MM BÍLÝ LEVÝ</t>
  </si>
  <si>
    <t>AVANTECH YOU BOK V187 MM NL400 MM BÍLÝ PRAVÝ</t>
  </si>
  <si>
    <t>AVANTECH YOU BOK V187 MM NL450 MM BÍLÝ LEVÝ</t>
  </si>
  <si>
    <t>AVANTECH YOU BOK V187 MM NL450 MM BÍLÝ PRAVÝ</t>
  </si>
  <si>
    <t>AVANTECH YOU BOK V187 MM NL500 MM BÍLÝ LEVÝ</t>
  </si>
  <si>
    <t>AVANTECH YOU BOK V187 MM NL500 MM BÍLÝ PRAVÝ</t>
  </si>
  <si>
    <t>AVANTECH YOU BOK V187 MM NL550 MM BÍLÝ LEVÝ</t>
  </si>
  <si>
    <t>AVANTECH YOU BOK V187 MM NL550 MM BÍLÝ PRAVÝ</t>
  </si>
  <si>
    <t>AVANTECH YOU BOK V187 MM NL600 MM BÍLÝ LEVÝ</t>
  </si>
  <si>
    <t>AVANTECH YOU BOK V187 MM NL600 MM BÍLÝ PRAVÝ</t>
  </si>
  <si>
    <t>AVANTECH YOU BOK V187 MM NL650 MM BÍLÝ LEVÝ</t>
  </si>
  <si>
    <t>AVANTECH YOU BOK V187 MM NL650 MM BÍLÝ PRAVÝ</t>
  </si>
  <si>
    <t>AVANTECH YOU BOK V187 MM NL270 MM ANTRACITOVÝ LEVÝ</t>
  </si>
  <si>
    <t>AVANTECH YOU BOK V187 MM NL270 MM ANTRACITOVÝ PRAVÝ</t>
  </si>
  <si>
    <t>AVANTECH YOU BOK V187 MM NL300 MM ANTRACITOVÝ LEVÝ</t>
  </si>
  <si>
    <t>AVANTECH YOU BOK V187 MM NL300 MM ANTRACITOVÝ PRAVÝ</t>
  </si>
  <si>
    <t>AVANTECH YOU BOK V187 MM NL350 MM ANTRACITOVÝ LEVÝ</t>
  </si>
  <si>
    <t>AVANTECH YOU BOK V187 MM NL350 MM ANTRACITOVÝ PRAVÝ</t>
  </si>
  <si>
    <t>AVANTECH YOU BOK V187 MM NL400 MM ANTRACITOVÝ LEVÝ</t>
  </si>
  <si>
    <t>AVANTECH YOU BOK V187 MM NL400 MM ANTRACITOVÝ PRAVÝ</t>
  </si>
  <si>
    <t>AVANTECH YOU BOK V187 MM NL450 MM ANTRACITOVÝ LEVÝ</t>
  </si>
  <si>
    <t>AVANTECH YOU BOK V187 MM NL450 MM ANTRACITOVÝ PRAVÝ</t>
  </si>
  <si>
    <t>AVANTECH YOU BOK V187 MM NL500 MM ANTRACITOVÝ LEVÝ</t>
  </si>
  <si>
    <t>AVANTECH YOU BOK V187 MM NL500 MM ANTRACITOVÝ PRAVÝ</t>
  </si>
  <si>
    <t>AVANTECH YOU BOK V187 MM NL550 MM ANTRACITOVÝ LEVÝ</t>
  </si>
  <si>
    <t>AVANTECH YOU BOK V187 MM NL550 MM ANTRACITOVÝ PRAVÝ</t>
  </si>
  <si>
    <t>AVANTECH YOU BOK V187 MM NL600 MM ANTRACITOVÝ LEVÝ</t>
  </si>
  <si>
    <t>AVANTECH YOU BOK V187 MM NL600 MM ANTRACITOVÝ PRAVÝ</t>
  </si>
  <si>
    <t>AVANTECH YOU BOK V187 MM NL650 MM ANTRACITOVÝ LEVÝ</t>
  </si>
  <si>
    <t>AVANTECH YOU BOK V187 MM NL650 MM ANTRACITOVÝ PRAVÝ</t>
  </si>
  <si>
    <t>AVANTECH YOU PŘÍCHYTKA ČELA V187 / 251 MM K NAŠROUBOVÁNÍ</t>
  </si>
  <si>
    <t>AVANTECH YOU PŘÍCHYTKA ČELA V187 / 251 MM K ZALISOVÁNÍ</t>
  </si>
  <si>
    <t>AVANTECH YOU BOKY V SADĚ V251 MM NL350 MM STŘÍBRNÁ</t>
  </si>
  <si>
    <t>AVANTECH YOU BOKY V SADĚ V251 MM NL400 MM STŘÍBRNÁ</t>
  </si>
  <si>
    <t>AVANTECH YOU BOKY V SADĚ V251 MM NL450 MM STŘÍBRNÁ</t>
  </si>
  <si>
    <t>AVANTECH YOU BOKY V SADĚ V251 MM NL500 MM STŘÍBRNÁ</t>
  </si>
  <si>
    <t>AVANTECH YOU BOKY V SADĚ V251 MM NL550 MM STŘÍBRNÁ</t>
  </si>
  <si>
    <t>AVANTECH YOU BOKY V SADĚ V251 MM NL600 MM STŘÍBRNÁ</t>
  </si>
  <si>
    <t>AVANTECH YOU BOKY V SADĚ V251 MM NL650 MM STŘÍBRNÁ</t>
  </si>
  <si>
    <t>AVANTECH YOU BOKY V SADĚ V251 MM NL350 MM BÍLÁ</t>
  </si>
  <si>
    <t>AVANTECH YOU BOKY V SADĚ V251 MM NL400 MM BÍLÁ</t>
  </si>
  <si>
    <t>AVANTECH YOU BOKY V SADĚ V251 MM NL450 MM BÍLÁ</t>
  </si>
  <si>
    <t>AVANTECH YOU BOKY V SADĚ V251 MM NL500 MM BÍLÁ</t>
  </si>
  <si>
    <t>AVANTECH YOU BOKY V SADĚ V251 MM NL550 MM BÍLÁ</t>
  </si>
  <si>
    <t>AVANTECH YOU BOKY V SADĚ V251 MM NL600 MM BÍLÁ</t>
  </si>
  <si>
    <t>AVANTECH YOU BOKY V SADĚ V251 MM NL650 MM BÍLÁ</t>
  </si>
  <si>
    <t xml:space="preserve">AVANTECH YOU BOKY V SADĚ V251 MM NL350 MM ANTRACITOVÁ </t>
  </si>
  <si>
    <t xml:space="preserve">AVANTECH YOU BOKY V SADĚ V251 MM NL400 MM ANTRACITOVÁ </t>
  </si>
  <si>
    <t xml:space="preserve">AVANTECH YOU BOKY V SADĚ V251 MM NL450 MM ANTRACITOVÁ </t>
  </si>
  <si>
    <t xml:space="preserve">AVANTECH YOU BOKY V SADĚ V251 MM NL500 MM ANTRACITOVÁ </t>
  </si>
  <si>
    <t xml:space="preserve">AVANTECH YOU BOKY V SADĚ V251 MM NL550 MM ANTRACITOVÁ </t>
  </si>
  <si>
    <t xml:space="preserve">AVANTECH YOU BOKY V SADĚ V251 MM NL600 MM ANTRACITOVÁ </t>
  </si>
  <si>
    <t xml:space="preserve">AVANTECH YOU BOKY V SADĚ V251 MM NL650 MM ANTRACITOVÁ </t>
  </si>
  <si>
    <t>AVANTECH YOU BOK V251 MM NL350 MM STŘÍBRNÝ LEVÝ</t>
  </si>
  <si>
    <t>AVANTECH YOU BOK V251 MM NL350 MM STŘÍBRNÝ PRAVÝ</t>
  </si>
  <si>
    <t>AVANTECH YOU BOK V251 MM NL400 MM STŘÍBRNÝ LEVÝ</t>
  </si>
  <si>
    <t>AVANTECH YOU BOK V251 MM NL400 MM STŘÍBRNÝ PRAVÝ</t>
  </si>
  <si>
    <t>AVANTECH YOU BOK V251 MM NL450 MM STŘÍBRNÝ LEVÝ</t>
  </si>
  <si>
    <t>AVANTECH YOU BOK V251 MM NL450 MM STŘÍBRNÝ PRAVÝ</t>
  </si>
  <si>
    <t>AVANTECH YOU BOK V251 MM NL500 MM STŘÍBRNÝ LEVÝ</t>
  </si>
  <si>
    <t>AVANTECH YOU BOK V251 MM NL500 MM STŘÍBRNÝ PRAVÝ</t>
  </si>
  <si>
    <t>AVANTECH YOU BOK V251 MM NL550 MM STŘÍBRNÝ LEVÝ</t>
  </si>
  <si>
    <t>AVANTECH YOU BOK V251 MM NL550 MM STŘÍBRNÝ PRAVÝ</t>
  </si>
  <si>
    <t>AVANTECH YOU BOK V251 MM NL600 MM STŘÍBRNÝ LEVÝ</t>
  </si>
  <si>
    <t>AVANTECH YOU BOK V251 MM NL600 MM STŘÍBRNÝ PRAVÝ</t>
  </si>
  <si>
    <t>AVANTECH YOU BOK V251 MM NL650 MM STŘÍBRNÝ LEVÝ</t>
  </si>
  <si>
    <t>AVANTECH YOU BOK V251 MM NL650 MM STŘÍBRNÝ PRAVÝ</t>
  </si>
  <si>
    <t>AVANTECH YOU BOK V251 MM NL350 MM BÍLÝ LEVÝ</t>
  </si>
  <si>
    <t>AVANTECH YOU BOK V251 MM NL350 MM BÍLÝ PRAVÝ</t>
  </si>
  <si>
    <t>AVANTECH YOU BOK V251 MM NL400 MM BÍLÝ LEVÝ</t>
  </si>
  <si>
    <t>AVANTECH YOU BOK V251 MM NL400 MM BÍLÝ PRAVÝ</t>
  </si>
  <si>
    <t>AVANTECH YOU BOK V251 MM NL450 MM BÍLÝ LEVÝ</t>
  </si>
  <si>
    <t>AVANTECH YOU BOK V251 MM NL450 MM BÍLÝ PRAVÝ</t>
  </si>
  <si>
    <t>AVANTECH YOU BOK V251 MM NL500 MM BÍLÝ LEVÝ</t>
  </si>
  <si>
    <t>AVANTECH YOU BOK V251 MM NL500 MM BÍLÝ PRAVÝ</t>
  </si>
  <si>
    <t>AVANTECH YOU BOK V251 MM NL550 MM BÍLÝ LEVÝ</t>
  </si>
  <si>
    <t>AVANTECH YOU BOK V251 MM NL550 MM BÍLÝ PRAVÝ</t>
  </si>
  <si>
    <t>AVANTECH YOU BOK V251 MM NL600 MM BÍLÝ LEVÝ</t>
  </si>
  <si>
    <t>AVANTECH YOU BOK V251 MM NL600 MM BÍLÝ PRAVÝ</t>
  </si>
  <si>
    <t>AVANTECH YOU BOK V251 MM NL650 MM BÍLÝ LEVÝ</t>
  </si>
  <si>
    <t>AVANTECH YOU BOK V251 MM NL650 MM BÍLÝ PRAVÝ</t>
  </si>
  <si>
    <t>AVANTECH YOU BOK V251 MM NL350 MM ANTRACITOVÝ LEVÝ</t>
  </si>
  <si>
    <t>AVANTECH YOU BOK V251 MM NL350 MM ANTRACITOVÝ PRAVÝ</t>
  </si>
  <si>
    <t>AVANTECH YOU BOK V251 MM NL400 MM ANTRACITOVÝ LEVÝ</t>
  </si>
  <si>
    <t>AVANTECH YOU BOK V251 MM NL400 MM ANTRACITOVÝ PRAVÝ</t>
  </si>
  <si>
    <t>AVANTECH YOU BOK V251 MM NL450 MM ANTRACITOVÝ LEVÝ</t>
  </si>
  <si>
    <t>AVANTECH YOU BOK V251 MM NL450 MM ANTRACITOVÝ PRAVÝ</t>
  </si>
  <si>
    <t>AVANTECH YOU BOK V251 MM NL500 MM ANTRACITOVÝ LEVÝ</t>
  </si>
  <si>
    <t>AVANTECH YOU BOK V251 MM NL500 MM ANTRACITOVÝ PRAVÝ</t>
  </si>
  <si>
    <t>AVANTECH YOU BOK V251 MM NL550 MM ANTRACITOVÝ LEVÝ</t>
  </si>
  <si>
    <t>AVANTECH YOU BOK V251 MM NL550 MM ANTRACITOVÝ PRAVÝ</t>
  </si>
  <si>
    <t>AVANTECH YOU BOK V251 MM NL600 MM ANTRACITOVÝ LEVÝ</t>
  </si>
  <si>
    <t>AVANTECH YOU BOK V251 MM NL600 MM ANTRACITOVÝ PRAVÝ</t>
  </si>
  <si>
    <t>AVANTECH YOU BOK V251 MM NL650 MM ANTRACITOVÝ LEVÝ</t>
  </si>
  <si>
    <t>AVANTECH YOU BOK V251 MM NL650 MM ANTRACITOVÝ PRAVÝ</t>
  </si>
  <si>
    <t>AVANTECH YOU STABILIZÁTOR ČELA V251 MM K NAŠROUBOVÁNÍ</t>
  </si>
  <si>
    <t>AVANTECH YOU STABILIZÁTOR ČELA V251 MM K ZALISOVÁNÍ</t>
  </si>
  <si>
    <t>AVANTECH YOU BOKY V SADĚ INLAY V187 MM L350 MM STŘÍBRNÁ</t>
  </si>
  <si>
    <t>AVANTECH YOU BOKY V SADĚ INLAY V187 MM L400 MM STŘÍBRNÁ</t>
  </si>
  <si>
    <t>AVANTECH YOU BOKY V SADĚ INLAY V187 MM L450 MM STŘÍBRNÁ</t>
  </si>
  <si>
    <t>AVANTECH YOU BOKY V SADĚ INLAY V187 MM L500 MM STŘÍBRNÁ</t>
  </si>
  <si>
    <t>AVANTECH YOU BOKY V SADĚ INLAY V187 MM L550 MM STŘÍBRNÁ</t>
  </si>
  <si>
    <t>AVANTECH YOU BOKY V SADĚ INLAY V187 MM L600 MM STŘÍBRNÁ</t>
  </si>
  <si>
    <t>AVANTECH YOU BOKY V SADĚ INLAY V187 MM L650 MM STŘÍBRNÁ</t>
  </si>
  <si>
    <t>AVANTECH YOU BOKY V SADĚ INLAY V187 MM L350 MM BÍLÁ</t>
  </si>
  <si>
    <t>AVANTECH YOU BOKY V SADĚ INLAY V187 MM L400 MM BÍLÁ</t>
  </si>
  <si>
    <t>AVANTECH YOU BOKY V SADĚ INLAY V187 MM L450 MM BÍLÁ</t>
  </si>
  <si>
    <t>AVANTECH YOU BOKY V SADĚ INLAY V187 MM L500 MM BÍLÁ</t>
  </si>
  <si>
    <t>AVANTECH YOU BOKY V SADĚ INLAY V187 MM L550 MM BÍLÁ</t>
  </si>
  <si>
    <t>AVANTECH YOU BOKY V SADĚ INLAY V187 MM L600 MM BÍLÁ</t>
  </si>
  <si>
    <t>AVANTECH YOU BOKY V SADĚ INLAY V187 MM L650 MM BÍLÁ</t>
  </si>
  <si>
    <t>AVANTECH YOU BOKY V SADĚ INLAY V187 MM L350 MM ANTRACITOVÁ</t>
  </si>
  <si>
    <t>AVANTECH YOU BOKY V SADĚ INLAY V187 MM L400 MM ANTRACITOVÁ</t>
  </si>
  <si>
    <t>AVANTECH YOU BOKY V SADĚ INLAY V187 MM L450 MM ANTRACITOVÁ</t>
  </si>
  <si>
    <t>AVANTECH YOU BOKY V SADĚ INLAY V187 MM L500 MM ANTRACITOVÁ</t>
  </si>
  <si>
    <t>AVANTECH YOU BOKY V SADĚ INLAY V187 MM L550 MM ANTRACITOVÁ</t>
  </si>
  <si>
    <t>AVANTECH YOU BOKY V SADĚ INLAY V187 MM L600 MM ANTRACITOVÁ</t>
  </si>
  <si>
    <t>AVANTECH YOU BOKY V SADĚ INLAY V187 MM L650 MM ANTRACITOVÁ</t>
  </si>
  <si>
    <t>AVANTECH YOU BOK INLAY V187 MM NL350 MM STŘÍBRNÝ LEVÝ</t>
  </si>
  <si>
    <t>AVANTECH YOU BOK INLAY V187 MM NL350 MM STŘÍBRNÝ PRAVÝ</t>
  </si>
  <si>
    <t>AVANTECH YOU BOK INLAY V187 MM NL400 MM STŘÍBRNÝ LEVÝ</t>
  </si>
  <si>
    <t>AVANTECH YOU BOK INLAY V187 MM NL400 MM STŘÍBRNÝ PRAVÝ</t>
  </si>
  <si>
    <t>AVANTECH YOU BOK INLAY V187 MM NL450 MM STŘÍBRNÝ LEVÝ</t>
  </si>
  <si>
    <t>AVANTECH YOU BOK INLAY V187 MM NL450 MM STŘÍBRNÝ PRAVÝ</t>
  </si>
  <si>
    <t>AVANTECH YOU BOK INLAY V187 MM NL500 MM STŘÍBRNÝ LEVÝ</t>
  </si>
  <si>
    <t>AVANTECH YOU BOK INLAY V187 MM NL500 MM STŘÍBRNÝ PRAVÝ</t>
  </si>
  <si>
    <t>AVANTECH YOU BOK INLAY V187 MM NL550 MM STŘÍBRNÝ LEVÝ</t>
  </si>
  <si>
    <t>AVANTECH YOU BOK INLAY V187 MM NL550 MM STŘÍBRNÝ PRAVÝ</t>
  </si>
  <si>
    <t>AVANTECH YOU BOK INLAY V187 MM NL600 MM STŘÍBRNÝ LEVÝ</t>
  </si>
  <si>
    <t>AVANTECH YOU BOK INLAY V187 MM NL600 MM STŘÍBRNÝ PRAVÝ</t>
  </si>
  <si>
    <t>AVANTECH YOU BOK INLAY V187 MM NL650 MM STŘÍBRNÝ LEVÝ</t>
  </si>
  <si>
    <t>AVANTECH YOU BOK INLAY V187 MM NL650 MM STŘÍBRNÝ PRAVÝ</t>
  </si>
  <si>
    <t>AVANTECH YOU BOK INLAY V187 MM NL350 MM BÍLÝ LEVÝ</t>
  </si>
  <si>
    <t>AVANTECH YOU BOK INLAY V187 MM NL350 MM BÍLÝ PRAVÝ</t>
  </si>
  <si>
    <t>AVANTECH YOU BOK INLAY V187 MM NL400 MM BÍLÝ LEVÝ</t>
  </si>
  <si>
    <t>AVANTECH YOU BOK INLAY V187 MM NL400 MM BÍLÝ PRAVÝ</t>
  </si>
  <si>
    <t>AVANTECH YOU BOK INLAY V187 MM NL450 MM BÍLÝ LEVÝ</t>
  </si>
  <si>
    <t>AVANTECH YOU BOK INLAY V187 MM NL450 MM BÍLÝ PRAVÝ</t>
  </si>
  <si>
    <t>AVANTECH YOU BOK INLAY V187 MM NL500 MM BÍLÝ LEVÝ</t>
  </si>
  <si>
    <t>AVANTECH YOU BOK INLAY V187 MM NL500 MM BÍLÝ PRAVÝ</t>
  </si>
  <si>
    <t>AVANTECH YOU BOK INLAY V187 MM NL550 MM BÍLÝ LEVÝ</t>
  </si>
  <si>
    <t>AVANTECH YOU BOK INLAY V187 MM NL550 MM BÍLÝ PRAVÝ</t>
  </si>
  <si>
    <t>AVANTECH YOU BOK INLAY V187 MM NL600 MM BÍLÝ LEVÝ</t>
  </si>
  <si>
    <t>AVANTECH YOU BOK INLAY V187 MM NL600 MM BÍLÝ PRAVÝ</t>
  </si>
  <si>
    <t>AVANTECH YOU BOK INLAY V187 MM NL650 MM BÍLÝ LEVÝ</t>
  </si>
  <si>
    <t>AVANTECH YOU BOK INLAY V187 MM NL650 MM BÍLÝ PRAVÝ</t>
  </si>
  <si>
    <t>AVANTECH YOU BOK INLAY V187 MM NL350 MM ANTRACITOVÝ LEVÝ</t>
  </si>
  <si>
    <t>AVANTECH YOU BOK INLAY V187 MM NL350 MM ANTRACITOVÝ PRAVÝ</t>
  </si>
  <si>
    <t>AVANTECH YOU BOK INLAY V187 MM NL400 MM ANTRACITOVÝ LEVÝ</t>
  </si>
  <si>
    <t>AVANTECH YOU BOK INLAY V187 MM NL400 MM ANTRACITOVÝ PRAVÝ</t>
  </si>
  <si>
    <t>AVANTECH YOU BOK INLAY V187 MM NL450 MM ANTRACITOVÝ LEVÝ</t>
  </si>
  <si>
    <t>AVANTECH YOU BOK INLAY V187 MM NL450 MM ANTRACITOVÝ PRAVÝ</t>
  </si>
  <si>
    <t>AVANTECH YOU BOK INLAY V187 MM NL500 MM ANTRACITOVÝ LEVÝ</t>
  </si>
  <si>
    <t>AVANTECH YOU BOK INLAY V187 MM NL500 MM ANTRACITOVÝ PRAVÝ</t>
  </si>
  <si>
    <t>AVANTECH YOU BOK INLAY V187 MM NL550 MM ANTRACITOVÝ LEVÝ</t>
  </si>
  <si>
    <t>AVANTECH YOU BOK INLAY V187 MM NL550 MM ANTRACITOVÝ PRAVÝ</t>
  </si>
  <si>
    <t>AVANTECH YOU BOK INLAY V187 MM NL600 MM ANTRACITOVÝ LEVÝ</t>
  </si>
  <si>
    <t>AVANTECH YOU BOK INLAY V187 MM NL600 MM ANTRACITOVÝ PRAVÝ</t>
  </si>
  <si>
    <t>AVANTECH YOU BOK INLAY V187 MM NL650 MM ANTRACITOVÝ LEVÝ</t>
  </si>
  <si>
    <t>AVANTECH YOU BOK INLAY V187 MM NL650 MM ANTRACITOVÝ PRAVÝ</t>
  </si>
  <si>
    <t>AVANTECH YOU PŘÍCHYTKA ČELA PRO BOK INLAY, K NAŠROUBOVÁNÍ</t>
  </si>
  <si>
    <t>AVANTECH YOU PŘÍCHYTKA ČELA PRO BOK INLAY, K ZALISOVÁNÍ</t>
  </si>
  <si>
    <t>AVANTECH YOU ADAPTÉR NA 8 MM PRO BOK INLAY</t>
  </si>
  <si>
    <t>AVANTECH YOU ALU PROFIL VNITŘNÍ ČELO V101 MM L2000 MM STŘÍBRNÁ</t>
  </si>
  <si>
    <t>AVANTECH YOU ALU PROFIL VNITŘNÍ ČELO V139 MM L2000 MM STŘÍBRNÁ</t>
  </si>
  <si>
    <t>AVANTECH YOU ALU PROFIL VNITŘNÍ ČELO V187 MM L2000 MM STŘÍBRNÁ</t>
  </si>
  <si>
    <t>AVANTECH YOU ALU PROFIL VNITŘNÍ ČELO V101 MM L2000 MM BÍLÁ</t>
  </si>
  <si>
    <t>AVANTECH YOU ALU PROFIL VNITŘNÍ ČELO V139 MM L2000 MM BÍLÁ</t>
  </si>
  <si>
    <t>AVANTECH YOU ALU PROFIL VNITŘNÍ ČELO V187 MM L2000 MM BÍLÁ</t>
  </si>
  <si>
    <t>AVANTECH YOU ALU PROFIL VNITŘNÍ ČELO V101 MM L2000 MM ANTRACITOVÁ</t>
  </si>
  <si>
    <t>AVANTECH YOU ALU PROFIL VNITŘNÍ ČELO V139 MM L2000 MM ANTRACITOVÁ</t>
  </si>
  <si>
    <t>AVANTECH YOU ALU PROFIL VNITŘNÍ ČELO V187 MM L2000 MM ANTRACITOVÁ</t>
  </si>
  <si>
    <t>AVANTECH YOU SADA SPOJEK PRO VNITŘNÍ ČELO K BOKŮM V101 MM STŘÍBRNÁ</t>
  </si>
  <si>
    <t>AVANTECH YOU SADA SPOJEK PRO VNITŘNÍ ČELO K BOKŮM V139 MM STŘÍBRNÁ</t>
  </si>
  <si>
    <t>AVANTECH YOU SADA SPOJEK PRO VNITŘNÍ ČELO K BOKŮM V187 MM STŘÍBRNÁ</t>
  </si>
  <si>
    <t>AVANTECH YOU SADA SPOJEK PRO VNITŘNÍ ČELO K BOKŮM V101 MM BÍLÁ</t>
  </si>
  <si>
    <t>AVANTECH YOU SADA SPOJEK PRO VNITŘNÍ ČELO K BOKŮM V139 MM BÍLÁ</t>
  </si>
  <si>
    <t>AVANTECH YOU SADA SPOJEK PRO VNITŘNÍ ČELO K BOKŮM V187 MM BÍLÁ</t>
  </si>
  <si>
    <t>AVANTECH YOU SADA SPOJEK PRO VNITŘNÍ ČELO K BOKŮM V101 MM ANTRACITOVÁ</t>
  </si>
  <si>
    <t>AVANTECH YOU SADA SPOJEK PRO VNITŘNÍ ČELO K BOKŮM V139 MM ANTRACITOVÁ</t>
  </si>
  <si>
    <t>AVANTECH YOU SADA SPOJEK PRO VNITŘNÍ ČELO K BOKŮM V187 MM ANTRACITOVÁ</t>
  </si>
  <si>
    <t>AVANTECH YOU SADA SPOJEK PRO VNITŘNÍ ČELO K BOKŮM INLAY V187 MM STŘÍBRNÁ</t>
  </si>
  <si>
    <t>AVANTECH YOU SADA SPOJEK PRO VNITŘNÍ ČELO K BOKŮM INLAY V187 MM BÍLÁ</t>
  </si>
  <si>
    <t>AVANTECH YOU SADA SPOJEK PRO VNITŘNÍ ČELO K BOKŮM INLAY V187 MM ANTRACITOVÁ</t>
  </si>
  <si>
    <t>AVANTECH YOU STABILIZÁTOR ČELA VNITŘNÍ ZÁSUVKY</t>
  </si>
  <si>
    <t>AVANTECH YOU UNAŠEČ PRO VNITŘNÍ ČELO SADA STŘÍBRNÁ</t>
  </si>
  <si>
    <t>AVANTECH YOU UNAŠEČ PRO VNITŘNÍ ČELO SADA BÍLÁ</t>
  </si>
  <si>
    <t>AVANTECH YOU UNAŠEČ PRO VNITŘNÍ ČELO SADA ANTRACITOVÁ</t>
  </si>
  <si>
    <t>AVANTECH YOU KONCOVÁ KRYTKA ČELA VNITŘNÍ ZÁSUVKY V101 STŘÍBRNÁ</t>
  </si>
  <si>
    <t>AVANTECH YOU KONCOVÁ KRYTKA ČELA VNITŘNÍ ZÁSUVKY V139 STŘÍBRNÁ</t>
  </si>
  <si>
    <t>AVANTECH YOU KONCOVÁ KRYTKA ČELA VNITŘNÍ ZÁSUVKY V187 STŘÍBRNÁ</t>
  </si>
  <si>
    <t>AVANTECH YOU KONCOVÁ KRYTKA ČELA VNITŘNÍ ZÁSUVKY V101 BÍLÁ</t>
  </si>
  <si>
    <t>AVANTECH YOU KONCOVÁ KRYTKA ČELA VNITŘNÍ ZÁSUVKY V139 BÍLÁ</t>
  </si>
  <si>
    <t>AVANTECH YOU KONCOVÁ KRYTKA ČELA VNITŘNÍ ZÁSUVKY V187 BÍLÁ</t>
  </si>
  <si>
    <t>AVANTECH YOU KONCOVÁ KRYTKA ČELA VNITŘNÍ ZÁSUVKY V101 ANTRACIT</t>
  </si>
  <si>
    <t>AVANTECH YOU KONCOVÁ KRYTKA ČELA VNITŘNÍ ZÁSUVKY V139 ANTRACIT</t>
  </si>
  <si>
    <t>AVANTECH YOU KONCOVÁ KRYTKA ČELA VNITŘNÍ ZÁSUVKY V187 ANTRACIT</t>
  </si>
  <si>
    <t>AVANTECH YOU NOSNÝ PROFIL PRO VNITŘNÍ ČELO INLAY L2000 MM STŘÍBRNÁ</t>
  </si>
  <si>
    <t>AVANTECH YOU NOSNÝ PROFIL PRO VNITŘNÍ ČELO INLAY L2000 MM BÍLÁ</t>
  </si>
  <si>
    <t>AVANTECH YOU NOSNÝ PROFIL PRO VNITŘNÍ ČELO INLAY L2000 MM ANTRACITOVÁ</t>
  </si>
  <si>
    <t>AVANTECH YOU SADA SPOJEK PRO VNITŘNÍ ČELO INLAY K BOKŮM STANDARD V187 MM STŘÍBRNÁ</t>
  </si>
  <si>
    <t>AVANTECH YOU SADA SPOJEK PRO VNITŘNÍ ČELO INLAY K BOKŮM STANDARD V187 MM BÍLÁ</t>
  </si>
  <si>
    <t>AVANTECH YOU SADA SPOJEK PRO VNITŘNÍ ČELO INLAY K BOKŮM STANDARD V187 MM ANTRACITOVÁ</t>
  </si>
  <si>
    <t>AVANTECH YOU SADA SPOJEK PRO VNITŘNÍ ČELO INLAY K BOKŮM INLAY V187 MM STŘÍBRNÁ</t>
  </si>
  <si>
    <t>AVANTECH YOU SADA SPOJEK PRO VNITŘNÍ ČELO INLAY K BOKŮM INLAY V187 MM BÍLÁ</t>
  </si>
  <si>
    <t>AVANTECH YOU SADA SPOJEK PRO VNITŘNÍ ČELO INLAY K BOKŮM INLAY V187 MM ANTRACITOVÁ</t>
  </si>
  <si>
    <t>AVANTECH YOU DEKORATIVNÍ PROFIL NL270 MM HLINÍK</t>
  </si>
  <si>
    <t>AVANTECH YOU DEKORATIVNÍ PROFIL NL300 MM HLINÍK</t>
  </si>
  <si>
    <t>AVANTECH YOU DEKORATIVNÍ PROFIL NL350 MM HLINÍK</t>
  </si>
  <si>
    <t>AVANTECH YOU DEKORATIVNÍ PROFIL NL400 MM HLINÍK</t>
  </si>
  <si>
    <t>AVANTECH YOU DEKORATIVNÍ PROFIL NL450 MM HLINÍK</t>
  </si>
  <si>
    <t>AVANTECH YOU DEKORATIVNÍ PROFIL NL500 MM HLINÍK</t>
  </si>
  <si>
    <t>AVANTECH YOU DEKORATIVNÍ PROFIL NL550 MM HLINÍK</t>
  </si>
  <si>
    <t>AVANTECH YOU DEKORATIVNÍ PROFIL NL600 MM HLINÍK</t>
  </si>
  <si>
    <t>AVANTECH YOU DEKORATIVNÍ PROFIL NL650 MM HLINÍK</t>
  </si>
  <si>
    <t>AVANTECH YOU DEKORATIVNÍ PROFIL NL270 MM NEREZ</t>
  </si>
  <si>
    <t>AVANTECH YOU DEKORATIVNÍ PROFIL NL300 MM NEREZ</t>
  </si>
  <si>
    <t>AVANTECH YOU DEKORATIVNÍ PROFIL NL350 MM NEREZ</t>
  </si>
  <si>
    <t>AVANTECH YOU DEKORATIVNÍ PROFIL NL400 MM NEREZ</t>
  </si>
  <si>
    <t>AVANTECH YOU DEKORATIVNÍ PROFIL NL450 MM NEREZ</t>
  </si>
  <si>
    <t>AVANTECH YOU DEKORATIVNÍ PROFIL NL500 MM NEREZ</t>
  </si>
  <si>
    <t>AVANTECH YOU DEKORATIVNÍ PROFIL NL550 MM NEREZ</t>
  </si>
  <si>
    <t>AVANTECH YOU DEKORATIVNÍ PROFIL NL600 MM NEREZ</t>
  </si>
  <si>
    <t>AVANTECH YOU DEKORATIVNÍ PROFIL NL650 MM NEREZ</t>
  </si>
  <si>
    <t>AVANTECH YOU DEKORATIVNÍ PROFIL NL270 MM CHROM</t>
  </si>
  <si>
    <t>AVANTECH YOU DEKORATIVNÍ PROFIL NL300 MM CHROM</t>
  </si>
  <si>
    <t>AVANTECH YOU DEKORATIVNÍ PROFIL NL350 MM CHROM</t>
  </si>
  <si>
    <t>AVANTECH YOU DEKORATIVNÍ PROFIL NL400 MM CHROM</t>
  </si>
  <si>
    <t>AVANTECH YOU DEKORATIVNÍ PROFIL NL450 MM CHROM</t>
  </si>
  <si>
    <t>AVANTECH YOU DEKORATIVNÍ PROFIL NL500 MM CHROM</t>
  </si>
  <si>
    <t>AVANTECH YOU DEKORATIVNÍ PROFIL NL550 MM CHROM</t>
  </si>
  <si>
    <t>AVANTECH YOU DEKORATIVNÍ PROFIL NL600 MM CHROM</t>
  </si>
  <si>
    <t>AVANTECH YOU DEKORATIVNÍ PROFIL NL650 MM CHROM</t>
  </si>
  <si>
    <t>AVANTECH YOU DEKORATIVNÍ PROFIL NL270 MM DUB</t>
  </si>
  <si>
    <t>AVANTECH YOU DEKORATIVNÍ PROFIL NL300 MM DUB</t>
  </si>
  <si>
    <t>AVANTECH YOU DEKORATIVNÍ PROFIL NL350 MM DUB</t>
  </si>
  <si>
    <t>AVANTECH YOU DEKORATIVNÍ PROFIL NL400 MM DUB</t>
  </si>
  <si>
    <t>AVANTECH YOU DEKORATIVNÍ PROFIL NL450 MM DUB</t>
  </si>
  <si>
    <t>AVANTECH YOU DEKORATIVNÍ PROFIL NL500 MM DUB</t>
  </si>
  <si>
    <t>AVANTECH YOU DEKORATIVNÍ PROFIL NL550 MM DUB</t>
  </si>
  <si>
    <t>AVANTECH YOU DEKORATIVNÍ PROFIL NL600 MM DUB</t>
  </si>
  <si>
    <t>AVANTECH YOU DEKORATIVNÍ PROFIL NL650 MM DUB</t>
  </si>
  <si>
    <t>AVANTECH YOU DEKORATIVNÍ PROFIL NL270 MM OŘECH</t>
  </si>
  <si>
    <t>AVANTECH YOU DEKORATIVNÍ PROFIL NL300 MM OŘECH</t>
  </si>
  <si>
    <t>AVANTECH YOU DEKORATIVNÍ PROFIL NL350 MM OŘECH</t>
  </si>
  <si>
    <t>AVANTECH YOU DEKORATIVNÍ PROFIL NL400 MM OŘECH</t>
  </si>
  <si>
    <t>AVANTECH YOU DEKORATIVNÍ PROFIL NL450 MM OŘECH</t>
  </si>
  <si>
    <t>AVANTECH YOU DEKORATIVNÍ PROFIL NL500 MM OŘECH</t>
  </si>
  <si>
    <t>AVANTECH YOU DEKORATIVNÍ PROFIL NL550 MM OŘECH</t>
  </si>
  <si>
    <t>AVANTECH YOU DEKORATIVNÍ PROFIL NL600 MM OŘECH</t>
  </si>
  <si>
    <t>AVANTECH YOU DEKORATIVNÍ PROFIL NL650 MM OŘECH</t>
  </si>
  <si>
    <t>AVANTECH YOU DEKORATIVNÍ PROFIL INDIVIDUÁLNÍ L2000 MM ŠEDÝ</t>
  </si>
  <si>
    <t>AVANTECH YOU DESIGNCAPE V101 MM L2000 MM SADA ALU. FINIŠ</t>
  </si>
  <si>
    <t>AVANTECH YOU DESIGNCAPE V187 MM L2000 MM SADA ALU. FINIŠ</t>
  </si>
  <si>
    <t>AVANTECH YOU DESIGNCAPE V101 MM L2000 MM SADA NEREZ. FINIŠ</t>
  </si>
  <si>
    <t>AVANTECH YOU DESIGNCAPE V187 MM L2000 MM SADA NEREZ. FINIŠ</t>
  </si>
  <si>
    <t xml:space="preserve">AVANTECH YOU KLIP STŘÍBRNÝ LOGO HETTICH </t>
  </si>
  <si>
    <t xml:space="preserve">AVANTECH YOU KLIP BÍLÝ LOGO HETTICH </t>
  </si>
  <si>
    <t xml:space="preserve">AVANTECH YOU KLIP ANTRACITOVÝ LOGO HETTICH </t>
  </si>
  <si>
    <t xml:space="preserve">AVANTECH YOU KLIP STŘÍBRNÝ BEZ LOGA </t>
  </si>
  <si>
    <t xml:space="preserve">AVANTECH YOU KLIP BÍLÝ BEZ LOGA </t>
  </si>
  <si>
    <t xml:space="preserve">AVANTECH YOU KLIP ANTRACITOVÝ BEZ LOGA </t>
  </si>
  <si>
    <t>ARCITECH STABILIZÁTOR ČELA</t>
  </si>
  <si>
    <t>AVANTECH YOU SKLENĚNÁ VÝPLŇ 10 MM K BOKŮM INLAY NL350 MM</t>
  </si>
  <si>
    <t>AVANTECH YOU SKLENĚNÁ VÝPLŇ 10 MM K BOKŮM INLAY NL400 MM</t>
  </si>
  <si>
    <t>AVANTECH YOU SKLENĚNÁ VÝPLŇ 10 MM K BOKŮM INLAY NL450 MM</t>
  </si>
  <si>
    <t>AVANTECH YOU SKLENĚNÁ VÝPLŇ 10 MM K BOKŮM INLAY NL500 MM</t>
  </si>
  <si>
    <t>AVANTECH YOU SKLENĚNÁ VÝPLŇ 10 MM K BOKŮM INLAY NL550 MM</t>
  </si>
  <si>
    <t>AVANTECH YOU SKLENĚNÁ VÝPLŇ 10 MM K BOKŮM INLAY NL600 MM</t>
  </si>
  <si>
    <t>AVANTECH YOU SKLENĚNÁ VÝPLŇ 10 MM K BOKŮM INLAY NL650 MM</t>
  </si>
  <si>
    <t>AVANTECH YOU SKLENĚNÁ VÝPLŇ 10 MM K ČELU INLAY V66 MM Š450 MM KD16 MM</t>
  </si>
  <si>
    <t>AVANTECH YOU SKLENĚNÁ VÝPLŇ 10 MM K ČELU INLAY V66 MM Š600 MM KD16 MM</t>
  </si>
  <si>
    <t>AVANTECH YOU SKLENĚNÁ VÝPLŇ 10 MM K ČELU INLAY V66 MM Š900 MM KD16 MM</t>
  </si>
  <si>
    <t>AVANTECH YOU SKLENĚNÁ VÝPLŇ 10 MM K ČELU INLAY V66 MM Š1200 MM KD16 MM</t>
  </si>
  <si>
    <t>AVANTECH YOU SKLENĚNÁ VÝPLŇ 10 MM K ČELU INLAY V66 MM Š450 MM KD18 MM</t>
  </si>
  <si>
    <t>AVANTECH YOU SKLENĚNÁ VÝPLŇ 10 MM K ČELU INLAY V66 MM Š600 MM KD18 MM</t>
  </si>
  <si>
    <t>AVANTECH YOU SKLENĚNÁ VÝPLŇ 10 MM K ČELU INLAY V66 MM Š900 MM KD18 MM</t>
  </si>
  <si>
    <t>AVANTECH YOU SKLENĚNÁ VÝPLŇ 10 MM K ČELU INLAY V66 MM Š1200 MM KD18 MM</t>
  </si>
  <si>
    <t>AVANTECH YOU SKLENĚNÁ VÝPLŇ 10 MM K ČELU INLAY V66 MM Š450 MM KD19 MM</t>
  </si>
  <si>
    <t>AVANTECH YOU SKLENĚNÁ VÝPLŇ 10 MM K ČELU INLAY V66 MM Š600 MM KD19 MM</t>
  </si>
  <si>
    <t>AVANTECH YOU SKLENĚNÁ VÝPLŇ 10 MM K ČELU INLAY V66 MM Š900 MM KD19 MM</t>
  </si>
  <si>
    <t>AVANTECH YOU SKLENĚNÁ VÝPLŇ 10 MM K ČELU INLAY V66 MM Š1200 MM KD19 MM</t>
  </si>
  <si>
    <t>AVANTECH YOU SKLENĚNÁ VÝPLŇ 10 MM K ČELU INLAY V130 MM Š450 MM KD16 MM</t>
  </si>
  <si>
    <t>AVANTECH YOU SKLENĚNÁ VÝPLŇ 10 MM K ČELU INLAY V130 MM Š600 MM KD16 MM</t>
  </si>
  <si>
    <t>AVANTECH YOU SKLENĚNÁ VÝPLŇ 10 MM K ČELU INLAY V130 MM Š900 MM KD16 MM</t>
  </si>
  <si>
    <t>AVANTECH YOU SKLENĚNÁ VÝPLŇ 10 MM K ČELU INLAY V130 MM Š1200 MM KD16 MM</t>
  </si>
  <si>
    <t>AVANTECH YOU SKLENĚNÁ VÝPLŇ 10 MM K ČELU INLAY V130 MM Š450 MM KD18 MM</t>
  </si>
  <si>
    <t>AVANTECH YOU SKLENĚNÁ VÝPLŇ 10 MM K ČELU INLAY V130 MM Š600 MM KD18 MM</t>
  </si>
  <si>
    <t>AVANTECH YOU SKLENĚNÁ VÝPLŇ 10 MM K ČELU INLAY V130 MM Š900 MM KD18 MM</t>
  </si>
  <si>
    <t>AVANTECH YOU SKLENĚNÁ VÝPLŇ 10 MM K ČELU INLAY V130 MM Š1200 MM KD18 MM</t>
  </si>
  <si>
    <t>AVANTECH YOU SKLENĚNÁ VÝPLŇ 10 MM K ČELU INLAY V130 MM Š450 MM KD19 MM</t>
  </si>
  <si>
    <t>AVANTECH YOU SKLENĚNÁ VÝPLŇ 10 MM K ČELU INLAY V130 MM Š600 MM KD19 MM</t>
  </si>
  <si>
    <t>AVANTECH YOU SKLENĚNÁ VÝPLŇ 10 MM K ČELU INLAY V130 MM Š900 MM KD19 MM</t>
  </si>
  <si>
    <t>AVANTECH YOU SKLENĚNÁ VÝPLŇ 10 MM K ČELU INLAY V130 MM Š1200 MM KD19 MM</t>
  </si>
  <si>
    <t>AVANTECH YOU VRUT 3,5X6,5 PANHEAD POZINK.</t>
  </si>
  <si>
    <t>VRUT PANHEAD 35X12</t>
  </si>
  <si>
    <t>VRUT PANHEAD 35X20</t>
  </si>
  <si>
    <t>AVANTECH YOU VRUT 3,5X30 PANHEAD POZINK.</t>
  </si>
  <si>
    <t>SAMOŘEZNÝ ŠROUB 3,5X12 PANHEAD POZINK.</t>
  </si>
  <si>
    <t>EUROŠROUB DBS 60 X 14</t>
  </si>
  <si>
    <t>ACTRO YOU 10KG PLNOVÝSUV 270 MM EB21 SILENT SYSTEM SADA</t>
  </si>
  <si>
    <t>ACTRO YOU 10KG PLNOVÝSUV 300 MM EB21 SILENT SYSTEM SADA</t>
  </si>
  <si>
    <t>ACTRO YOU 10KG PLNOVÝSUV 350 MM EB21 SILENT SYSTEM SADA</t>
  </si>
  <si>
    <t>ACTRO YOU 10KG PLNOVÝSUV 270 MM EB21 SILENT SYSTEM LEVÝ</t>
  </si>
  <si>
    <t>ACTRO YOU 10KG PLNOVÝSUV 270 MM EB21 SILENT SYSTEM PRAVÝ</t>
  </si>
  <si>
    <t>ACTRO YOU 10KG PLNOVÝSUV 300 MM EB21 SILENT SYSTEM LEVÝ</t>
  </si>
  <si>
    <t>ACTRO YOU 10KG PLNOVÝSUV 300 MM EB21 SILENT SYSTEM PRAVÝ</t>
  </si>
  <si>
    <t>ACTRO YOU 10KG PLNOVÝSUV 350 MM EB21 SILENT SYSTEM LEVÝ</t>
  </si>
  <si>
    <t>ACTRO YOU 10KG PLNOVÝSUV 350 MM EB21 SILENT SYSTEM PRAVÝ</t>
  </si>
  <si>
    <t>ACTRO YOU 40KG PLNOVÝSUV 270 MM EB21 SILENT SYSTEM SADA</t>
  </si>
  <si>
    <t>ACTRO YOU 40KG PLNOVÝSUV 300 MM EB21 SILENT SYSTEM SADA</t>
  </si>
  <si>
    <t>ACTRO YOU 40KG PLNOVÝSUV 350 MM EB21 SILENT SYSTEM SADA</t>
  </si>
  <si>
    <t>ACTRO YOU 40KG PLNOVÝSUV 400 MM EB21 SILENT SYSTEM SADA</t>
  </si>
  <si>
    <t>ACTRO YOU 40KG PLNOVÝSUV 450 MM EB21 SILENT SYSTEM SADA</t>
  </si>
  <si>
    <t>ACTRO YOU 40KG PLNOVÝSUV 500 MM EB21 SILENT SYSTEM SADA</t>
  </si>
  <si>
    <t>ACTRO YOU 40KG PLNOVÝSUV 550 MM EB21 SILENT SYSTEM SADA</t>
  </si>
  <si>
    <t>ACTRO YOU 40KG PLNOVÝSUV 600 MM EB21 SILENT SYSTÉM SADA</t>
  </si>
  <si>
    <t>ACTRO YOU 40KG PLNOVÝSUV 270 MM EB21 SILENT SYSTEM LEVÝ</t>
  </si>
  <si>
    <t>ACTRO YOU 40KG PLNOVÝSUV 270 MM EB21 SILENT SYSTEM PRAVÝ</t>
  </si>
  <si>
    <t>ACTRO YOU 40KG PLNOVÝSUV 300 MM EB21 SILENT SYSTEM LEVÝ</t>
  </si>
  <si>
    <t>ACTRO YOU 40KG PLNOVÝSUV 300 MM EB21 SILENT SYSTEM PRAVÝ</t>
  </si>
  <si>
    <t>ACTRO YOU 40KG PLNOVÝSUV 350 MM EB21 SILENT SYSTEM LEVÝ</t>
  </si>
  <si>
    <t>ACTRO YOU 40KG PLNOVÝSUV 350 MM EB21 SILENT SYSTEM PRAVÝ</t>
  </si>
  <si>
    <t>ACTRO YOU 40KG PLNOVÝSUV 400 MM EB21 SILENT SYSTEM LEVÝ</t>
  </si>
  <si>
    <t>ACTRO YOU 40KG PLNOVÝSUV 400 MM EB21 SILENT SYSTEM PRAVÝ</t>
  </si>
  <si>
    <t>ACTRO YOU 40KG PLNOVÝSUV 450 MM EB21 SILENT SYSTEM LEVÝ</t>
  </si>
  <si>
    <t>ACTRO YOU 40KG PLNOVÝSUV 450 MM EB21 SILENT SYSTEM PRAVÝ</t>
  </si>
  <si>
    <t>ACTRO YOU 40KG PLNOVÝSUV 500 MM EB21 SILENT SYSTEM LEVÝ</t>
  </si>
  <si>
    <t>ACTRO YOU 40KG PLNOVÝSUV 500 MM EB21 SILENT SYSTEM PRAVÝ</t>
  </si>
  <si>
    <t>ACTRO YOU 40KG PLNOVÝSUV 550 MM EB21 SILENT SYSTEM LEVÝ</t>
  </si>
  <si>
    <t>ACTRO YOU 40KG PLNOVÝSUV 550 MM EB21 SILENT SYSTEM PRAVÝ</t>
  </si>
  <si>
    <t>ACTRO YOU 40KG PLNOVÝSUV 600 MM EB21 SILENT SYSTÉM LEVÝ</t>
  </si>
  <si>
    <t>ACTRO YOU 40KG PLNOVÝSUV 600 MM EB21 SILENT SYSTÉM PRAVÝ</t>
  </si>
  <si>
    <t>ACTRO YOU 70KG PLNOVÝSUV 450 MM EB21 SILENT SYSTEM SADA</t>
  </si>
  <si>
    <t>ACTRO YOU 70KG PLNOVÝSUV 500 MM EB21 SILENT SYSTEM SADA</t>
  </si>
  <si>
    <t>ACTRO YOU 70KG PLNOVÝSUV 550 MM EB21 SILENT SYSTEM SADA</t>
  </si>
  <si>
    <t>ACTRO YOU 70KG PLNOVÝSUV 600 MM EB21 SILENT SYSTEM SADA</t>
  </si>
  <si>
    <t>ACTRO YOU 70KG PLNOVÝSUV 650 MM EB21 SILENT SYSTEM SADA</t>
  </si>
  <si>
    <t>ACTRO YOU 70KG PLNOVÝSUV 450 MM EB21 SILENT SYSTEM LEVÝ</t>
  </si>
  <si>
    <t>ACTRO YOU 70KG PLNOVÝSUV 450 MM EB21 SILENT SYSTEM PRAVÝ</t>
  </si>
  <si>
    <t>ACTRO YOU 70KG PLNOVÝSUV 500 MM EB21 SILENT SYSTEM LEVÝ</t>
  </si>
  <si>
    <t>ACTRO YOU 70KG PLNOVÝSUV 500 MM EB21 SILENT SYSTEM PRAVÝ</t>
  </si>
  <si>
    <t>ACTRO YOU 70KG PLNOVÝSUV 550 MM EB21 SILENT SYSTEM LEVÝ</t>
  </si>
  <si>
    <t>ACTRO YOU 70KG PLNOVÝSUV 550 MM EB21 SILENT SYSTEM PRAVÝ</t>
  </si>
  <si>
    <t>ACTRO YOU 70KG PLNOVÝSUV 600 MM EB21 SILENT SYSTEM LEVÝ</t>
  </si>
  <si>
    <t>ACTRO YOU 70KG PLNOVÝSUV 600 MM EB21 SILENT SYSTEM PRAVÝ</t>
  </si>
  <si>
    <t>ACTRO YOU 70KG PLNOVÝSUV 650 MM EB21 SILENT SYSTEM LEVÝ</t>
  </si>
  <si>
    <t>ACTRO YOU 70KG PLNOVÝSUV 650 MM EB21 SILENT SYSTEM PRAVÝ</t>
  </si>
  <si>
    <t>PUSH TO OPEN SILENT ACTRO YOU / ACTRO 5D 10 KG</t>
  </si>
  <si>
    <t>PUSH TO OPEN SILENT ACTRO YOU / ACTRO 5D 20 KG</t>
  </si>
  <si>
    <t>PUSH TO OPEN SILENT ACTRO YOU / ACTRO 5D 40 KG</t>
  </si>
  <si>
    <t>PUSH TO OPEN SILENT ACTRO YOU / ACTRO 5D 70 KG</t>
  </si>
  <si>
    <t>PUSH TO OPEN SYNCHRONIZAČNÍ TYČ 2000 MM</t>
  </si>
  <si>
    <t>PUSH TO OPEN SYNCHRO SPOJKA</t>
  </si>
  <si>
    <t>PUSH TO OPEN SILENT ACTRO YOU MULTISYNCHRO - SPOJKA</t>
  </si>
  <si>
    <t>PUSH TO OPEN SILENT SYNCHRO ADAPTÉR FLEXIBILNÍ</t>
  </si>
  <si>
    <t>PUSH TO OPEN SILENT ACTRO YOU SYNCHRO POSUNUTÉ NAPOJENÍ</t>
  </si>
  <si>
    <t>QUADRO YOU 10 KG PLNOVÝSUV 270 MM EB21 SILENT SYSTEM SADA</t>
  </si>
  <si>
    <t>QUADRO YOU 10 KG PLNOVÝSUV 300 MM EB21 SILENT SYSTEM SADA</t>
  </si>
  <si>
    <t>QUADRO YOU 10 KG PLNOVÝSUV 350 MM EB21 SILENT SYSTEM SADA</t>
  </si>
  <si>
    <t>QUADRO YOU 10 KG PLNOVÝSUV 270 MM EB21 SILENT SYSTEM LEVÝ</t>
  </si>
  <si>
    <t>QUADRO YOU 10 KG PLNOVÝSUV 270 MM EB21 SILENT SYSTEM PRAVÝ</t>
  </si>
  <si>
    <t>QUADRO YOU 10 KG PLNOVÝSUV 300 MM EB21 SILENT SYSTEM LEVÝ</t>
  </si>
  <si>
    <t>QUADRO YOU 10 KG PLNOVÝSUV 300 MM EB21 SILENT SYSTEM PRAVÝ</t>
  </si>
  <si>
    <t>QUADRO YOU 10 KG PLNOVÝSUV 350 MM EB21 SILENT SYSTEM LEVÝ</t>
  </si>
  <si>
    <t>QUADRO YOU 10 KG PLNOVÝSUV 350 MM EB21 SILENT SYSTEM PRAVÝ</t>
  </si>
  <si>
    <t>QUADRO YOU PLNOVÝSUV 270 MM EB21 SILENT SYSTEM SADA</t>
  </si>
  <si>
    <t>QUADRO YOU PLNOVÝSUV 300 MM EB21 SILENT SYSTEM SADA</t>
  </si>
  <si>
    <t>QUADRO YOU PLNOVÝSUV 350 MM EB21 SILENT SYSTEM SADA</t>
  </si>
  <si>
    <t>QUADRO YOU PLNOVÝSUV 400 MM EB21 SILENT SYSTEM SADA</t>
  </si>
  <si>
    <t>QUADRO YOU PLNOVÝSUV 450 MM EB21 SILENT SYSTEM SADA</t>
  </si>
  <si>
    <t>QUADRO YOU PLNOVÝSUV 500 MM EB21 SILENT SYSTEM SADA</t>
  </si>
  <si>
    <t>QUADRO YOU PLNOVÝSUV 550 MM EB21 SILENT SYSTEM SADA</t>
  </si>
  <si>
    <t>QUADRO YOU PLNOVÝSUV 600 MM EB21 SILENT SYSTEM SADA</t>
  </si>
  <si>
    <t>QUADRO YOU PLNOVÝSUV 270 MM EB21 SILENT SYSTEM LEVÝ</t>
  </si>
  <si>
    <t>QUADRO YOU PLNOVÝSUV 270 MM EB21 SILENT SYSTEM PRAVÝ</t>
  </si>
  <si>
    <t>QUADRO YOU PLNOVÝSUV 300 MM EB21 SILENT SYSTEM LEVÝ</t>
  </si>
  <si>
    <t>QUADRO YOU PLNOVÝSUV 300 MM EB21 SILENT SYSTEM PRAVÝ</t>
  </si>
  <si>
    <t>QUADRO YOU PLNOVÝSUV 350 MM EB21 SILENT SYSTEM LEVÝ</t>
  </si>
  <si>
    <t>QUADRO YOU PLNOVÝSUV 350 MM EB21 SILENT SYSTEM PRAVÝ</t>
  </si>
  <si>
    <t>QUADRO YOU PLNOVÝSUV 400 MM EB21 SILENT SYSTEM LEVÝ</t>
  </si>
  <si>
    <t>QUADRO YOU PLNOVÝSUV 400 MM EB21 SILENT SYSTEM PRAVÝ</t>
  </si>
  <si>
    <t>QUADRO YOU PLNOVÝSUV 450 MM EB21 SILENT SYSTEM LEVÝ</t>
  </si>
  <si>
    <t>QUADRO YOU PLNOVÝSUV 450 MM EB21 SILENT SYSTEM PRAVÝ</t>
  </si>
  <si>
    <t>QUADRO YOU PLNOVÝSUV 500 MM EB21 SILENT SYSTEM LEVÝ</t>
  </si>
  <si>
    <t>QUADRO YOU PLNOVÝSUV 500 MM EB21 SILENT SYSTEM PRAVÝ</t>
  </si>
  <si>
    <t>QUADRO YOU PLNOVÝSUV 550 MM EB21 SILENT SYSTEM LEVÝ</t>
  </si>
  <si>
    <t>QUADRO YOU PLNOVÝSUV 550 MM EB21 SILENT SYSTEM PRAVÝ</t>
  </si>
  <si>
    <t>QUADRO YOU PLNOVÝSUV 600 MM EB21 SILENT SYSTEM LEVÝ</t>
  </si>
  <si>
    <t>QUADRO YOU PLNOVÝSUV 600 MM EB21 SILENT SYSTEM PRAVÝ</t>
  </si>
  <si>
    <t>PUSH TO OPEN SILENT QUADRO YOU 10 KG</t>
  </si>
  <si>
    <t>PUSH TO OPEN SILENT QUADRO YOU 20 KG</t>
  </si>
  <si>
    <t>PUSH TO OPEN SILENT QUADRO YOU 30 KG</t>
  </si>
  <si>
    <t>QUADRO YOU PLNOVÝSUV 270 MM EB21 PUSH TO OPEN SADA</t>
  </si>
  <si>
    <t>QUADRO YOU PLNOVÝSUV 300 MM EB21 PUSH TO OPEN SADA</t>
  </si>
  <si>
    <t>QUADRO YOU PLNOVÝSUV 350 MM EB21 PUSH TO OPEN SADA</t>
  </si>
  <si>
    <t>QUADRO YOU PLNOVÝSUV 400 MM EB21 PUSH TO OPEN SADA</t>
  </si>
  <si>
    <t>QUADRO YOU PLNOVÝSUV 450 MM EB21 PUSH TO OPEN SADA</t>
  </si>
  <si>
    <t>QUADRO YOU PLNOVÝSUV 500 MM EB21 PUSH TO OPEN SADA</t>
  </si>
  <si>
    <t>QUADRO YOU PLNOVÝSUV 550 MM EB21 PUSH TO OPEN SADA</t>
  </si>
  <si>
    <t>QUADRO YOU PLNOVÝSUV 600 MM EB21 PUSH TO OPEN SADA</t>
  </si>
  <si>
    <t>QUADRO YOU PLNOVÝSUV 270 MM EB21 PUSH TO OPEN LEVÝ</t>
  </si>
  <si>
    <t>QUADRO YOU PLNOVÝSUV 270 MM EB21 PUSH TO OPEN PRAVÝ</t>
  </si>
  <si>
    <t>QUADRO YOU PLNOVÝSUV 300 MM EB21 PUSH TO OPEN LEVÝ</t>
  </si>
  <si>
    <t>QUADRO YOU PLNOVÝSUV 300 MM EB21 PUSH TO OPEN PRAVÝ</t>
  </si>
  <si>
    <t>QUADRO YOU PLNOVÝSUV 350 MM EB21 PUSH TO OPEN LEVÝ</t>
  </si>
  <si>
    <t>QUADRO YOU PLNOVÝSUV 350 MM EB21 PUSH TO OPEN PRAVÝ</t>
  </si>
  <si>
    <t>QUADRO YOU PLNOVÝSUV 400 MM EB21 PUSH TO OPEN LEVÝ</t>
  </si>
  <si>
    <t>QUADRO YOU PLNOVÝSUV 400 MM EB21 PUSH TO OPEN PRAVÝ</t>
  </si>
  <si>
    <t>QUADRO YOU PLNOVÝSUV 450 MM EB21 PUSH TO OPEN LEVÝ</t>
  </si>
  <si>
    <t>QUADRO YOU PLNOVÝSUV 450 MM EB21 PUSH TO OPEN PRAVÝ</t>
  </si>
  <si>
    <t>QUADRO YOU PLNOVÝSUV 500 MM EB21 PUSH TO OPEN LEVÝ</t>
  </si>
  <si>
    <t>QUADRO YOU PLNOVÝSUV 500 MM EB21 PUSH TO OPEN PRAVÝ</t>
  </si>
  <si>
    <t>QUADRO YOU PLNOVÝSUV 550 MM EB21 PUSH TO OPEN LEVÝ</t>
  </si>
  <si>
    <t>QUADRO YOU PLNOVÝSUV 550 MM EB21 PUSH TO OPEN PRAVÝ</t>
  </si>
  <si>
    <t>QUADRO YOU PLNOVÝSUV 600 MM EB21 PUSH TO OPEN LEVÝ</t>
  </si>
  <si>
    <t>QUADRO YOU PLNOVÝSUV 600 MM EB21 PUSH TO OPEN PRAVÝ</t>
  </si>
  <si>
    <t>PUSH TO OPEN SYNCHRO ADAPTÉR TYP A</t>
  </si>
  <si>
    <t>SENSYS 8657I 165° B12,5 TH52</t>
  </si>
  <si>
    <t>SENSYS 8657 165° B12,5 TH52 BEZ TLUMIČE</t>
  </si>
  <si>
    <t>SENSYS 8687 165° B12,5 TH52 BEZ PRUŽINY</t>
  </si>
  <si>
    <t xml:space="preserve">PODLOŽKA 8099 D1,5 </t>
  </si>
  <si>
    <t>PODLOŽKA 8099 D1,5 EXCENTR VRUTY</t>
  </si>
  <si>
    <t>Tlačítko "RESET" funguje jenom při zapnuté funkci MAKRO. Pokud není zapnutá, musíte pole vymazat ručne.</t>
  </si>
  <si>
    <r>
      <t xml:space="preserve">Konfigurátor  </t>
    </r>
    <r>
      <rPr>
        <b/>
        <sz val="16"/>
        <rFont val="Arial"/>
        <family val="2"/>
        <charset val="238"/>
      </rPr>
      <t>AvanTech YOU</t>
    </r>
  </si>
  <si>
    <t>AvanTech YOU</t>
  </si>
  <si>
    <t xml:space="preserve"> Základní údaje // Nápověda</t>
  </si>
  <si>
    <t>způsob balení:</t>
  </si>
  <si>
    <t>žádná</t>
  </si>
  <si>
    <t>chrom</t>
  </si>
  <si>
    <t>zásuvka základní</t>
  </si>
  <si>
    <t>min.vestavná výška [mm] :</t>
  </si>
  <si>
    <t>P2O Silent pro Actro</t>
  </si>
  <si>
    <t>P2O Silent pro Quadro</t>
  </si>
  <si>
    <t>Ve sloupci "Změna" můžeš upravit počty kusů jednotlivých položek.</t>
  </si>
  <si>
    <t>SiSy = tlumení Silent System</t>
  </si>
  <si>
    <t>P2O/SiSy = tlumení s otvíráním bez úchytky Push to open Silent</t>
  </si>
  <si>
    <t>SiSy = tlmenie Silent System</t>
  </si>
  <si>
    <t>P2O/SiSy = tlmenie s otváraním bez úchytky Push to open Silent</t>
  </si>
  <si>
    <t>P2O Silent = tlumení s otvíráním bez úchytky Push to open Silent</t>
  </si>
  <si>
    <t>P2O Silent = tlmenie s otváraním bez úchytky Push to open Silent</t>
  </si>
  <si>
    <t>P2O = otvírání bez úchytky Push to open</t>
  </si>
  <si>
    <t>P2O = otváranie bez úchytky Push to open</t>
  </si>
  <si>
    <r>
      <rPr>
        <sz val="16"/>
        <color indexed="8"/>
        <rFont val="Arial"/>
        <family val="2"/>
        <charset val="238"/>
      </rPr>
      <t>Zásuvka</t>
    </r>
    <r>
      <rPr>
        <b/>
        <sz val="16"/>
        <color indexed="8"/>
        <rFont val="Arial"/>
        <family val="2"/>
        <charset val="238"/>
      </rPr>
      <t xml:space="preserve"> AVANTECH YOU  77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</si>
  <si>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187 /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</si>
  <si>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139 /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</si>
  <si>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101 /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</si>
  <si>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187 Inlay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</si>
  <si>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187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</si>
  <si>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139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</si>
  <si>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101</t>
    </r>
  </si>
  <si>
    <r>
      <rPr>
        <sz val="16"/>
        <color indexed="8"/>
        <rFont val="Arial"/>
        <family val="2"/>
        <charset val="238"/>
      </rPr>
      <t xml:space="preserve">Zásuvka </t>
    </r>
    <r>
      <rPr>
        <b/>
        <sz val="16"/>
        <color indexed="8"/>
        <rFont val="Arial"/>
        <family val="2"/>
        <charset val="238"/>
      </rPr>
      <t>AVANTECH YOU  251</t>
    </r>
  </si>
  <si>
    <t>Démos trade, a.s.</t>
  </si>
  <si>
    <t>Škrobálkova 630/13</t>
  </si>
  <si>
    <t>718 00  Ostrava-Kunčičky</t>
  </si>
  <si>
    <t xml:space="preserve">tel. (+420) 596 223 444 </t>
  </si>
  <si>
    <t>demos@demos-trade.com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</si>
</sst>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Kč&quot;_-;\-* #,##0.00\ &quot;Kč&quot;_-;_-* &quot;-&quot;??\ &quot;Kč&quot;_-;_-@_-"/>
    <numFmt numFmtId="164" formatCode="_-* #,##0.00\ &quot;€&quot;_-;\-* #,##0.00\ &quot;€&quot;_-;_-* &quot;-&quot;??\ &quot;€&quot;_-;_-@_-"/>
    <numFmt numFmtId="165" formatCode="_-* #,##0.0000\ [$€-1]_-;\-* #,##0.0000\ [$€-1]_-;_-* &quot;-&quot;??\ [$€-1]_-;_-@_-"/>
    <numFmt numFmtId="166" formatCode="#,##0.0000_ ;\-#,##0.0000\ "/>
    <numFmt numFmtId="167" formatCode="0.0"/>
    <numFmt numFmtId="168" formatCode="#,##0&quot; ks&quot;"/>
    <numFmt numFmtId="169" formatCode="#,##0.00_ ;\-#,##0.00\ "/>
    <numFmt numFmtId="170" formatCode="#,##0&quot; mm&quot;"/>
  </numFmts>
  <fonts count="80">
    <font>
      <sz val="11"/>
      <color theme="1"/>
      <name val="RotisSanSerTEE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16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Verdana"/>
      <family val="2"/>
      <charset val="238"/>
    </font>
    <font>
      <b/>
      <sz val="14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sz val="10"/>
      <color indexed="30"/>
      <name val="Arial"/>
      <family val="2"/>
      <charset val="238"/>
    </font>
    <font>
      <b/>
      <sz val="16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color indexed="81"/>
      <name val="Arial"/>
      <family val="2"/>
      <charset val="238"/>
    </font>
    <font>
      <b/>
      <sz val="10"/>
      <color indexed="8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1"/>
      <color theme="1"/>
      <name val="RotisSanSerTEE"/>
      <family val="2"/>
      <charset val="238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rgb="FF0066CC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theme="0" tint="-0.34998626667073579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rgb="FF0070C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0"/>
      <color theme="0"/>
      <name val="Berdana"/>
      <charset val="238"/>
    </font>
    <font>
      <b/>
      <sz val="8"/>
      <color theme="1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6"/>
      <color theme="6" tint="-0.249977111117893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color rgb="FFFFFF00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5B41"/>
        <bgColor indexed="64"/>
      </patternFill>
    </fill>
    <fill>
      <patternFill patternType="solid">
        <fgColor rgb="FF72B9E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2A4A7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376B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gradientFill degree="90">
        <stop position="0">
          <color rgb="FF72B9E7"/>
        </stop>
        <stop position="1">
          <color rgb="FFDD5B41"/>
        </stop>
      </gradientFill>
    </fill>
    <fill>
      <patternFill patternType="solid">
        <fgColor rgb="FF008000"/>
        <bgColor indexed="64"/>
      </patternFill>
    </fill>
    <fill>
      <patternFill patternType="solid">
        <fgColor rgb="FFF2C2B8"/>
        <bgColor indexed="64"/>
      </patternFill>
    </fill>
    <fill>
      <patternFill patternType="solid">
        <fgColor rgb="FFD1E8F7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medium">
        <color indexed="9"/>
      </right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9"/>
      </right>
      <top style="medium">
        <color indexed="22"/>
      </top>
      <bottom style="medium">
        <color indexed="22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/>
      </top>
      <bottom style="medium">
        <color theme="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/>
      </top>
      <bottom style="medium">
        <color theme="1" tint="0.499984740745262"/>
      </bottom>
      <diagonal/>
    </border>
    <border>
      <left style="medium">
        <color indexed="9"/>
      </left>
      <right/>
      <top style="medium">
        <color theme="0"/>
      </top>
      <bottom style="medium">
        <color indexed="9"/>
      </bottom>
      <diagonal/>
    </border>
    <border>
      <left/>
      <right style="medium">
        <color indexed="9"/>
      </right>
      <top style="medium">
        <color theme="0"/>
      </top>
      <bottom style="medium">
        <color indexed="9"/>
      </bottom>
      <diagonal/>
    </border>
    <border>
      <left style="medium">
        <color theme="0"/>
      </left>
      <right/>
      <top/>
      <bottom style="medium">
        <color indexed="22"/>
      </bottom>
      <diagonal/>
    </border>
    <border>
      <left style="medium">
        <color theme="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theme="0"/>
      </right>
      <top style="medium">
        <color rgb="FFC0C0C0"/>
      </top>
      <bottom style="medium">
        <color rgb="FFC0C0C0"/>
      </bottom>
      <diagonal/>
    </border>
    <border>
      <left style="medium">
        <color theme="0"/>
      </left>
      <right/>
      <top style="medium">
        <color theme="0"/>
      </top>
      <bottom style="medium">
        <color rgb="FFC0C0C0"/>
      </bottom>
      <diagonal/>
    </border>
    <border>
      <left/>
      <right style="medium">
        <color theme="0"/>
      </right>
      <top style="medium">
        <color theme="0"/>
      </top>
      <bottom style="medium">
        <color rgb="FFC0C0C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rgb="FFC0C0C0"/>
      </top>
      <bottom style="medium">
        <color theme="0"/>
      </bottom>
      <diagonal/>
    </border>
    <border>
      <left/>
      <right style="medium">
        <color indexed="9"/>
      </right>
      <top style="medium">
        <color rgb="FFC0C0C0"/>
      </top>
      <bottom style="medium">
        <color theme="0"/>
      </bottom>
      <diagonal/>
    </border>
    <border>
      <left/>
      <right/>
      <top style="medium">
        <color theme="1" tint="0.499984740745262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1" tint="0.499984740745262"/>
      </top>
      <bottom style="medium">
        <color theme="0" tint="-0.14996795556505021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499984740745262"/>
      </bottom>
      <diagonal/>
    </border>
    <border>
      <left/>
      <right/>
      <top style="medium">
        <color indexed="64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indexed="64"/>
      </top>
      <bottom style="medium">
        <color theme="0" tint="-0.499984740745262"/>
      </bottom>
      <diagonal/>
    </border>
    <border>
      <left/>
      <right/>
      <top style="dashed">
        <color theme="0" tint="-0.499984740745262"/>
      </top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0" tint="-0.14996795556505021"/>
      </bottom>
      <diagonal/>
    </border>
    <border>
      <left/>
      <right/>
      <top style="medium">
        <color theme="1" tint="0.34998626667073579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1" tint="0.34998626667073579"/>
      </top>
      <bottom style="medium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/>
      </left>
      <right/>
      <top style="medium">
        <color indexed="22"/>
      </top>
      <bottom style="medium">
        <color rgb="FFC0C0C0"/>
      </bottom>
      <diagonal/>
    </border>
    <border>
      <left/>
      <right style="medium">
        <color theme="0"/>
      </right>
      <top style="medium">
        <color indexed="22"/>
      </top>
      <bottom style="medium">
        <color rgb="FFC0C0C0"/>
      </bottom>
      <diagonal/>
    </border>
    <border>
      <left/>
      <right/>
      <top style="medium">
        <color theme="0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rgb="FFC0C0C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medium">
        <color indexed="2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 tint="-0.24994659260841701"/>
      </right>
      <top style="medium">
        <color theme="0"/>
      </top>
      <bottom style="medium">
        <color indexed="22"/>
      </bottom>
      <diagonal/>
    </border>
    <border>
      <left style="medium">
        <color theme="0"/>
      </left>
      <right/>
      <top style="medium">
        <color theme="0"/>
      </top>
      <bottom style="medium">
        <color indexed="2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0" tint="-0.14996795556505021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22"/>
      </top>
      <bottom style="medium">
        <color rgb="FFC0C0C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indexed="22"/>
      </top>
      <bottom style="medium">
        <color indexed="2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/>
      </right>
      <top style="medium">
        <color theme="0"/>
      </top>
      <bottom style="medium">
        <color indexed="22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theme="0"/>
      </top>
      <bottom style="medium">
        <color rgb="FFC0C0C0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n">
        <color rgb="FF33CC33"/>
      </right>
      <top style="thick">
        <color rgb="FF006600"/>
      </top>
      <bottom/>
      <diagonal/>
    </border>
    <border>
      <left style="thick">
        <color rgb="FF006600"/>
      </left>
      <right/>
      <top/>
      <bottom style="thin">
        <color rgb="FF33CC33"/>
      </bottom>
      <diagonal/>
    </border>
    <border>
      <left/>
      <right/>
      <top/>
      <bottom style="thin">
        <color rgb="FF33CC33"/>
      </bottom>
      <diagonal/>
    </border>
    <border>
      <left/>
      <right style="thin">
        <color rgb="FF33CC33"/>
      </right>
      <top/>
      <bottom style="thin">
        <color rgb="FF33CC3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C0C0C0"/>
      </bottom>
      <diagonal/>
    </border>
    <border>
      <left/>
      <right style="medium">
        <color indexed="9"/>
      </right>
      <top style="medium">
        <color theme="0"/>
      </top>
      <bottom style="medium">
        <color theme="0"/>
      </bottom>
      <diagonal/>
    </border>
    <border>
      <left style="medium">
        <color indexed="9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 tint="-0.24994659260841701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/>
      </right>
      <top/>
      <bottom style="medium">
        <color theme="0" tint="-0.24994659260841701"/>
      </bottom>
      <diagonal/>
    </border>
  </borders>
  <cellStyleXfs count="6">
    <xf numFmtId="0" fontId="0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4" fontId="36" fillId="0" borderId="0" applyFont="0" applyFill="0" applyBorder="0" applyAlignment="0" applyProtection="0"/>
    <xf numFmtId="0" fontId="24" fillId="0" borderId="0"/>
    <xf numFmtId="0" fontId="39" fillId="0" borderId="0"/>
  </cellStyleXfs>
  <cellXfs count="714">
    <xf numFmtId="0" fontId="0" fillId="0" borderId="0" xfId="0"/>
    <xf numFmtId="0" fontId="1" fillId="0" borderId="1" xfId="0" applyFont="1" applyFill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40" fillId="0" borderId="0" xfId="0" applyFont="1"/>
    <xf numFmtId="0" fontId="2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9" fillId="0" borderId="0" xfId="0" applyFont="1" applyFill="1" applyBorder="1" applyAlignment="1" applyProtection="1">
      <alignment horizontal="right" vertical="center"/>
      <protection hidden="1"/>
    </xf>
    <xf numFmtId="14" fontId="9" fillId="0" borderId="2" xfId="0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Protection="1">
      <protection hidden="1"/>
    </xf>
    <xf numFmtId="0" fontId="9" fillId="0" borderId="4" xfId="0" applyFont="1" applyFill="1" applyBorder="1" applyProtection="1">
      <protection hidden="1"/>
    </xf>
    <xf numFmtId="0" fontId="9" fillId="0" borderId="5" xfId="0" applyFont="1" applyFill="1" applyBorder="1" applyProtection="1">
      <protection hidden="1"/>
    </xf>
    <xf numFmtId="0" fontId="9" fillId="0" borderId="6" xfId="0" applyFont="1" applyFill="1" applyBorder="1" applyProtection="1">
      <protection hidden="1"/>
    </xf>
    <xf numFmtId="0" fontId="9" fillId="0" borderId="7" xfId="0" applyFont="1" applyFill="1" applyBorder="1" applyProtection="1">
      <protection hidden="1"/>
    </xf>
    <xf numFmtId="0" fontId="14" fillId="0" borderId="8" xfId="0" applyFont="1" applyBorder="1" applyProtection="1">
      <protection hidden="1"/>
    </xf>
    <xf numFmtId="44" fontId="14" fillId="0" borderId="3" xfId="3" applyNumberFormat="1" applyFont="1" applyFill="1" applyBorder="1" applyAlignment="1" applyProtection="1">
      <alignment horizontal="center" wrapText="1"/>
      <protection hidden="1"/>
    </xf>
    <xf numFmtId="0" fontId="10" fillId="2" borderId="9" xfId="0" applyFont="1" applyFill="1" applyBorder="1" applyAlignment="1" applyProtection="1">
      <alignment horizontal="left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left" vertical="center"/>
      <protection hidden="1"/>
    </xf>
    <xf numFmtId="0" fontId="15" fillId="0" borderId="10" xfId="0" applyFont="1" applyFill="1" applyBorder="1" applyProtection="1">
      <protection hidden="1"/>
    </xf>
    <xf numFmtId="0" fontId="15" fillId="2" borderId="10" xfId="0" applyFont="1" applyFill="1" applyBorder="1" applyAlignment="1" applyProtection="1">
      <alignment horizontal="center" vertical="center"/>
      <protection hidden="1"/>
    </xf>
    <xf numFmtId="0" fontId="17" fillId="0" borderId="11" xfId="0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4" fontId="16" fillId="0" borderId="0" xfId="0" applyNumberFormat="1" applyFont="1" applyAlignment="1" applyProtection="1">
      <alignment horizontal="right"/>
      <protection hidden="1"/>
    </xf>
    <xf numFmtId="49" fontId="2" fillId="0" borderId="0" xfId="0" applyNumberFormat="1" applyFont="1" applyProtection="1">
      <protection hidden="1"/>
    </xf>
    <xf numFmtId="0" fontId="13" fillId="0" borderId="12" xfId="0" applyFont="1" applyBorder="1" applyAlignment="1" applyProtection="1">
      <alignment wrapText="1"/>
      <protection hidden="1"/>
    </xf>
    <xf numFmtId="0" fontId="13" fillId="0" borderId="12" xfId="0" applyFont="1" applyBorder="1" applyAlignment="1" applyProtection="1">
      <alignment horizontal="left" textRotation="90" wrapText="1"/>
      <protection hidden="1"/>
    </xf>
    <xf numFmtId="0" fontId="13" fillId="0" borderId="12" xfId="0" applyFont="1" applyBorder="1" applyAlignment="1" applyProtection="1">
      <alignment horizontal="center" wrapText="1"/>
      <protection hidden="1"/>
    </xf>
    <xf numFmtId="0" fontId="13" fillId="0" borderId="12" xfId="0" applyFont="1" applyBorder="1" applyAlignment="1" applyProtection="1">
      <alignment horizontal="right" wrapText="1"/>
      <protection hidden="1"/>
    </xf>
    <xf numFmtId="0" fontId="13" fillId="0" borderId="12" xfId="0" applyFont="1" applyBorder="1" applyAlignment="1" applyProtection="1">
      <alignment horizontal="center" textRotation="90" wrapText="1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13" xfId="0" applyFont="1" applyBorder="1" applyProtection="1">
      <protection hidden="1"/>
    </xf>
    <xf numFmtId="0" fontId="16" fillId="0" borderId="13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4" fontId="15" fillId="0" borderId="0" xfId="0" applyNumberFormat="1" applyFont="1" applyAlignment="1" applyProtection="1">
      <alignment horizontal="right" vertic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16" fillId="4" borderId="0" xfId="0" applyFont="1" applyFill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center"/>
      <protection hidden="1"/>
    </xf>
    <xf numFmtId="0" fontId="16" fillId="0" borderId="14" xfId="0" applyFont="1" applyBorder="1" applyProtection="1">
      <protection hidden="1"/>
    </xf>
    <xf numFmtId="0" fontId="17" fillId="0" borderId="14" xfId="0" applyFont="1" applyFill="1" applyBorder="1" applyAlignment="1" applyProtection="1">
      <alignment horizontal="center" vertical="center"/>
      <protection hidden="1"/>
    </xf>
    <xf numFmtId="4" fontId="16" fillId="0" borderId="14" xfId="0" applyNumberFormat="1" applyFont="1" applyBorder="1" applyProtection="1">
      <protection hidden="1"/>
    </xf>
    <xf numFmtId="0" fontId="16" fillId="0" borderId="14" xfId="0" applyFont="1" applyBorder="1" applyAlignment="1" applyProtection="1">
      <alignment horizontal="center"/>
      <protection hidden="1"/>
    </xf>
    <xf numFmtId="2" fontId="16" fillId="0" borderId="14" xfId="0" applyNumberFormat="1" applyFont="1" applyBorder="1" applyProtection="1">
      <protection hidden="1"/>
    </xf>
    <xf numFmtId="2" fontId="16" fillId="0" borderId="0" xfId="0" applyNumberFormat="1" applyFont="1" applyBorder="1" applyProtection="1">
      <protection hidden="1"/>
    </xf>
    <xf numFmtId="49" fontId="16" fillId="0" borderId="0" xfId="0" applyNumberFormat="1" applyFont="1" applyAlignment="1" applyProtection="1">
      <alignment horizontal="center"/>
      <protection hidden="1"/>
    </xf>
    <xf numFmtId="49" fontId="10" fillId="0" borderId="14" xfId="0" applyNumberFormat="1" applyFont="1" applyBorder="1" applyAlignment="1" applyProtection="1">
      <alignment horizontal="center"/>
      <protection hidden="1"/>
    </xf>
    <xf numFmtId="0" fontId="10" fillId="0" borderId="14" xfId="0" applyFont="1" applyBorder="1" applyAlignment="1" applyProtection="1">
      <alignment horizontal="right"/>
      <protection hidden="1"/>
    </xf>
    <xf numFmtId="2" fontId="18" fillId="0" borderId="0" xfId="0" applyNumberFormat="1" applyFont="1" applyBorder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horizontal="center" vertical="top"/>
      <protection locked="0" hidden="1"/>
    </xf>
    <xf numFmtId="2" fontId="16" fillId="0" borderId="13" xfId="0" applyNumberFormat="1" applyFont="1" applyBorder="1" applyAlignment="1" applyProtection="1">
      <alignment horizontal="right"/>
      <protection hidden="1"/>
    </xf>
    <xf numFmtId="2" fontId="16" fillId="0" borderId="14" xfId="0" applyNumberFormat="1" applyFont="1" applyBorder="1" applyAlignment="1" applyProtection="1">
      <alignment horizontal="right"/>
      <protection hidden="1"/>
    </xf>
    <xf numFmtId="2" fontId="20" fillId="0" borderId="13" xfId="0" applyNumberFormat="1" applyFont="1" applyBorder="1" applyAlignment="1" applyProtection="1">
      <alignment horizontal="center"/>
      <protection hidden="1"/>
    </xf>
    <xf numFmtId="2" fontId="20" fillId="0" borderId="14" xfId="0" applyNumberFormat="1" applyFont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center" textRotation="90"/>
      <protection hidden="1"/>
    </xf>
    <xf numFmtId="49" fontId="22" fillId="0" borderId="14" xfId="0" applyNumberFormat="1" applyFont="1" applyBorder="1" applyAlignment="1" applyProtection="1">
      <alignment horizontal="center"/>
      <protection hidden="1"/>
    </xf>
    <xf numFmtId="49" fontId="23" fillId="0" borderId="14" xfId="0" applyNumberFormat="1" applyFont="1" applyBorder="1" applyAlignment="1" applyProtection="1">
      <alignment horizontal="center"/>
      <protection hidden="1"/>
    </xf>
    <xf numFmtId="0" fontId="40" fillId="0" borderId="14" xfId="0" applyFont="1" applyBorder="1" applyProtection="1">
      <protection hidden="1"/>
    </xf>
    <xf numFmtId="0" fontId="17" fillId="0" borderId="14" xfId="0" applyFont="1" applyBorder="1" applyAlignment="1" applyProtection="1">
      <alignment horizontal="right"/>
      <protection hidden="1"/>
    </xf>
    <xf numFmtId="0" fontId="41" fillId="0" borderId="14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27" fillId="0" borderId="0" xfId="4" applyFont="1" applyAlignment="1" applyProtection="1">
      <alignment horizontal="center"/>
      <protection hidden="1"/>
    </xf>
    <xf numFmtId="0" fontId="2" fillId="0" borderId="0" xfId="0" applyNumberFormat="1" applyFont="1" applyProtection="1">
      <protection hidden="1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5" fillId="0" borderId="0" xfId="0" applyFont="1" applyFill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42" fillId="0" borderId="0" xfId="0" applyFont="1" applyProtection="1">
      <protection hidden="1"/>
    </xf>
    <xf numFmtId="0" fontId="17" fillId="7" borderId="11" xfId="0" applyFont="1" applyFill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43" fillId="0" borderId="0" xfId="0" applyFont="1" applyProtection="1">
      <protection hidden="1"/>
    </xf>
    <xf numFmtId="0" fontId="3" fillId="0" borderId="15" xfId="0" applyFont="1" applyFill="1" applyBorder="1" applyAlignment="1" applyProtection="1">
      <alignment horizontal="right" vertical="center"/>
      <protection hidden="1"/>
    </xf>
    <xf numFmtId="0" fontId="7" fillId="0" borderId="0" xfId="0" applyFont="1" applyFill="1" applyBorder="1" applyProtection="1">
      <protection hidden="1"/>
    </xf>
    <xf numFmtId="0" fontId="10" fillId="0" borderId="0" xfId="1" applyFont="1" applyBorder="1" applyAlignment="1" applyProtection="1">
      <alignment horizontal="left"/>
      <protection hidden="1"/>
    </xf>
    <xf numFmtId="0" fontId="28" fillId="0" borderId="0" xfId="1" applyFont="1" applyBorder="1" applyAlignment="1" applyProtection="1">
      <protection hidden="1"/>
    </xf>
    <xf numFmtId="0" fontId="44" fillId="0" borderId="0" xfId="0" applyFont="1" applyBorder="1" applyAlignment="1" applyProtection="1">
      <protection hidden="1"/>
    </xf>
    <xf numFmtId="0" fontId="10" fillId="0" borderId="0" xfId="1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Fill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0" fontId="45" fillId="0" borderId="0" xfId="0" applyFont="1" applyFill="1" applyBorder="1" applyAlignment="1" applyProtection="1">
      <alignment horizontal="right"/>
      <protection hidden="1"/>
    </xf>
    <xf numFmtId="0" fontId="4" fillId="0" borderId="0" xfId="0" applyFont="1" applyFill="1" applyBorder="1" applyProtection="1">
      <protection hidden="1"/>
    </xf>
    <xf numFmtId="0" fontId="11" fillId="0" borderId="0" xfId="0" applyFont="1" applyFill="1" applyBorder="1" applyAlignment="1" applyProtection="1">
      <alignment horizontal="right"/>
      <protection hidden="1"/>
    </xf>
    <xf numFmtId="0" fontId="9" fillId="0" borderId="0" xfId="0" applyNumberFormat="1" applyFont="1" applyBorder="1" applyAlignment="1" applyProtection="1">
      <alignment horizontal="center" vertical="center"/>
      <protection hidden="1"/>
    </xf>
    <xf numFmtId="167" fontId="2" fillId="0" borderId="0" xfId="0" applyNumberFormat="1" applyFont="1" applyBorder="1" applyAlignment="1" applyProtection="1">
      <alignment horizontal="center" vertical="center"/>
      <protection hidden="1"/>
    </xf>
    <xf numFmtId="0" fontId="40" fillId="0" borderId="0" xfId="0" applyFont="1" applyProtection="1">
      <protection hidden="1"/>
    </xf>
    <xf numFmtId="0" fontId="8" fillId="0" borderId="0" xfId="0" applyFont="1" applyAlignment="1" applyProtection="1">
      <protection hidden="1"/>
    </xf>
    <xf numFmtId="0" fontId="46" fillId="0" borderId="0" xfId="0" applyFont="1" applyFill="1" applyProtection="1">
      <protection hidden="1"/>
    </xf>
    <xf numFmtId="0" fontId="40" fillId="8" borderId="0" xfId="0" applyFont="1" applyFill="1" applyProtection="1">
      <protection hidden="1"/>
    </xf>
    <xf numFmtId="0" fontId="47" fillId="8" borderId="0" xfId="0" applyFont="1" applyFill="1" applyAlignment="1" applyProtection="1">
      <alignment vertical="center"/>
      <protection hidden="1"/>
    </xf>
    <xf numFmtId="0" fontId="48" fillId="8" borderId="0" xfId="0" applyFont="1" applyFill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right" vertical="center"/>
      <protection hidden="1"/>
    </xf>
    <xf numFmtId="0" fontId="19" fillId="8" borderId="0" xfId="0" applyFont="1" applyFill="1" applyAlignment="1" applyProtection="1">
      <alignment vertical="center"/>
      <protection hidden="1"/>
    </xf>
    <xf numFmtId="0" fontId="40" fillId="0" borderId="0" xfId="0" applyFont="1" applyAlignment="1" applyProtection="1">
      <alignment vertical="center"/>
      <protection hidden="1"/>
    </xf>
    <xf numFmtId="166" fontId="49" fillId="0" borderId="0" xfId="0" applyNumberFormat="1" applyFont="1" applyProtection="1">
      <protection hidden="1"/>
    </xf>
    <xf numFmtId="166" fontId="15" fillId="0" borderId="10" xfId="5" applyNumberFormat="1" applyFont="1" applyBorder="1" applyProtection="1">
      <protection hidden="1"/>
    </xf>
    <xf numFmtId="0" fontId="40" fillId="0" borderId="0" xfId="0" applyFont="1" applyAlignment="1" applyProtection="1">
      <alignment horizontal="left"/>
      <protection hidden="1"/>
    </xf>
    <xf numFmtId="0" fontId="40" fillId="0" borderId="15" xfId="0" applyFont="1" applyBorder="1" applyProtection="1"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50" fillId="0" borderId="0" xfId="0" applyFont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52" fillId="0" borderId="16" xfId="0" applyFont="1" applyBorder="1" applyAlignment="1" applyProtection="1">
      <alignment vertical="center"/>
      <protection hidden="1"/>
    </xf>
    <xf numFmtId="0" fontId="44" fillId="0" borderId="17" xfId="0" applyFont="1" applyBorder="1" applyAlignment="1" applyProtection="1">
      <alignment vertical="center"/>
      <protection hidden="1"/>
    </xf>
    <xf numFmtId="0" fontId="44" fillId="0" borderId="18" xfId="0" applyFont="1" applyBorder="1" applyAlignment="1" applyProtection="1">
      <alignment vertical="center"/>
      <protection hidden="1"/>
    </xf>
    <xf numFmtId="0" fontId="44" fillId="0" borderId="15" xfId="0" applyFont="1" applyBorder="1" applyAlignment="1" applyProtection="1">
      <alignment vertical="center"/>
      <protection hidden="1"/>
    </xf>
    <xf numFmtId="0" fontId="44" fillId="0" borderId="19" xfId="0" applyFont="1" applyBorder="1" applyAlignment="1" applyProtection="1">
      <alignment vertical="center"/>
      <protection hidden="1"/>
    </xf>
    <xf numFmtId="0" fontId="44" fillId="0" borderId="20" xfId="0" applyFont="1" applyBorder="1" applyAlignment="1" applyProtection="1">
      <alignment vertical="center"/>
      <protection hidden="1"/>
    </xf>
    <xf numFmtId="0" fontId="44" fillId="0" borderId="21" xfId="0" applyFont="1" applyBorder="1" applyAlignment="1" applyProtection="1">
      <alignment vertical="center"/>
      <protection hidden="1"/>
    </xf>
    <xf numFmtId="0" fontId="44" fillId="0" borderId="22" xfId="0" applyFont="1" applyBorder="1" applyAlignment="1" applyProtection="1">
      <alignment vertical="center"/>
      <protection hidden="1"/>
    </xf>
    <xf numFmtId="0" fontId="44" fillId="0" borderId="0" xfId="0" applyFont="1" applyBorder="1" applyAlignment="1" applyProtection="1">
      <alignment vertical="center"/>
      <protection hidden="1"/>
    </xf>
    <xf numFmtId="0" fontId="44" fillId="0" borderId="23" xfId="0" applyFont="1" applyBorder="1" applyAlignment="1" applyProtection="1">
      <alignment vertical="center"/>
      <protection hidden="1"/>
    </xf>
    <xf numFmtId="0" fontId="44" fillId="0" borderId="24" xfId="0" applyFont="1" applyBorder="1" applyAlignment="1" applyProtection="1">
      <alignment vertical="center"/>
      <protection hidden="1"/>
    </xf>
    <xf numFmtId="0" fontId="44" fillId="0" borderId="25" xfId="0" applyFont="1" applyBorder="1" applyAlignment="1" applyProtection="1">
      <alignment vertical="center"/>
      <protection hidden="1"/>
    </xf>
    <xf numFmtId="0" fontId="44" fillId="0" borderId="26" xfId="0" applyFont="1" applyBorder="1" applyAlignment="1" applyProtection="1">
      <alignment vertical="center"/>
      <protection hidden="1"/>
    </xf>
    <xf numFmtId="0" fontId="44" fillId="0" borderId="1" xfId="0" applyFont="1" applyBorder="1" applyAlignment="1" applyProtection="1">
      <alignment vertical="center"/>
      <protection hidden="1"/>
    </xf>
    <xf numFmtId="0" fontId="44" fillId="0" borderId="27" xfId="0" applyFont="1" applyBorder="1" applyAlignment="1" applyProtection="1">
      <alignment vertical="center"/>
      <protection hidden="1"/>
    </xf>
    <xf numFmtId="0" fontId="44" fillId="0" borderId="18" xfId="0" applyFont="1" applyBorder="1" applyAlignment="1" applyProtection="1">
      <alignment horizontal="left" vertical="center"/>
      <protection hidden="1"/>
    </xf>
    <xf numFmtId="0" fontId="44" fillId="0" borderId="26" xfId="0" applyFont="1" applyBorder="1" applyAlignment="1" applyProtection="1">
      <alignment horizontal="left" vertical="center"/>
      <protection hidden="1"/>
    </xf>
    <xf numFmtId="0" fontId="53" fillId="9" borderId="0" xfId="0" applyFont="1" applyFill="1" applyAlignment="1" applyProtection="1">
      <alignment vertical="center"/>
      <protection hidden="1"/>
    </xf>
    <xf numFmtId="0" fontId="44" fillId="9" borderId="0" xfId="0" applyFont="1" applyFill="1" applyAlignment="1" applyProtection="1">
      <alignment vertical="center"/>
      <protection hidden="1"/>
    </xf>
    <xf numFmtId="0" fontId="7" fillId="9" borderId="0" xfId="0" applyFont="1" applyFill="1" applyAlignment="1" applyProtection="1">
      <alignment horizontal="left" vertical="center"/>
      <protection hidden="1"/>
    </xf>
    <xf numFmtId="0" fontId="7" fillId="9" borderId="0" xfId="0" applyFont="1" applyFill="1" applyAlignment="1" applyProtection="1">
      <alignment horizontal="right" vertical="center"/>
      <protection hidden="1"/>
    </xf>
    <xf numFmtId="1" fontId="16" fillId="9" borderId="13" xfId="0" applyNumberFormat="1" applyFont="1" applyFill="1" applyBorder="1" applyAlignment="1" applyProtection="1">
      <alignment horizontal="center"/>
      <protection locked="0"/>
    </xf>
    <xf numFmtId="1" fontId="16" fillId="9" borderId="14" xfId="0" applyNumberFormat="1" applyFont="1" applyFill="1" applyBorder="1" applyAlignment="1" applyProtection="1">
      <alignment horizontal="center"/>
      <protection locked="0"/>
    </xf>
    <xf numFmtId="1" fontId="16" fillId="9" borderId="28" xfId="0" applyNumberFormat="1" applyFont="1" applyFill="1" applyBorder="1" applyAlignment="1" applyProtection="1">
      <alignment horizontal="center"/>
      <protection locked="0"/>
    </xf>
    <xf numFmtId="1" fontId="16" fillId="9" borderId="4" xfId="0" applyNumberFormat="1" applyFont="1" applyFill="1" applyBorder="1" applyAlignment="1" applyProtection="1">
      <alignment horizontal="center"/>
      <protection locked="0"/>
    </xf>
    <xf numFmtId="49" fontId="18" fillId="9" borderId="4" xfId="0" applyNumberFormat="1" applyFont="1" applyFill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left" indent="2"/>
      <protection hidden="1"/>
    </xf>
    <xf numFmtId="0" fontId="40" fillId="8" borderId="76" xfId="1" applyFont="1" applyFill="1" applyBorder="1" applyAlignment="1" applyProtection="1">
      <alignment horizontal="center" vertical="center"/>
      <protection hidden="1"/>
    </xf>
    <xf numFmtId="44" fontId="2" fillId="0" borderId="0" xfId="3" applyNumberFormat="1" applyFont="1" applyProtection="1">
      <protection hidden="1"/>
    </xf>
    <xf numFmtId="44" fontId="2" fillId="0" borderId="0" xfId="3" applyNumberFormat="1" applyFont="1" applyBorder="1" applyProtection="1">
      <protection hidden="1"/>
    </xf>
    <xf numFmtId="0" fontId="40" fillId="9" borderId="0" xfId="0" applyFont="1" applyFill="1" applyProtection="1">
      <protection hidden="1"/>
    </xf>
    <xf numFmtId="165" fontId="15" fillId="0" borderId="4" xfId="5" applyNumberFormat="1" applyFont="1" applyBorder="1" applyProtection="1">
      <protection hidden="1"/>
    </xf>
    <xf numFmtId="165" fontId="15" fillId="0" borderId="6" xfId="5" applyNumberFormat="1" applyFont="1" applyBorder="1" applyProtection="1">
      <protection hidden="1"/>
    </xf>
    <xf numFmtId="165" fontId="15" fillId="0" borderId="29" xfId="5" applyNumberFormat="1" applyFont="1" applyBorder="1" applyProtection="1">
      <protection hidden="1"/>
    </xf>
    <xf numFmtId="165" fontId="15" fillId="0" borderId="30" xfId="5" applyNumberFormat="1" applyFont="1" applyBorder="1" applyProtection="1">
      <protection hidden="1"/>
    </xf>
    <xf numFmtId="165" fontId="15" fillId="0" borderId="5" xfId="5" applyNumberFormat="1" applyFont="1" applyBorder="1" applyProtection="1">
      <protection hidden="1"/>
    </xf>
    <xf numFmtId="165" fontId="15" fillId="0" borderId="7" xfId="5" applyNumberFormat="1" applyFont="1" applyBorder="1" applyProtection="1">
      <protection hidden="1"/>
    </xf>
    <xf numFmtId="0" fontId="40" fillId="10" borderId="0" xfId="0" applyFont="1" applyFill="1" applyProtection="1">
      <protection hidden="1"/>
    </xf>
    <xf numFmtId="165" fontId="15" fillId="0" borderId="31" xfId="5" applyNumberFormat="1" applyFont="1" applyBorder="1" applyProtection="1">
      <protection hidden="1"/>
    </xf>
    <xf numFmtId="0" fontId="40" fillId="11" borderId="0" xfId="0" applyFont="1" applyFill="1" applyProtection="1">
      <protection hidden="1"/>
    </xf>
    <xf numFmtId="0" fontId="40" fillId="7" borderId="0" xfId="0" applyFont="1" applyFill="1" applyProtection="1">
      <protection hidden="1"/>
    </xf>
    <xf numFmtId="165" fontId="15" fillId="0" borderId="32" xfId="5" applyNumberFormat="1" applyFont="1" applyBorder="1" applyProtection="1">
      <protection hidden="1"/>
    </xf>
    <xf numFmtId="165" fontId="15" fillId="0" borderId="33" xfId="5" applyNumberFormat="1" applyFont="1" applyBorder="1" applyProtection="1">
      <protection hidden="1"/>
    </xf>
    <xf numFmtId="0" fontId="50" fillId="0" borderId="0" xfId="0" applyFont="1" applyAlignment="1" applyProtection="1">
      <alignment horizontal="center"/>
      <protection hidden="1"/>
    </xf>
    <xf numFmtId="0" fontId="22" fillId="0" borderId="13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15" fillId="12" borderId="10" xfId="0" applyFont="1" applyFill="1" applyBorder="1" applyAlignment="1" applyProtection="1">
      <alignment horizontal="left" vertical="center"/>
      <protection hidden="1"/>
    </xf>
    <xf numFmtId="0" fontId="15" fillId="13" borderId="10" xfId="0" applyFont="1" applyFill="1" applyBorder="1" applyProtection="1">
      <protection hidden="1"/>
    </xf>
    <xf numFmtId="0" fontId="12" fillId="0" borderId="0" xfId="0" applyFont="1" applyBorder="1" applyAlignment="1" applyProtection="1">
      <alignment horizontal="right"/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48" fillId="8" borderId="0" xfId="0" applyFont="1" applyFill="1" applyAlignment="1" applyProtection="1">
      <alignment horizontal="right" vertical="center"/>
      <protection hidden="1"/>
    </xf>
    <xf numFmtId="0" fontId="12" fillId="8" borderId="0" xfId="0" applyFont="1" applyFill="1" applyBorder="1" applyAlignment="1" applyProtection="1">
      <alignment horizontal="right"/>
      <protection hidden="1"/>
    </xf>
    <xf numFmtId="0" fontId="52" fillId="0" borderId="0" xfId="0" applyFont="1" applyAlignment="1" applyProtection="1">
      <alignment horizontal="center"/>
      <protection hidden="1"/>
    </xf>
    <xf numFmtId="0" fontId="13" fillId="7" borderId="12" xfId="0" applyFont="1" applyFill="1" applyBorder="1" applyAlignment="1" applyProtection="1">
      <alignment vertical="top" wrapText="1"/>
      <protection hidden="1"/>
    </xf>
    <xf numFmtId="14" fontId="16" fillId="0" borderId="0" xfId="0" applyNumberFormat="1" applyFont="1" applyProtection="1">
      <protection hidden="1"/>
    </xf>
    <xf numFmtId="0" fontId="44" fillId="7" borderId="0" xfId="0" applyFont="1" applyFill="1" applyProtection="1">
      <protection hidden="1"/>
    </xf>
    <xf numFmtId="0" fontId="40" fillId="7" borderId="0" xfId="0" applyFont="1" applyFill="1"/>
    <xf numFmtId="165" fontId="15" fillId="0" borderId="34" xfId="5" applyNumberFormat="1" applyFont="1" applyBorder="1" applyProtection="1">
      <protection hidden="1"/>
    </xf>
    <xf numFmtId="0" fontId="40" fillId="0" borderId="1" xfId="0" applyFont="1" applyBorder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54" fillId="0" borderId="0" xfId="0" applyFont="1" applyProtection="1">
      <protection hidden="1"/>
    </xf>
    <xf numFmtId="0" fontId="46" fillId="0" borderId="0" xfId="0" applyFont="1" applyAlignment="1" applyProtection="1">
      <alignment horizontal="right"/>
      <protection hidden="1"/>
    </xf>
    <xf numFmtId="0" fontId="40" fillId="0" borderId="0" xfId="0" applyFont="1" applyFill="1" applyProtection="1">
      <protection hidden="1"/>
    </xf>
    <xf numFmtId="0" fontId="55" fillId="0" borderId="0" xfId="0" applyFont="1" applyProtection="1">
      <protection hidden="1"/>
    </xf>
    <xf numFmtId="0" fontId="15" fillId="2" borderId="10" xfId="0" applyFont="1" applyFill="1" applyBorder="1" applyAlignment="1" applyProtection="1">
      <alignment horizontal="left"/>
      <protection hidden="1"/>
    </xf>
    <xf numFmtId="0" fontId="6" fillId="14" borderId="35" xfId="0" applyFont="1" applyFill="1" applyBorder="1" applyAlignment="1" applyProtection="1">
      <alignment vertical="center"/>
      <protection hidden="1"/>
    </xf>
    <xf numFmtId="168" fontId="56" fillId="0" borderId="0" xfId="0" applyNumberFormat="1" applyFont="1" applyBorder="1" applyAlignment="1" applyProtection="1">
      <alignment horizontal="center"/>
      <protection hidden="1"/>
    </xf>
    <xf numFmtId="0" fontId="21" fillId="6" borderId="0" xfId="0" applyFont="1" applyFill="1" applyAlignment="1" applyProtection="1">
      <alignment horizontal="center" textRotation="90"/>
      <protection hidden="1"/>
    </xf>
    <xf numFmtId="0" fontId="16" fillId="15" borderId="0" xfId="0" applyFont="1" applyFill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12" fillId="8" borderId="0" xfId="0" applyFont="1" applyFill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6" fillId="16" borderId="77" xfId="0" applyFont="1" applyFill="1" applyBorder="1" applyAlignment="1" applyProtection="1">
      <alignment vertical="center"/>
      <protection hidden="1"/>
    </xf>
    <xf numFmtId="0" fontId="3" fillId="16" borderId="77" xfId="0" applyFont="1" applyFill="1" applyBorder="1" applyAlignment="1" applyProtection="1">
      <alignment horizontal="left" vertical="center"/>
      <protection hidden="1"/>
    </xf>
    <xf numFmtId="0" fontId="3" fillId="16" borderId="77" xfId="0" applyFont="1" applyFill="1" applyBorder="1" applyAlignment="1" applyProtection="1">
      <alignment horizontal="right" vertical="center"/>
      <protection hidden="1"/>
    </xf>
    <xf numFmtId="0" fontId="40" fillId="16" borderId="77" xfId="0" applyFont="1" applyFill="1" applyBorder="1" applyProtection="1">
      <protection hidden="1"/>
    </xf>
    <xf numFmtId="0" fontId="5" fillId="0" borderId="1" xfId="0" applyFont="1" applyFill="1" applyBorder="1" applyAlignment="1" applyProtection="1">
      <alignment horizontal="right" vertical="center"/>
      <protection hidden="1"/>
    </xf>
    <xf numFmtId="0" fontId="40" fillId="0" borderId="78" xfId="0" applyFont="1" applyBorder="1" applyProtection="1">
      <protection hidden="1"/>
    </xf>
    <xf numFmtId="0" fontId="44" fillId="0" borderId="15" xfId="0" applyFont="1" applyBorder="1" applyProtection="1">
      <protection hidden="1"/>
    </xf>
    <xf numFmtId="0" fontId="44" fillId="0" borderId="15" xfId="0" applyFont="1" applyBorder="1" applyAlignment="1" applyProtection="1">
      <alignment horizontal="right"/>
      <protection hidden="1"/>
    </xf>
    <xf numFmtId="0" fontId="44" fillId="0" borderId="15" xfId="0" applyFont="1" applyBorder="1" applyAlignment="1" applyProtection="1">
      <alignment horizontal="left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9" fillId="0" borderId="5" xfId="0" applyFont="1" applyFill="1" applyBorder="1" applyAlignment="1" applyProtection="1">
      <alignment horizontal="center" vertical="center"/>
      <protection hidden="1"/>
    </xf>
    <xf numFmtId="0" fontId="9" fillId="0" borderId="30" xfId="0" applyFont="1" applyFill="1" applyBorder="1" applyProtection="1">
      <protection hidden="1"/>
    </xf>
    <xf numFmtId="0" fontId="16" fillId="4" borderId="0" xfId="0" applyFont="1" applyFill="1" applyAlignment="1" applyProtection="1">
      <alignment horizontal="center" textRotation="90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2" fillId="9" borderId="0" xfId="0" applyFont="1" applyFill="1" applyProtection="1">
      <protection hidden="1"/>
    </xf>
    <xf numFmtId="0" fontId="2" fillId="9" borderId="0" xfId="0" applyFont="1" applyFill="1" applyBorder="1" applyProtection="1">
      <protection hidden="1"/>
    </xf>
    <xf numFmtId="0" fontId="7" fillId="9" borderId="0" xfId="0" applyFont="1" applyFill="1" applyBorder="1" applyAlignment="1" applyProtection="1">
      <alignment horizontal="right"/>
      <protection hidden="1"/>
    </xf>
    <xf numFmtId="0" fontId="45" fillId="9" borderId="0" xfId="0" applyFont="1" applyFill="1" applyBorder="1" applyAlignment="1" applyProtection="1">
      <alignment horizontal="right"/>
      <protection hidden="1"/>
    </xf>
    <xf numFmtId="0" fontId="4" fillId="9" borderId="0" xfId="0" applyFont="1" applyFill="1" applyBorder="1" applyProtection="1">
      <protection hidden="1"/>
    </xf>
    <xf numFmtId="0" fontId="11" fillId="9" borderId="0" xfId="0" applyFont="1" applyFill="1" applyBorder="1" applyProtection="1">
      <protection hidden="1"/>
    </xf>
    <xf numFmtId="0" fontId="11" fillId="9" borderId="0" xfId="0" applyFont="1" applyFill="1" applyBorder="1" applyAlignment="1" applyProtection="1">
      <alignment horizontal="right"/>
      <protection hidden="1"/>
    </xf>
    <xf numFmtId="0" fontId="19" fillId="9" borderId="0" xfId="0" applyFont="1" applyFill="1" applyBorder="1" applyAlignment="1" applyProtection="1">
      <alignment vertical="center"/>
      <protection hidden="1"/>
    </xf>
    <xf numFmtId="0" fontId="2" fillId="0" borderId="79" xfId="0" applyFont="1" applyBorder="1" applyProtection="1">
      <protection hidden="1"/>
    </xf>
    <xf numFmtId="0" fontId="10" fillId="0" borderId="80" xfId="1" applyFont="1" applyBorder="1" applyAlignment="1" applyProtection="1">
      <alignment horizontal="left"/>
      <protection hidden="1"/>
    </xf>
    <xf numFmtId="0" fontId="28" fillId="0" borderId="80" xfId="1" applyFont="1" applyBorder="1" applyAlignment="1" applyProtection="1">
      <protection hidden="1"/>
    </xf>
    <xf numFmtId="0" fontId="44" fillId="0" borderId="80" xfId="0" applyFont="1" applyBorder="1" applyAlignment="1" applyProtection="1">
      <protection hidden="1"/>
    </xf>
    <xf numFmtId="0" fontId="44" fillId="0" borderId="81" xfId="0" applyFont="1" applyBorder="1" applyAlignment="1" applyProtection="1">
      <protection hidden="1"/>
    </xf>
    <xf numFmtId="0" fontId="2" fillId="0" borderId="82" xfId="0" applyFont="1" applyBorder="1" applyProtection="1">
      <protection hidden="1"/>
    </xf>
    <xf numFmtId="0" fontId="2" fillId="0" borderId="83" xfId="0" applyFont="1" applyBorder="1" applyProtection="1">
      <protection hidden="1"/>
    </xf>
    <xf numFmtId="0" fontId="16" fillId="0" borderId="82" xfId="0" applyFont="1" applyBorder="1" applyProtection="1">
      <protection hidden="1"/>
    </xf>
    <xf numFmtId="0" fontId="2" fillId="0" borderId="84" xfId="0" applyFont="1" applyBorder="1" applyProtection="1">
      <protection hidden="1"/>
    </xf>
    <xf numFmtId="0" fontId="7" fillId="0" borderId="85" xfId="0" applyFont="1" applyFill="1" applyBorder="1" applyProtection="1">
      <protection hidden="1"/>
    </xf>
    <xf numFmtId="0" fontId="2" fillId="0" borderId="85" xfId="0" applyFont="1" applyBorder="1" applyProtection="1">
      <protection hidden="1"/>
    </xf>
    <xf numFmtId="0" fontId="2" fillId="0" borderId="86" xfId="0" applyFont="1" applyBorder="1" applyProtection="1">
      <protection hidden="1"/>
    </xf>
    <xf numFmtId="0" fontId="16" fillId="0" borderId="84" xfId="0" applyFont="1" applyBorder="1" applyProtection="1">
      <protection hidden="1"/>
    </xf>
    <xf numFmtId="0" fontId="16" fillId="0" borderId="85" xfId="0" applyFont="1" applyBorder="1" applyProtection="1">
      <protection hidden="1"/>
    </xf>
    <xf numFmtId="0" fontId="57" fillId="0" borderId="85" xfId="0" applyFont="1" applyBorder="1" applyAlignment="1" applyProtection="1">
      <alignment horizontal="center"/>
      <protection hidden="1"/>
    </xf>
    <xf numFmtId="0" fontId="17" fillId="0" borderId="85" xfId="0" applyFont="1" applyBorder="1" applyAlignment="1" applyProtection="1">
      <alignment horizontal="center"/>
      <protection hidden="1"/>
    </xf>
    <xf numFmtId="0" fontId="15" fillId="0" borderId="85" xfId="0" applyFont="1" applyBorder="1" applyAlignment="1" applyProtection="1">
      <alignment horizontal="center"/>
      <protection hidden="1"/>
    </xf>
    <xf numFmtId="168" fontId="56" fillId="0" borderId="85" xfId="0" applyNumberFormat="1" applyFont="1" applyBorder="1" applyAlignment="1" applyProtection="1">
      <alignment horizontal="center"/>
      <protection hidden="1"/>
    </xf>
    <xf numFmtId="168" fontId="56" fillId="0" borderId="86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Protection="1">
      <protection hidden="1"/>
    </xf>
    <xf numFmtId="0" fontId="2" fillId="0" borderId="85" xfId="0" applyFont="1" applyFill="1" applyBorder="1" applyProtection="1">
      <protection hidden="1"/>
    </xf>
    <xf numFmtId="0" fontId="2" fillId="0" borderId="86" xfId="0" applyFont="1" applyFill="1" applyBorder="1" applyProtection="1">
      <protection hidden="1"/>
    </xf>
    <xf numFmtId="0" fontId="2" fillId="0" borderId="84" xfId="0" applyFont="1" applyFill="1" applyBorder="1" applyProtection="1">
      <protection hidden="1"/>
    </xf>
    <xf numFmtId="0" fontId="10" fillId="0" borderId="83" xfId="1" applyFont="1" applyBorder="1" applyAlignment="1" applyProtection="1">
      <alignment horizontal="right"/>
      <protection hidden="1"/>
    </xf>
    <xf numFmtId="0" fontId="44" fillId="0" borderId="85" xfId="0" applyFont="1" applyBorder="1" applyAlignment="1" applyProtection="1">
      <protection hidden="1"/>
    </xf>
    <xf numFmtId="0" fontId="10" fillId="0" borderId="86" xfId="1" applyFont="1" applyBorder="1" applyAlignment="1" applyProtection="1">
      <alignment horizontal="right"/>
      <protection hidden="1"/>
    </xf>
    <xf numFmtId="0" fontId="59" fillId="0" borderId="0" xfId="0" applyFont="1" applyFill="1" applyBorder="1" applyAlignment="1" applyProtection="1">
      <alignment horizontal="right"/>
      <protection hidden="1"/>
    </xf>
    <xf numFmtId="0" fontId="60" fillId="0" borderId="0" xfId="0" applyFont="1" applyBorder="1" applyProtection="1">
      <protection hidden="1"/>
    </xf>
    <xf numFmtId="0" fontId="50" fillId="0" borderId="85" xfId="0" applyFont="1" applyBorder="1" applyAlignment="1" applyProtection="1">
      <alignment horizontal="center"/>
      <protection hidden="1"/>
    </xf>
    <xf numFmtId="0" fontId="50" fillId="0" borderId="84" xfId="0" applyFont="1" applyBorder="1" applyAlignment="1" applyProtection="1">
      <alignment horizontal="center"/>
      <protection hidden="1"/>
    </xf>
    <xf numFmtId="0" fontId="16" fillId="0" borderId="86" xfId="0" applyFont="1" applyBorder="1" applyProtection="1">
      <protection hidden="1"/>
    </xf>
    <xf numFmtId="0" fontId="44" fillId="0" borderId="84" xfId="0" applyFont="1" applyBorder="1" applyAlignment="1" applyProtection="1">
      <protection hidden="1"/>
    </xf>
    <xf numFmtId="0" fontId="10" fillId="0" borderId="85" xfId="1" applyFont="1" applyBorder="1" applyAlignment="1" applyProtection="1">
      <alignment horizontal="right"/>
      <protection hidden="1"/>
    </xf>
    <xf numFmtId="0" fontId="16" fillId="0" borderId="36" xfId="0" applyFont="1" applyBorder="1" applyProtection="1">
      <protection hidden="1"/>
    </xf>
    <xf numFmtId="0" fontId="22" fillId="0" borderId="36" xfId="0" applyNumberFormat="1" applyFont="1" applyBorder="1" applyAlignment="1" applyProtection="1">
      <alignment horizontal="center"/>
      <protection hidden="1"/>
    </xf>
    <xf numFmtId="0" fontId="17" fillId="0" borderId="36" xfId="0" applyFont="1" applyFill="1" applyBorder="1" applyAlignment="1" applyProtection="1">
      <alignment horizontal="center" vertical="center"/>
      <protection hidden="1"/>
    </xf>
    <xf numFmtId="2" fontId="16" fillId="0" borderId="36" xfId="0" applyNumberFormat="1" applyFont="1" applyBorder="1" applyAlignment="1" applyProtection="1">
      <alignment horizontal="right"/>
      <protection hidden="1"/>
    </xf>
    <xf numFmtId="2" fontId="20" fillId="0" borderId="36" xfId="0" applyNumberFormat="1" applyFont="1" applyBorder="1" applyAlignment="1" applyProtection="1">
      <alignment horizontal="center"/>
      <protection hidden="1"/>
    </xf>
    <xf numFmtId="4" fontId="16" fillId="0" borderId="36" xfId="0" applyNumberFormat="1" applyFont="1" applyBorder="1" applyProtection="1">
      <protection hidden="1"/>
    </xf>
    <xf numFmtId="1" fontId="16" fillId="9" borderId="36" xfId="0" applyNumberFormat="1" applyFont="1" applyFill="1" applyBorder="1" applyAlignment="1" applyProtection="1">
      <alignment horizontal="center"/>
      <protection locked="0"/>
    </xf>
    <xf numFmtId="0" fontId="16" fillId="0" borderId="36" xfId="0" applyFont="1" applyBorder="1" applyAlignment="1" applyProtection="1">
      <alignment horizontal="center"/>
      <protection hidden="1"/>
    </xf>
    <xf numFmtId="165" fontId="15" fillId="0" borderId="37" xfId="5" applyNumberFormat="1" applyFont="1" applyBorder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61" fillId="0" borderId="0" xfId="0" applyFont="1" applyAlignment="1" applyProtection="1">
      <alignment horizontal="right" vertical="center"/>
      <protection hidden="1"/>
    </xf>
    <xf numFmtId="0" fontId="15" fillId="17" borderId="10" xfId="0" applyFont="1" applyFill="1" applyBorder="1" applyAlignment="1" applyProtection="1">
      <alignment horizontal="left" vertical="center"/>
      <protection hidden="1"/>
    </xf>
    <xf numFmtId="0" fontId="15" fillId="18" borderId="10" xfId="0" applyFont="1" applyFill="1" applyBorder="1" applyProtection="1">
      <protection hidden="1"/>
    </xf>
    <xf numFmtId="0" fontId="15" fillId="19" borderId="10" xfId="0" applyFont="1" applyFill="1" applyBorder="1" applyAlignment="1" applyProtection="1">
      <alignment horizontal="left" vertical="center"/>
      <protection hidden="1"/>
    </xf>
    <xf numFmtId="0" fontId="15" fillId="9" borderId="10" xfId="0" applyFont="1" applyFill="1" applyBorder="1" applyProtection="1">
      <protection hidden="1"/>
    </xf>
    <xf numFmtId="0" fontId="62" fillId="0" borderId="0" xfId="0" applyFont="1" applyProtection="1">
      <protection hidden="1"/>
    </xf>
    <xf numFmtId="0" fontId="9" fillId="0" borderId="34" xfId="0" applyFont="1" applyFill="1" applyBorder="1" applyProtection="1">
      <protection hidden="1"/>
    </xf>
    <xf numFmtId="0" fontId="9" fillId="0" borderId="34" xfId="0" applyFont="1" applyFill="1" applyBorder="1" applyAlignment="1" applyProtection="1">
      <alignment horizontal="center" vertical="center"/>
      <protection hidden="1"/>
    </xf>
    <xf numFmtId="0" fontId="9" fillId="0" borderId="32" xfId="0" applyFont="1" applyFill="1" applyBorder="1" applyProtection="1">
      <protection hidden="1"/>
    </xf>
    <xf numFmtId="0" fontId="9" fillId="0" borderId="32" xfId="0" applyFont="1" applyFill="1" applyBorder="1" applyAlignment="1" applyProtection="1">
      <alignment horizontal="center" vertical="center"/>
      <protection hidden="1"/>
    </xf>
    <xf numFmtId="0" fontId="9" fillId="0" borderId="29" xfId="0" applyFont="1" applyFill="1" applyBorder="1" applyProtection="1">
      <protection hidden="1"/>
    </xf>
    <xf numFmtId="0" fontId="9" fillId="0" borderId="29" xfId="0" applyFont="1" applyFill="1" applyBorder="1" applyAlignment="1" applyProtection="1">
      <alignment horizontal="center" vertical="center"/>
      <protection hidden="1"/>
    </xf>
    <xf numFmtId="0" fontId="9" fillId="0" borderId="30" xfId="0" applyFont="1" applyFill="1" applyBorder="1" applyAlignment="1" applyProtection="1">
      <alignment horizontal="center" vertical="center"/>
      <protection hidden="1"/>
    </xf>
    <xf numFmtId="0" fontId="9" fillId="0" borderId="7" xfId="0" applyFont="1" applyFill="1" applyBorder="1" applyAlignment="1" applyProtection="1">
      <alignment horizontal="center" vertical="center"/>
      <protection hidden="1"/>
    </xf>
    <xf numFmtId="0" fontId="9" fillId="0" borderId="37" xfId="0" applyFont="1" applyFill="1" applyBorder="1" applyProtection="1">
      <protection hidden="1"/>
    </xf>
    <xf numFmtId="0" fontId="9" fillId="0" borderId="37" xfId="0" applyFont="1" applyFill="1" applyBorder="1" applyAlignment="1" applyProtection="1">
      <alignment horizontal="center" vertical="center"/>
      <protection hidden="1"/>
    </xf>
    <xf numFmtId="0" fontId="9" fillId="0" borderId="31" xfId="0" applyFont="1" applyFill="1" applyBorder="1" applyProtection="1">
      <protection hidden="1"/>
    </xf>
    <xf numFmtId="0" fontId="9" fillId="0" borderId="31" xfId="0" applyFont="1" applyFill="1" applyBorder="1" applyAlignment="1" applyProtection="1">
      <alignment horizontal="center" vertical="center"/>
      <protection hidden="1"/>
    </xf>
    <xf numFmtId="0" fontId="9" fillId="0" borderId="33" xfId="0" applyFont="1" applyFill="1" applyBorder="1" applyAlignment="1" applyProtection="1">
      <alignment horizontal="center" vertical="center"/>
      <protection hidden="1"/>
    </xf>
    <xf numFmtId="0" fontId="63" fillId="20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2" fontId="16" fillId="9" borderId="14" xfId="0" applyNumberFormat="1" applyFont="1" applyFill="1" applyBorder="1" applyAlignment="1" applyProtection="1">
      <alignment horizontal="right"/>
      <protection locked="0"/>
    </xf>
    <xf numFmtId="168" fontId="56" fillId="0" borderId="0" xfId="0" applyNumberFormat="1" applyFont="1" applyBorder="1" applyAlignment="1" applyProtection="1">
      <alignment horizont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5" fillId="21" borderId="39" xfId="0" applyFont="1" applyFill="1" applyBorder="1" applyAlignment="1" applyProtection="1">
      <alignment horizontal="center" vertical="center"/>
      <protection hidden="1"/>
    </xf>
    <xf numFmtId="0" fontId="54" fillId="9" borderId="0" xfId="0" applyFont="1" applyFill="1" applyAlignment="1" applyProtection="1">
      <alignment horizontal="center" textRotation="90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5" fillId="21" borderId="39" xfId="0" applyFont="1" applyFill="1" applyBorder="1" applyAlignment="1" applyProtection="1">
      <alignment horizontal="center" vertical="center"/>
      <protection hidden="1"/>
    </xf>
    <xf numFmtId="0" fontId="10" fillId="0" borderId="80" xfId="1" applyFont="1" applyBorder="1" applyAlignment="1" applyProtection="1">
      <alignment vertical="center" wrapText="1"/>
      <protection hidden="1"/>
    </xf>
    <xf numFmtId="0" fontId="10" fillId="0" borderId="0" xfId="1" applyFont="1" applyBorder="1" applyAlignment="1" applyProtection="1">
      <alignment vertical="center" wrapText="1"/>
      <protection hidden="1"/>
    </xf>
    <xf numFmtId="0" fontId="40" fillId="0" borderId="0" xfId="0" applyFont="1" applyAlignment="1" applyProtection="1">
      <alignment horizontal="right"/>
      <protection hidden="1"/>
    </xf>
    <xf numFmtId="0" fontId="16" fillId="0" borderId="0" xfId="0" applyFont="1" applyBorder="1" applyAlignment="1" applyProtection="1">
      <alignment horizontal="right"/>
      <protection hidden="1"/>
    </xf>
    <xf numFmtId="0" fontId="55" fillId="0" borderId="86" xfId="0" applyFont="1" applyFill="1" applyBorder="1" applyAlignment="1" applyProtection="1">
      <alignment horizontal="right"/>
      <protection hidden="1"/>
    </xf>
    <xf numFmtId="168" fontId="56" fillId="0" borderId="0" xfId="0" applyNumberFormat="1" applyFont="1" applyBorder="1" applyAlignment="1" applyProtection="1">
      <alignment horizontal="center"/>
      <protection hidden="1"/>
    </xf>
    <xf numFmtId="0" fontId="15" fillId="22" borderId="10" xfId="0" applyFont="1" applyFill="1" applyBorder="1" applyAlignment="1" applyProtection="1">
      <alignment horizontal="left" vertical="center"/>
      <protection hidden="1"/>
    </xf>
    <xf numFmtId="0" fontId="15" fillId="23" borderId="10" xfId="0" applyFont="1" applyFill="1" applyBorder="1" applyProtection="1">
      <protection hidden="1"/>
    </xf>
    <xf numFmtId="0" fontId="58" fillId="0" borderId="0" xfId="0" applyFont="1" applyProtection="1">
      <protection hidden="1"/>
    </xf>
    <xf numFmtId="0" fontId="58" fillId="0" borderId="0" xfId="0" applyFont="1" applyAlignment="1" applyProtection="1">
      <alignment horizontal="center"/>
      <protection hidden="1"/>
    </xf>
    <xf numFmtId="0" fontId="64" fillId="0" borderId="0" xfId="0" applyFont="1" applyFill="1" applyBorder="1" applyProtection="1">
      <protection hidden="1"/>
    </xf>
    <xf numFmtId="0" fontId="64" fillId="2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0" fillId="24" borderId="10" xfId="0" applyFill="1" applyBorder="1" applyAlignment="1" applyProtection="1">
      <alignment horizontal="left"/>
      <protection hidden="1"/>
    </xf>
    <xf numFmtId="0" fontId="0" fillId="25" borderId="10" xfId="0" applyFill="1" applyBorder="1" applyAlignment="1" applyProtection="1">
      <alignment horizontal="left"/>
      <protection hidden="1"/>
    </xf>
    <xf numFmtId="0" fontId="0" fillId="26" borderId="10" xfId="0" applyFill="1" applyBorder="1" applyProtection="1">
      <protection hidden="1"/>
    </xf>
    <xf numFmtId="0" fontId="0" fillId="27" borderId="10" xfId="0" applyFill="1" applyBorder="1" applyProtection="1">
      <protection hidden="1"/>
    </xf>
    <xf numFmtId="0" fontId="0" fillId="24" borderId="10" xfId="0" applyFill="1" applyBorder="1" applyProtection="1">
      <protection hidden="1"/>
    </xf>
    <xf numFmtId="0" fontId="0" fillId="25" borderId="10" xfId="0" applyFill="1" applyBorder="1" applyProtection="1">
      <protection hidden="1"/>
    </xf>
    <xf numFmtId="0" fontId="16" fillId="24" borderId="10" xfId="0" applyFont="1" applyFill="1" applyBorder="1" applyProtection="1">
      <protection hidden="1"/>
    </xf>
    <xf numFmtId="0" fontId="16" fillId="25" borderId="10" xfId="0" applyFont="1" applyFill="1" applyBorder="1" applyProtection="1">
      <protection hidden="1"/>
    </xf>
    <xf numFmtId="0" fontId="0" fillId="0" borderId="40" xfId="0" applyBorder="1" applyAlignment="1" applyProtection="1">
      <alignment horizontal="right"/>
      <protection hidden="1"/>
    </xf>
    <xf numFmtId="0" fontId="0" fillId="0" borderId="41" xfId="0" applyBorder="1" applyAlignment="1" applyProtection="1">
      <alignment horizontal="right"/>
      <protection hidden="1"/>
    </xf>
    <xf numFmtId="0" fontId="0" fillId="0" borderId="42" xfId="0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0" xfId="0" applyBorder="1" applyProtection="1">
      <protection hidden="1"/>
    </xf>
    <xf numFmtId="49" fontId="44" fillId="0" borderId="18" xfId="0" applyNumberFormat="1" applyFont="1" applyBorder="1" applyAlignment="1" applyProtection="1">
      <alignment horizontal="left" vertical="center"/>
      <protection hidden="1"/>
    </xf>
    <xf numFmtId="49" fontId="44" fillId="0" borderId="22" xfId="0" applyNumberFormat="1" applyFont="1" applyBorder="1" applyAlignment="1" applyProtection="1">
      <alignment horizontal="left" vertical="center"/>
      <protection hidden="1"/>
    </xf>
    <xf numFmtId="49" fontId="44" fillId="0" borderId="26" xfId="0" applyNumberFormat="1" applyFont="1" applyBorder="1" applyAlignment="1" applyProtection="1">
      <alignment vertical="center"/>
      <protection hidden="1"/>
    </xf>
    <xf numFmtId="0" fontId="2" fillId="9" borderId="87" xfId="0" applyFont="1" applyFill="1" applyBorder="1" applyProtection="1">
      <protection hidden="1"/>
    </xf>
    <xf numFmtId="0" fontId="2" fillId="9" borderId="88" xfId="0" applyFont="1" applyFill="1" applyBorder="1" applyProtection="1">
      <protection hidden="1"/>
    </xf>
    <xf numFmtId="166" fontId="15" fillId="28" borderId="10" xfId="5" applyNumberFormat="1" applyFont="1" applyFill="1" applyBorder="1" applyAlignment="1" applyProtection="1">
      <alignment horizontal="center" vertical="center" wrapText="1"/>
      <protection hidden="1"/>
    </xf>
    <xf numFmtId="166" fontId="15" fillId="28" borderId="5" xfId="5" applyNumberFormat="1" applyFont="1" applyFill="1" applyBorder="1" applyProtection="1"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0" borderId="5" xfId="0" applyFont="1" applyFill="1" applyBorder="1" applyAlignment="1" applyProtection="1"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protection hidden="1"/>
    </xf>
    <xf numFmtId="49" fontId="9" fillId="0" borderId="43" xfId="0" applyNumberFormat="1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Fill="1" applyBorder="1" applyAlignment="1" applyProtection="1">
      <protection hidden="1"/>
    </xf>
    <xf numFmtId="166" fontId="3" fillId="0" borderId="6" xfId="5" applyNumberFormat="1" applyFont="1" applyBorder="1" applyProtection="1">
      <protection hidden="1"/>
    </xf>
    <xf numFmtId="1" fontId="9" fillId="0" borderId="6" xfId="0" applyNumberFormat="1" applyFont="1" applyFill="1" applyBorder="1" applyAlignment="1" applyProtection="1">
      <alignment horizontal="center"/>
      <protection hidden="1"/>
    </xf>
    <xf numFmtId="49" fontId="9" fillId="0" borderId="44" xfId="0" applyNumberFormat="1" applyFont="1" applyFill="1" applyBorder="1" applyAlignment="1" applyProtection="1">
      <alignment horizontal="center"/>
      <protection hidden="1"/>
    </xf>
    <xf numFmtId="0" fontId="10" fillId="2" borderId="34" xfId="0" applyFont="1" applyFill="1" applyBorder="1" applyAlignment="1" applyProtection="1">
      <alignment horizontal="center" vertical="center"/>
      <protection hidden="1"/>
    </xf>
    <xf numFmtId="0" fontId="10" fillId="0" borderId="34" xfId="0" applyFont="1" applyFill="1" applyBorder="1" applyAlignment="1" applyProtection="1">
      <protection hidden="1"/>
    </xf>
    <xf numFmtId="1" fontId="9" fillId="0" borderId="34" xfId="0" applyNumberFormat="1" applyFont="1" applyFill="1" applyBorder="1" applyAlignment="1" applyProtection="1">
      <alignment horizontal="center"/>
      <protection hidden="1"/>
    </xf>
    <xf numFmtId="49" fontId="9" fillId="0" borderId="45" xfId="0" applyNumberFormat="1" applyFont="1" applyFill="1" applyBorder="1" applyAlignment="1" applyProtection="1">
      <alignment horizontal="center"/>
      <protection hidden="1"/>
    </xf>
    <xf numFmtId="0" fontId="10" fillId="2" borderId="32" xfId="0" applyFont="1" applyFill="1" applyBorder="1" applyAlignment="1" applyProtection="1">
      <alignment horizontal="center" vertical="center"/>
      <protection hidden="1"/>
    </xf>
    <xf numFmtId="0" fontId="10" fillId="0" borderId="32" xfId="0" applyFont="1" applyFill="1" applyBorder="1" applyAlignment="1" applyProtection="1">
      <protection hidden="1"/>
    </xf>
    <xf numFmtId="1" fontId="9" fillId="0" borderId="32" xfId="0" applyNumberFormat="1" applyFont="1" applyFill="1" applyBorder="1" applyAlignment="1" applyProtection="1">
      <alignment horizontal="center"/>
      <protection hidden="1"/>
    </xf>
    <xf numFmtId="49" fontId="9" fillId="0" borderId="46" xfId="0" applyNumberFormat="1" applyFont="1" applyFill="1" applyBorder="1" applyAlignment="1" applyProtection="1">
      <alignment horizontal="center"/>
      <protection hidden="1"/>
    </xf>
    <xf numFmtId="0" fontId="10" fillId="2" borderId="29" xfId="0" applyFont="1" applyFill="1" applyBorder="1" applyAlignment="1" applyProtection="1">
      <alignment horizontal="center" vertical="center"/>
      <protection hidden="1"/>
    </xf>
    <xf numFmtId="0" fontId="10" fillId="0" borderId="29" xfId="0" applyFont="1" applyFill="1" applyBorder="1" applyAlignment="1" applyProtection="1">
      <protection hidden="1"/>
    </xf>
    <xf numFmtId="1" fontId="9" fillId="0" borderId="29" xfId="0" applyNumberFormat="1" applyFont="1" applyFill="1" applyBorder="1" applyAlignment="1" applyProtection="1">
      <alignment horizontal="center"/>
      <protection hidden="1"/>
    </xf>
    <xf numFmtId="49" fontId="9" fillId="0" borderId="47" xfId="0" applyNumberFormat="1" applyFont="1" applyFill="1" applyBorder="1" applyAlignment="1" applyProtection="1">
      <alignment horizontal="center"/>
      <protection hidden="1"/>
    </xf>
    <xf numFmtId="0" fontId="10" fillId="2" borderId="30" xfId="0" applyFont="1" applyFill="1" applyBorder="1" applyAlignment="1" applyProtection="1">
      <alignment horizontal="center" vertical="center"/>
      <protection hidden="1"/>
    </xf>
    <xf numFmtId="0" fontId="10" fillId="0" borderId="30" xfId="0" applyFont="1" applyFill="1" applyBorder="1" applyAlignment="1" applyProtection="1">
      <protection hidden="1"/>
    </xf>
    <xf numFmtId="1" fontId="9" fillId="0" borderId="30" xfId="0" applyNumberFormat="1" applyFont="1" applyFill="1" applyBorder="1" applyAlignment="1" applyProtection="1">
      <alignment horizontal="center"/>
      <protection hidden="1"/>
    </xf>
    <xf numFmtId="49" fontId="9" fillId="0" borderId="48" xfId="0" applyNumberFormat="1" applyFont="1" applyFill="1" applyBorder="1" applyAlignment="1" applyProtection="1">
      <alignment horizontal="center"/>
      <protection hidden="1"/>
    </xf>
    <xf numFmtId="1" fontId="9" fillId="0" borderId="5" xfId="0" applyNumberFormat="1" applyFont="1" applyFill="1" applyBorder="1" applyAlignment="1" applyProtection="1">
      <alignment horizontal="center"/>
      <protection hidden="1"/>
    </xf>
    <xf numFmtId="49" fontId="9" fillId="0" borderId="49" xfId="0" applyNumberFormat="1" applyFont="1" applyFill="1" applyBorder="1" applyAlignment="1" applyProtection="1">
      <alignment horizont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0" borderId="7" xfId="0" applyFont="1" applyFill="1" applyBorder="1" applyAlignment="1" applyProtection="1">
      <protection hidden="1"/>
    </xf>
    <xf numFmtId="1" fontId="9" fillId="0" borderId="7" xfId="0" applyNumberFormat="1" applyFont="1" applyFill="1" applyBorder="1" applyAlignment="1" applyProtection="1">
      <alignment horizontal="center"/>
      <protection hidden="1"/>
    </xf>
    <xf numFmtId="49" fontId="9" fillId="0" borderId="50" xfId="0" applyNumberFormat="1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 vertical="center"/>
      <protection hidden="1"/>
    </xf>
    <xf numFmtId="0" fontId="10" fillId="0" borderId="37" xfId="0" applyFont="1" applyFill="1" applyBorder="1" applyAlignment="1" applyProtection="1">
      <protection hidden="1"/>
    </xf>
    <xf numFmtId="1" fontId="9" fillId="0" borderId="37" xfId="0" applyNumberFormat="1" applyFont="1" applyFill="1" applyBorder="1" applyAlignment="1" applyProtection="1">
      <alignment horizontal="center"/>
      <protection hidden="1"/>
    </xf>
    <xf numFmtId="49" fontId="9" fillId="0" borderId="51" xfId="0" applyNumberFormat="1" applyFont="1" applyFill="1" applyBorder="1" applyAlignment="1" applyProtection="1">
      <alignment horizontal="center"/>
      <protection hidden="1"/>
    </xf>
    <xf numFmtId="0" fontId="10" fillId="2" borderId="31" xfId="0" applyFont="1" applyFill="1" applyBorder="1" applyAlignment="1" applyProtection="1">
      <alignment horizontal="center" vertical="center"/>
      <protection hidden="1"/>
    </xf>
    <xf numFmtId="0" fontId="10" fillId="0" borderId="31" xfId="0" applyFont="1" applyFill="1" applyBorder="1" applyAlignment="1" applyProtection="1">
      <protection hidden="1"/>
    </xf>
    <xf numFmtId="0" fontId="10" fillId="2" borderId="33" xfId="0" applyFont="1" applyFill="1" applyBorder="1" applyAlignment="1" applyProtection="1">
      <alignment horizontal="center" vertical="center"/>
      <protection hidden="1"/>
    </xf>
    <xf numFmtId="0" fontId="10" fillId="0" borderId="33" xfId="0" applyFont="1" applyFill="1" applyBorder="1" applyAlignment="1" applyProtection="1">
      <protection hidden="1"/>
    </xf>
    <xf numFmtId="1" fontId="9" fillId="0" borderId="33" xfId="0" applyNumberFormat="1" applyFont="1" applyFill="1" applyBorder="1" applyAlignment="1" applyProtection="1">
      <alignment horizontal="center"/>
      <protection hidden="1"/>
    </xf>
    <xf numFmtId="49" fontId="9" fillId="0" borderId="52" xfId="0" applyNumberFormat="1" applyFont="1" applyFill="1" applyBorder="1" applyAlignment="1" applyProtection="1">
      <alignment horizontal="center"/>
      <protection hidden="1"/>
    </xf>
    <xf numFmtId="0" fontId="63" fillId="2" borderId="0" xfId="0" applyFont="1" applyFill="1" applyBorder="1" applyAlignment="1" applyProtection="1">
      <alignment horizontal="center" vertical="center"/>
      <protection hidden="1"/>
    </xf>
    <xf numFmtId="0" fontId="63" fillId="0" borderId="0" xfId="0" applyFont="1" applyFill="1" applyBorder="1" applyAlignment="1" applyProtection="1">
      <protection hidden="1"/>
    </xf>
    <xf numFmtId="166" fontId="65" fillId="0" borderId="0" xfId="5" applyNumberFormat="1" applyFont="1" applyBorder="1" applyProtection="1">
      <protection hidden="1"/>
    </xf>
    <xf numFmtId="169" fontId="3" fillId="0" borderId="5" xfId="5" applyNumberFormat="1" applyFont="1" applyBorder="1" applyProtection="1">
      <protection hidden="1"/>
    </xf>
    <xf numFmtId="169" fontId="3" fillId="0" borderId="4" xfId="5" applyNumberFormat="1" applyFont="1" applyBorder="1" applyProtection="1">
      <protection hidden="1"/>
    </xf>
    <xf numFmtId="169" fontId="3" fillId="0" borderId="6" xfId="5" applyNumberFormat="1" applyFont="1" applyBorder="1" applyProtection="1">
      <protection hidden="1"/>
    </xf>
    <xf numFmtId="169" fontId="3" fillId="0" borderId="34" xfId="5" applyNumberFormat="1" applyFont="1" applyBorder="1" applyProtection="1">
      <protection hidden="1"/>
    </xf>
    <xf numFmtId="169" fontId="3" fillId="0" borderId="32" xfId="5" applyNumberFormat="1" applyFont="1" applyBorder="1" applyProtection="1">
      <protection hidden="1"/>
    </xf>
    <xf numFmtId="169" fontId="3" fillId="0" borderId="29" xfId="5" applyNumberFormat="1" applyFont="1" applyBorder="1" applyProtection="1">
      <protection hidden="1"/>
    </xf>
    <xf numFmtId="169" fontId="3" fillId="0" borderId="30" xfId="5" applyNumberFormat="1" applyFont="1" applyBorder="1" applyProtection="1">
      <protection hidden="1"/>
    </xf>
    <xf numFmtId="169" fontId="3" fillId="0" borderId="7" xfId="5" applyNumberFormat="1" applyFont="1" applyBorder="1" applyProtection="1">
      <protection hidden="1"/>
    </xf>
    <xf numFmtId="169" fontId="3" fillId="0" borderId="37" xfId="5" applyNumberFormat="1" applyFont="1" applyBorder="1" applyProtection="1">
      <protection hidden="1"/>
    </xf>
    <xf numFmtId="169" fontId="3" fillId="0" borderId="31" xfId="5" applyNumberFormat="1" applyFont="1" applyBorder="1" applyProtection="1">
      <protection hidden="1"/>
    </xf>
    <xf numFmtId="169" fontId="3" fillId="0" borderId="33" xfId="5" applyNumberFormat="1" applyFont="1" applyBorder="1" applyProtection="1">
      <protection hidden="1"/>
    </xf>
    <xf numFmtId="0" fontId="14" fillId="15" borderId="3" xfId="0" applyFont="1" applyFill="1" applyBorder="1" applyProtection="1">
      <protection hidden="1"/>
    </xf>
    <xf numFmtId="0" fontId="14" fillId="15" borderId="3" xfId="0" applyFont="1" applyFill="1" applyBorder="1" applyAlignment="1" applyProtection="1">
      <alignment horizontal="center" textRotation="90"/>
      <protection hidden="1"/>
    </xf>
    <xf numFmtId="44" fontId="14" fillId="15" borderId="3" xfId="3" applyNumberFormat="1" applyFont="1" applyFill="1" applyBorder="1" applyAlignment="1" applyProtection="1">
      <alignment horizontal="center"/>
      <protection hidden="1"/>
    </xf>
    <xf numFmtId="0" fontId="14" fillId="15" borderId="3" xfId="0" applyFont="1" applyFill="1" applyBorder="1" applyAlignment="1" applyProtection="1">
      <alignment horizontal="center" wrapText="1"/>
      <protection hidden="1"/>
    </xf>
    <xf numFmtId="0" fontId="14" fillId="15" borderId="53" xfId="0" applyNumberFormat="1" applyFont="1" applyFill="1" applyBorder="1" applyAlignment="1" applyProtection="1">
      <alignment horizontal="center"/>
      <protection hidden="1"/>
    </xf>
    <xf numFmtId="0" fontId="50" fillId="7" borderId="0" xfId="0" applyFont="1" applyFill="1" applyAlignment="1" applyProtection="1">
      <alignment horizontal="center"/>
      <protection hidden="1"/>
    </xf>
    <xf numFmtId="0" fontId="5" fillId="21" borderId="90" xfId="0" applyFont="1" applyFill="1" applyBorder="1" applyAlignment="1" applyProtection="1">
      <alignment horizontal="center" vertical="center"/>
      <protection hidden="1"/>
    </xf>
    <xf numFmtId="0" fontId="5" fillId="21" borderId="91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Protection="1"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66" fillId="29" borderId="0" xfId="0" applyFont="1" applyFill="1" applyAlignment="1" applyProtection="1">
      <alignment horizontal="center" vertical="center"/>
      <protection hidden="1"/>
    </xf>
    <xf numFmtId="0" fontId="4" fillId="0" borderId="93" xfId="0" applyFont="1" applyBorder="1" applyAlignment="1" applyProtection="1">
      <alignment horizontal="right" vertical="center"/>
      <protection hidden="1"/>
    </xf>
    <xf numFmtId="0" fontId="4" fillId="0" borderId="93" xfId="0" applyFont="1" applyBorder="1" applyAlignment="1" applyProtection="1">
      <alignment vertical="center"/>
      <protection hidden="1"/>
    </xf>
    <xf numFmtId="0" fontId="4" fillId="0" borderId="94" xfId="0" applyFont="1" applyBorder="1" applyAlignment="1" applyProtection="1">
      <alignment vertical="center"/>
      <protection hidden="1"/>
    </xf>
    <xf numFmtId="0" fontId="4" fillId="0" borderId="95" xfId="0" applyFont="1" applyBorder="1" applyAlignment="1" applyProtection="1">
      <alignment vertical="center"/>
      <protection hidden="1"/>
    </xf>
    <xf numFmtId="0" fontId="4" fillId="0" borderId="96" xfId="0" applyFont="1" applyBorder="1" applyAlignment="1" applyProtection="1">
      <alignment vertical="center"/>
      <protection hidden="1"/>
    </xf>
    <xf numFmtId="0" fontId="4" fillId="0" borderId="95" xfId="0" applyFont="1" applyBorder="1" applyAlignment="1" applyProtection="1">
      <alignment horizontal="right" vertical="center"/>
      <protection hidden="1"/>
    </xf>
    <xf numFmtId="0" fontId="9" fillId="0" borderId="55" xfId="0" applyFont="1" applyFill="1" applyBorder="1" applyProtection="1">
      <protection hidden="1"/>
    </xf>
    <xf numFmtId="0" fontId="9" fillId="0" borderId="55" xfId="0" applyFont="1" applyFill="1" applyBorder="1" applyAlignment="1" applyProtection="1">
      <alignment horizontal="center" vertical="center"/>
      <protection hidden="1"/>
    </xf>
    <xf numFmtId="0" fontId="10" fillId="2" borderId="55" xfId="0" applyFont="1" applyFill="1" applyBorder="1" applyAlignment="1" applyProtection="1">
      <alignment horizontal="center" vertical="center"/>
      <protection hidden="1"/>
    </xf>
    <xf numFmtId="0" fontId="10" fillId="0" borderId="55" xfId="0" applyFont="1" applyFill="1" applyBorder="1" applyAlignment="1" applyProtection="1">
      <protection hidden="1"/>
    </xf>
    <xf numFmtId="169" fontId="3" fillId="0" borderId="55" xfId="5" applyNumberFormat="1" applyFont="1" applyBorder="1" applyProtection="1">
      <protection hidden="1"/>
    </xf>
    <xf numFmtId="165" fontId="15" fillId="0" borderId="55" xfId="5" applyNumberFormat="1" applyFont="1" applyBorder="1" applyProtection="1">
      <protection hidden="1"/>
    </xf>
    <xf numFmtId="49" fontId="9" fillId="0" borderId="56" xfId="0" applyNumberFormat="1" applyFont="1" applyFill="1" applyBorder="1" applyAlignment="1" applyProtection="1">
      <alignment horizontal="center" vertical="center"/>
      <protection hidden="1"/>
    </xf>
    <xf numFmtId="49" fontId="9" fillId="0" borderId="57" xfId="0" applyNumberFormat="1" applyFont="1" applyFill="1" applyBorder="1" applyAlignment="1" applyProtection="1">
      <alignment horizontal="center" vertical="center"/>
      <protection hidden="1"/>
    </xf>
    <xf numFmtId="3" fontId="10" fillId="2" borderId="58" xfId="0" applyNumberFormat="1" applyFont="1" applyFill="1" applyBorder="1" applyAlignment="1" applyProtection="1">
      <alignment horizontal="left" vertical="center"/>
      <protection hidden="1"/>
    </xf>
    <xf numFmtId="3" fontId="10" fillId="2" borderId="59" xfId="0" applyNumberFormat="1" applyFont="1" applyFill="1" applyBorder="1" applyAlignment="1" applyProtection="1">
      <alignment horizontal="left" vertical="center"/>
      <protection hidden="1"/>
    </xf>
    <xf numFmtId="3" fontId="10" fillId="2" borderId="60" xfId="0" applyNumberFormat="1" applyFont="1" applyFill="1" applyBorder="1" applyAlignment="1" applyProtection="1">
      <alignment horizontal="left" vertical="center"/>
      <protection hidden="1"/>
    </xf>
    <xf numFmtId="3" fontId="10" fillId="2" borderId="9" xfId="0" applyNumberFormat="1" applyFont="1" applyFill="1" applyBorder="1" applyAlignment="1" applyProtection="1">
      <alignment horizontal="left" vertical="center"/>
      <protection hidden="1"/>
    </xf>
    <xf numFmtId="3" fontId="10" fillId="2" borderId="61" xfId="0" applyNumberFormat="1" applyFont="1" applyFill="1" applyBorder="1" applyAlignment="1" applyProtection="1">
      <alignment horizontal="left" vertical="center"/>
      <protection hidden="1"/>
    </xf>
    <xf numFmtId="3" fontId="10" fillId="2" borderId="62" xfId="0" applyNumberFormat="1" applyFont="1" applyFill="1" applyBorder="1" applyAlignment="1" applyProtection="1">
      <alignment horizontal="left" vertical="center"/>
      <protection hidden="1"/>
    </xf>
    <xf numFmtId="3" fontId="10" fillId="2" borderId="63" xfId="0" applyNumberFormat="1" applyFont="1" applyFill="1" applyBorder="1" applyAlignment="1" applyProtection="1">
      <alignment horizontal="left" vertical="center"/>
      <protection hidden="1"/>
    </xf>
    <xf numFmtId="3" fontId="10" fillId="2" borderId="64" xfId="0" applyNumberFormat="1" applyFont="1" applyFill="1" applyBorder="1" applyAlignment="1" applyProtection="1">
      <alignment horizontal="left" vertical="center"/>
      <protection hidden="1"/>
    </xf>
    <xf numFmtId="3" fontId="10" fillId="2" borderId="65" xfId="0" applyNumberFormat="1" applyFont="1" applyFill="1" applyBorder="1" applyAlignment="1" applyProtection="1">
      <alignment horizontal="left" vertical="center"/>
      <protection hidden="1"/>
    </xf>
    <xf numFmtId="3" fontId="10" fillId="2" borderId="66" xfId="0" applyNumberFormat="1" applyFont="1" applyFill="1" applyBorder="1" applyAlignment="1" applyProtection="1">
      <alignment horizontal="left" vertical="center"/>
      <protection hidden="1"/>
    </xf>
    <xf numFmtId="3" fontId="10" fillId="2" borderId="67" xfId="0" applyNumberFormat="1" applyFont="1" applyFill="1" applyBorder="1" applyAlignment="1" applyProtection="1">
      <alignment horizontal="left" vertical="center"/>
      <protection hidden="1"/>
    </xf>
    <xf numFmtId="3" fontId="10" fillId="2" borderId="68" xfId="0" applyNumberFormat="1" applyFont="1" applyFill="1" applyBorder="1" applyAlignment="1" applyProtection="1">
      <alignment horizontal="left" vertical="center"/>
      <protection hidden="1"/>
    </xf>
    <xf numFmtId="0" fontId="9" fillId="0" borderId="33" xfId="0" applyFont="1" applyFill="1" applyBorder="1" applyProtection="1">
      <protection hidden="1"/>
    </xf>
    <xf numFmtId="3" fontId="10" fillId="0" borderId="67" xfId="0" applyNumberFormat="1" applyFont="1" applyFill="1" applyBorder="1" applyAlignment="1" applyProtection="1">
      <alignment horizontal="left" vertical="center"/>
      <protection hidden="1"/>
    </xf>
    <xf numFmtId="0" fontId="10" fillId="0" borderId="7" xfId="0" applyFont="1" applyFill="1" applyBorder="1" applyAlignment="1" applyProtection="1">
      <alignment horizontal="center" vertical="center"/>
      <protection hidden="1"/>
    </xf>
    <xf numFmtId="169" fontId="3" fillId="0" borderId="7" xfId="5" applyNumberFormat="1" applyFont="1" applyFill="1" applyBorder="1" applyProtection="1">
      <protection hidden="1"/>
    </xf>
    <xf numFmtId="165" fontId="15" fillId="0" borderId="7" xfId="5" applyNumberFormat="1" applyFont="1" applyFill="1" applyBorder="1" applyProtection="1">
      <protection hidden="1"/>
    </xf>
    <xf numFmtId="3" fontId="10" fillId="30" borderId="63" xfId="0" applyNumberFormat="1" applyFont="1" applyFill="1" applyBorder="1" applyAlignment="1" applyProtection="1">
      <alignment horizontal="left" vertical="center"/>
      <protection hidden="1"/>
    </xf>
    <xf numFmtId="0" fontId="9" fillId="31" borderId="32" xfId="0" applyFont="1" applyFill="1" applyBorder="1" applyProtection="1">
      <protection hidden="1"/>
    </xf>
    <xf numFmtId="0" fontId="9" fillId="31" borderId="32" xfId="0" applyFont="1" applyFill="1" applyBorder="1" applyAlignment="1" applyProtection="1">
      <alignment horizontal="center" vertical="center"/>
      <protection hidden="1"/>
    </xf>
    <xf numFmtId="0" fontId="10" fillId="30" borderId="32" xfId="0" applyFont="1" applyFill="1" applyBorder="1" applyAlignment="1" applyProtection="1">
      <alignment horizontal="center" vertical="center"/>
      <protection hidden="1"/>
    </xf>
    <xf numFmtId="0" fontId="10" fillId="31" borderId="32" xfId="0" applyFont="1" applyFill="1" applyBorder="1" applyAlignment="1" applyProtection="1">
      <protection hidden="1"/>
    </xf>
    <xf numFmtId="169" fontId="3" fillId="31" borderId="32" xfId="5" applyNumberFormat="1" applyFont="1" applyFill="1" applyBorder="1" applyProtection="1">
      <protection hidden="1"/>
    </xf>
    <xf numFmtId="165" fontId="15" fillId="31" borderId="32" xfId="5" applyNumberFormat="1" applyFont="1" applyFill="1" applyBorder="1" applyProtection="1">
      <protection hidden="1"/>
    </xf>
    <xf numFmtId="1" fontId="9" fillId="31" borderId="32" xfId="0" applyNumberFormat="1" applyFont="1" applyFill="1" applyBorder="1" applyAlignment="1" applyProtection="1">
      <alignment horizontal="center"/>
      <protection hidden="1"/>
    </xf>
    <xf numFmtId="49" fontId="9" fillId="31" borderId="46" xfId="0" applyNumberFormat="1" applyFont="1" applyFill="1" applyBorder="1" applyAlignment="1" applyProtection="1">
      <alignment horizontal="center"/>
      <protection hidden="1"/>
    </xf>
    <xf numFmtId="3" fontId="10" fillId="30" borderId="66" xfId="0" applyNumberFormat="1" applyFont="1" applyFill="1" applyBorder="1" applyAlignment="1" applyProtection="1">
      <alignment horizontal="left" vertical="center"/>
      <protection hidden="1"/>
    </xf>
    <xf numFmtId="0" fontId="9" fillId="31" borderId="37" xfId="0" applyFont="1" applyFill="1" applyBorder="1" applyProtection="1">
      <protection hidden="1"/>
    </xf>
    <xf numFmtId="0" fontId="9" fillId="31" borderId="37" xfId="0" applyFont="1" applyFill="1" applyBorder="1" applyAlignment="1" applyProtection="1">
      <alignment horizontal="center" vertical="center"/>
      <protection hidden="1"/>
    </xf>
    <xf numFmtId="0" fontId="10" fillId="30" borderId="37" xfId="0" applyFont="1" applyFill="1" applyBorder="1" applyAlignment="1" applyProtection="1">
      <alignment horizontal="center" vertical="center"/>
      <protection hidden="1"/>
    </xf>
    <xf numFmtId="0" fontId="10" fillId="31" borderId="37" xfId="0" applyFont="1" applyFill="1" applyBorder="1" applyAlignment="1" applyProtection="1">
      <protection hidden="1"/>
    </xf>
    <xf numFmtId="169" fontId="3" fillId="31" borderId="37" xfId="5" applyNumberFormat="1" applyFont="1" applyFill="1" applyBorder="1" applyProtection="1">
      <protection hidden="1"/>
    </xf>
    <xf numFmtId="165" fontId="15" fillId="31" borderId="37" xfId="5" applyNumberFormat="1" applyFont="1" applyFill="1" applyBorder="1" applyProtection="1">
      <protection hidden="1"/>
    </xf>
    <xf numFmtId="1" fontId="9" fillId="31" borderId="37" xfId="0" applyNumberFormat="1" applyFont="1" applyFill="1" applyBorder="1" applyAlignment="1" applyProtection="1">
      <alignment horizontal="center"/>
      <protection hidden="1"/>
    </xf>
    <xf numFmtId="49" fontId="9" fillId="31" borderId="51" xfId="0" applyNumberFormat="1" applyFont="1" applyFill="1" applyBorder="1" applyAlignment="1" applyProtection="1">
      <alignment horizontal="center"/>
      <protection hidden="1"/>
    </xf>
    <xf numFmtId="3" fontId="10" fillId="0" borderId="65" xfId="0" applyNumberFormat="1" applyFont="1" applyFill="1" applyBorder="1" applyAlignment="1" applyProtection="1">
      <alignment horizontal="left" vertical="center"/>
      <protection hidden="1"/>
    </xf>
    <xf numFmtId="0" fontId="10" fillId="0" borderId="30" xfId="0" applyFont="1" applyFill="1" applyBorder="1" applyAlignment="1" applyProtection="1">
      <alignment horizontal="center" vertical="center"/>
      <protection hidden="1"/>
    </xf>
    <xf numFmtId="169" fontId="3" fillId="0" borderId="30" xfId="5" applyNumberFormat="1" applyFont="1" applyFill="1" applyBorder="1" applyProtection="1">
      <protection hidden="1"/>
    </xf>
    <xf numFmtId="165" fontId="15" fillId="0" borderId="30" xfId="5" applyNumberFormat="1" applyFont="1" applyFill="1" applyBorder="1" applyProtection="1">
      <protection hidden="1"/>
    </xf>
    <xf numFmtId="3" fontId="16" fillId="0" borderId="14" xfId="0" applyNumberFormat="1" applyFont="1" applyBorder="1" applyAlignment="1" applyProtection="1">
      <alignment horizontal="left" indent="2"/>
      <protection hidden="1"/>
    </xf>
    <xf numFmtId="3" fontId="16" fillId="15" borderId="14" xfId="0" applyNumberFormat="1" applyFont="1" applyFill="1" applyBorder="1" applyAlignment="1" applyProtection="1">
      <alignment horizontal="left" indent="2"/>
      <protection hidden="1"/>
    </xf>
    <xf numFmtId="3" fontId="15" fillId="2" borderId="10" xfId="0" applyNumberFormat="1" applyFont="1" applyFill="1" applyBorder="1" applyAlignment="1" applyProtection="1">
      <alignment horizontal="left" vertical="center"/>
      <protection hidden="1"/>
    </xf>
    <xf numFmtId="3" fontId="15" fillId="32" borderId="10" xfId="0" applyNumberFormat="1" applyFont="1" applyFill="1" applyBorder="1" applyAlignment="1" applyProtection="1">
      <alignment horizontal="left" vertical="center"/>
      <protection hidden="1"/>
    </xf>
    <xf numFmtId="0" fontId="15" fillId="7" borderId="10" xfId="0" applyFont="1" applyFill="1" applyBorder="1" applyProtection="1">
      <protection hidden="1"/>
    </xf>
    <xf numFmtId="166" fontId="67" fillId="0" borderId="0" xfId="0" applyNumberFormat="1" applyFont="1" applyProtection="1"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Protection="1">
      <protection hidden="1"/>
    </xf>
    <xf numFmtId="0" fontId="22" fillId="0" borderId="14" xfId="0" applyNumberFormat="1" applyFont="1" applyBorder="1" applyAlignment="1" applyProtection="1">
      <alignment horizontal="center"/>
      <protection hidden="1"/>
    </xf>
    <xf numFmtId="166" fontId="15" fillId="7" borderId="10" xfId="5" applyNumberFormat="1" applyFont="1" applyFill="1" applyBorder="1" applyProtection="1">
      <protection hidden="1"/>
    </xf>
    <xf numFmtId="0" fontId="16" fillId="33" borderId="0" xfId="0" applyFont="1" applyFill="1" applyAlignment="1" applyProtection="1">
      <alignment horizontal="center"/>
      <protection hidden="1"/>
    </xf>
    <xf numFmtId="0" fontId="17" fillId="33" borderId="11" xfId="0" applyFont="1" applyFill="1" applyBorder="1" applyAlignment="1" applyProtection="1">
      <alignment horizontal="center"/>
      <protection hidden="1"/>
    </xf>
    <xf numFmtId="0" fontId="2" fillId="0" borderId="79" xfId="0" applyFont="1" applyBorder="1" applyAlignment="1" applyProtection="1">
      <protection hidden="1"/>
    </xf>
    <xf numFmtId="0" fontId="2" fillId="0" borderId="80" xfId="0" applyFont="1" applyBorder="1" applyAlignment="1" applyProtection="1">
      <protection hidden="1"/>
    </xf>
    <xf numFmtId="0" fontId="2" fillId="0" borderId="81" xfId="0" applyFont="1" applyBorder="1" applyAlignment="1" applyProtection="1">
      <protection hidden="1"/>
    </xf>
    <xf numFmtId="0" fontId="2" fillId="0" borderId="82" xfId="0" applyFont="1" applyBorder="1" applyAlignment="1" applyProtection="1">
      <protection hidden="1"/>
    </xf>
    <xf numFmtId="0" fontId="2" fillId="0" borderId="83" xfId="0" applyFont="1" applyBorder="1" applyAlignment="1" applyProtection="1">
      <protection hidden="1"/>
    </xf>
    <xf numFmtId="0" fontId="2" fillId="0" borderId="84" xfId="0" applyFont="1" applyBorder="1" applyAlignment="1" applyProtection="1">
      <protection hidden="1"/>
    </xf>
    <xf numFmtId="0" fontId="2" fillId="0" borderId="85" xfId="0" applyFont="1" applyBorder="1" applyAlignment="1" applyProtection="1">
      <protection hidden="1"/>
    </xf>
    <xf numFmtId="0" fontId="2" fillId="0" borderId="86" xfId="0" applyFont="1" applyBorder="1" applyAlignment="1" applyProtection="1">
      <protection hidden="1"/>
    </xf>
    <xf numFmtId="0" fontId="50" fillId="0" borderId="10" xfId="0" applyFont="1" applyBorder="1" applyProtection="1">
      <protection hidden="1"/>
    </xf>
    <xf numFmtId="0" fontId="50" fillId="0" borderId="10" xfId="0" applyFont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center"/>
      <protection hidden="1"/>
    </xf>
    <xf numFmtId="0" fontId="46" fillId="0" borderId="0" xfId="0" applyFont="1" applyFill="1" applyAlignment="1" applyProtection="1">
      <alignment horizontal="right"/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16" fillId="23" borderId="0" xfId="0" applyFont="1" applyFill="1" applyAlignment="1" applyProtection="1">
      <alignment horizontal="center"/>
      <protection hidden="1"/>
    </xf>
    <xf numFmtId="0" fontId="4" fillId="21" borderId="97" xfId="0" applyFont="1" applyFill="1" applyBorder="1" applyAlignment="1" applyProtection="1">
      <alignment horizontal="center" vertical="center"/>
      <protection hidden="1"/>
    </xf>
    <xf numFmtId="0" fontId="68" fillId="22" borderId="10" xfId="0" applyFont="1" applyFill="1" applyBorder="1" applyAlignment="1" applyProtection="1">
      <alignment horizontal="left" vertical="center"/>
      <protection hidden="1"/>
    </xf>
    <xf numFmtId="0" fontId="5" fillId="21" borderId="97" xfId="0" applyFont="1" applyFill="1" applyBorder="1" applyAlignment="1" applyProtection="1">
      <alignment horizontal="center" vertical="center"/>
      <protection hidden="1"/>
    </xf>
    <xf numFmtId="0" fontId="16" fillId="10" borderId="0" xfId="0" applyFont="1" applyFill="1" applyAlignment="1" applyProtection="1">
      <alignment horizontal="center"/>
      <protection hidden="1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65" fillId="31" borderId="0" xfId="0" applyFont="1" applyFill="1" applyAlignment="1">
      <alignment horizontal="center" vertical="center"/>
    </xf>
    <xf numFmtId="0" fontId="69" fillId="0" borderId="0" xfId="0" applyFont="1" applyAlignment="1" applyProtection="1">
      <alignment vertical="center" wrapText="1"/>
      <protection hidden="1"/>
    </xf>
    <xf numFmtId="0" fontId="16" fillId="0" borderId="85" xfId="0" applyFont="1" applyBorder="1" applyAlignment="1" applyProtection="1">
      <alignment horizontal="right"/>
      <protection hidden="1"/>
    </xf>
    <xf numFmtId="0" fontId="49" fillId="0" borderId="0" xfId="0" applyFont="1" applyProtection="1">
      <protection hidden="1"/>
    </xf>
    <xf numFmtId="0" fontId="5" fillId="21" borderId="98" xfId="0" applyFont="1" applyFill="1" applyBorder="1" applyAlignment="1" applyProtection="1">
      <alignment horizontal="center" vertical="center"/>
      <protection hidden="1"/>
    </xf>
    <xf numFmtId="0" fontId="5" fillId="21" borderId="99" xfId="0" applyFont="1" applyFill="1" applyBorder="1" applyAlignment="1" applyProtection="1">
      <alignment horizontal="center" vertical="center"/>
      <protection hidden="1"/>
    </xf>
    <xf numFmtId="0" fontId="55" fillId="0" borderId="79" xfId="0" applyFont="1" applyFill="1" applyBorder="1" applyAlignment="1" applyProtection="1">
      <protection hidden="1"/>
    </xf>
    <xf numFmtId="0" fontId="55" fillId="0" borderId="80" xfId="0" applyFont="1" applyFill="1" applyBorder="1" applyAlignment="1" applyProtection="1">
      <protection hidden="1"/>
    </xf>
    <xf numFmtId="0" fontId="55" fillId="0" borderId="81" xfId="0" applyFont="1" applyFill="1" applyBorder="1" applyAlignment="1" applyProtection="1">
      <protection hidden="1"/>
    </xf>
    <xf numFmtId="0" fontId="55" fillId="0" borderId="82" xfId="0" applyFont="1" applyFill="1" applyBorder="1" applyAlignment="1" applyProtection="1">
      <protection hidden="1"/>
    </xf>
    <xf numFmtId="0" fontId="55" fillId="0" borderId="0" xfId="0" applyFont="1" applyFill="1" applyBorder="1" applyAlignment="1" applyProtection="1">
      <protection hidden="1"/>
    </xf>
    <xf numFmtId="0" fontId="55" fillId="0" borderId="83" xfId="0" applyFont="1" applyFill="1" applyBorder="1" applyAlignment="1" applyProtection="1">
      <protection hidden="1"/>
    </xf>
    <xf numFmtId="0" fontId="55" fillId="0" borderId="84" xfId="0" applyFont="1" applyFill="1" applyBorder="1" applyAlignment="1" applyProtection="1">
      <protection hidden="1"/>
    </xf>
    <xf numFmtId="0" fontId="55" fillId="0" borderId="85" xfId="0" applyFont="1" applyFill="1" applyBorder="1" applyAlignment="1" applyProtection="1">
      <protection hidden="1"/>
    </xf>
    <xf numFmtId="0" fontId="55" fillId="0" borderId="86" xfId="0" applyFont="1" applyFill="1" applyBorder="1" applyAlignment="1" applyProtection="1">
      <protection hidden="1"/>
    </xf>
    <xf numFmtId="0" fontId="15" fillId="34" borderId="14" xfId="0" applyFont="1" applyFill="1" applyBorder="1" applyAlignment="1" applyProtection="1">
      <alignment horizontal="right"/>
      <protection locked="0"/>
    </xf>
    <xf numFmtId="0" fontId="16" fillId="34" borderId="14" xfId="0" applyFont="1" applyFill="1" applyBorder="1" applyProtection="1">
      <protection hidden="1"/>
    </xf>
    <xf numFmtId="0" fontId="16" fillId="35" borderId="14" xfId="0" applyFont="1" applyFill="1" applyBorder="1" applyProtection="1">
      <protection hidden="1"/>
    </xf>
    <xf numFmtId="3" fontId="10" fillId="2" borderId="69" xfId="0" applyNumberFormat="1" applyFont="1" applyFill="1" applyBorder="1" applyAlignment="1" applyProtection="1">
      <alignment horizontal="left" vertical="center"/>
      <protection hidden="1"/>
    </xf>
    <xf numFmtId="0" fontId="9" fillId="0" borderId="70" xfId="0" applyFont="1" applyFill="1" applyBorder="1" applyProtection="1">
      <protection hidden="1"/>
    </xf>
    <xf numFmtId="0" fontId="9" fillId="0" borderId="70" xfId="0" applyFont="1" applyFill="1" applyBorder="1" applyAlignment="1" applyProtection="1">
      <alignment horizontal="center" vertical="center"/>
      <protection hidden="1"/>
    </xf>
    <xf numFmtId="0" fontId="10" fillId="2" borderId="70" xfId="0" applyFont="1" applyFill="1" applyBorder="1" applyAlignment="1" applyProtection="1">
      <alignment horizontal="center" vertical="center"/>
      <protection hidden="1"/>
    </xf>
    <xf numFmtId="0" fontId="10" fillId="0" borderId="70" xfId="0" applyFont="1" applyFill="1" applyBorder="1" applyAlignment="1" applyProtection="1">
      <protection hidden="1"/>
    </xf>
    <xf numFmtId="169" fontId="3" fillId="0" borderId="70" xfId="5" applyNumberFormat="1" applyFont="1" applyBorder="1" applyProtection="1">
      <protection hidden="1"/>
    </xf>
    <xf numFmtId="0" fontId="17" fillId="36" borderId="11" xfId="0" applyFont="1" applyFill="1" applyBorder="1" applyAlignment="1" applyProtection="1">
      <alignment horizontal="center"/>
      <protection hidden="1"/>
    </xf>
    <xf numFmtId="0" fontId="70" fillId="2" borderId="10" xfId="0" applyFont="1" applyFill="1" applyBorder="1" applyAlignment="1" applyProtection="1">
      <alignment horizontal="center" vertical="center"/>
      <protection hidden="1"/>
    </xf>
    <xf numFmtId="0" fontId="70" fillId="37" borderId="10" xfId="0" applyFont="1" applyFill="1" applyBorder="1" applyAlignment="1" applyProtection="1">
      <alignment horizontal="center" vertical="center"/>
      <protection hidden="1"/>
    </xf>
    <xf numFmtId="0" fontId="15" fillId="35" borderId="13" xfId="0" applyFont="1" applyFill="1" applyBorder="1" applyAlignment="1" applyProtection="1">
      <alignment horizontal="right"/>
      <protection locked="0"/>
    </xf>
    <xf numFmtId="0" fontId="15" fillId="35" borderId="14" xfId="0" applyFont="1" applyFill="1" applyBorder="1" applyAlignment="1" applyProtection="1">
      <alignment horizontal="right"/>
      <protection locked="0"/>
    </xf>
    <xf numFmtId="0" fontId="40" fillId="0" borderId="0" xfId="0" applyNumberFormat="1" applyFont="1" applyProtection="1">
      <protection hidden="1"/>
    </xf>
    <xf numFmtId="0" fontId="2" fillId="9" borderId="89" xfId="0" applyFont="1" applyFill="1" applyBorder="1" applyProtection="1">
      <protection hidden="1"/>
    </xf>
    <xf numFmtId="0" fontId="13" fillId="0" borderId="0" xfId="0" applyFont="1" applyBorder="1" applyProtection="1">
      <protection hidden="1"/>
    </xf>
    <xf numFmtId="0" fontId="79" fillId="0" borderId="0" xfId="0" applyFont="1" applyProtection="1">
      <protection hidden="1"/>
    </xf>
    <xf numFmtId="49" fontId="9" fillId="9" borderId="102" xfId="0" applyNumberFormat="1" applyFont="1" applyFill="1" applyBorder="1" applyAlignment="1" applyProtection="1">
      <alignment horizontal="left" vertical="center"/>
      <protection locked="0" hidden="1"/>
    </xf>
    <xf numFmtId="0" fontId="2" fillId="0" borderId="0" xfId="0" applyNumberFormat="1" applyFont="1" applyBorder="1" applyAlignment="1" applyProtection="1">
      <alignment horizontal="left"/>
      <protection hidden="1"/>
    </xf>
    <xf numFmtId="0" fontId="9" fillId="9" borderId="102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Alignment="1" applyProtection="1">
      <alignment horizontal="left"/>
      <protection hidden="1"/>
    </xf>
    <xf numFmtId="0" fontId="72" fillId="38" borderId="103" xfId="0" applyFont="1" applyFill="1" applyBorder="1" applyAlignment="1" applyProtection="1">
      <alignment horizontal="center" vertical="center"/>
      <protection hidden="1"/>
    </xf>
    <xf numFmtId="0" fontId="72" fillId="38" borderId="104" xfId="0" applyFont="1" applyFill="1" applyBorder="1" applyAlignment="1" applyProtection="1">
      <alignment horizontal="center" vertical="center"/>
      <protection hidden="1"/>
    </xf>
    <xf numFmtId="0" fontId="72" fillId="38" borderId="105" xfId="0" applyFont="1" applyFill="1" applyBorder="1" applyAlignment="1" applyProtection="1">
      <alignment horizontal="center" vertical="center"/>
      <protection hidden="1"/>
    </xf>
    <xf numFmtId="0" fontId="73" fillId="38" borderId="103" xfId="0" applyFont="1" applyFill="1" applyBorder="1" applyAlignment="1" applyProtection="1">
      <alignment horizontal="center" vertical="center"/>
      <protection hidden="1"/>
    </xf>
    <xf numFmtId="0" fontId="73" fillId="38" borderId="104" xfId="0" applyFont="1" applyFill="1" applyBorder="1" applyAlignment="1" applyProtection="1">
      <alignment horizontal="center" vertical="center"/>
      <protection hidden="1"/>
    </xf>
    <xf numFmtId="0" fontId="73" fillId="38" borderId="105" xfId="0" applyFont="1" applyFill="1" applyBorder="1" applyAlignment="1" applyProtection="1">
      <alignment horizontal="center" vertical="center"/>
      <protection hidden="1"/>
    </xf>
    <xf numFmtId="0" fontId="3" fillId="8" borderId="76" xfId="0" applyFont="1" applyFill="1" applyBorder="1" applyAlignment="1" applyProtection="1">
      <alignment horizontal="center" vertical="center"/>
      <protection hidden="1"/>
    </xf>
    <xf numFmtId="0" fontId="3" fillId="8" borderId="100" xfId="0" applyFont="1" applyFill="1" applyBorder="1" applyAlignment="1" applyProtection="1">
      <alignment horizontal="center" vertical="center"/>
      <protection hidden="1"/>
    </xf>
    <xf numFmtId="0" fontId="3" fillId="8" borderId="101" xfId="0" applyFont="1" applyFill="1" applyBorder="1" applyAlignment="1" applyProtection="1">
      <alignment horizontal="center" vertical="center"/>
      <protection hidden="1"/>
    </xf>
    <xf numFmtId="0" fontId="71" fillId="8" borderId="76" xfId="0" applyFont="1" applyFill="1" applyBorder="1" applyAlignment="1" applyProtection="1">
      <alignment horizontal="center" vertical="center"/>
      <protection hidden="1"/>
    </xf>
    <xf numFmtId="0" fontId="71" fillId="8" borderId="100" xfId="0" applyFont="1" applyFill="1" applyBorder="1" applyAlignment="1" applyProtection="1">
      <alignment horizontal="center" vertical="center"/>
      <protection hidden="1"/>
    </xf>
    <xf numFmtId="0" fontId="71" fillId="8" borderId="101" xfId="0" applyFont="1" applyFill="1" applyBorder="1" applyAlignment="1" applyProtection="1">
      <alignment horizontal="center" vertical="center"/>
      <protection hidden="1"/>
    </xf>
    <xf numFmtId="167" fontId="9" fillId="9" borderId="102" xfId="0" applyNumberFormat="1" applyFont="1" applyFill="1" applyBorder="1" applyAlignment="1" applyProtection="1">
      <alignment horizontal="center" vertical="center"/>
      <protection locked="0" hidden="1"/>
    </xf>
    <xf numFmtId="167" fontId="9" fillId="0" borderId="106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6" xfId="0" applyFont="1" applyBorder="1" applyAlignment="1" applyProtection="1">
      <alignment horizontal="left"/>
      <protection hidden="1"/>
    </xf>
    <xf numFmtId="0" fontId="2" fillId="0" borderId="14" xfId="0" applyFont="1" applyBorder="1" applyAlignment="1" applyProtection="1">
      <alignment horizontal="left"/>
      <protection hidden="1"/>
    </xf>
    <xf numFmtId="0" fontId="2" fillId="0" borderId="107" xfId="0" applyFont="1" applyBorder="1" applyAlignment="1" applyProtection="1">
      <alignment horizontal="left" vertical="center"/>
      <protection locked="0" hidden="1"/>
    </xf>
    <xf numFmtId="0" fontId="2" fillId="0" borderId="108" xfId="0" applyFont="1" applyBorder="1" applyAlignment="1" applyProtection="1">
      <alignment horizontal="left" vertical="center"/>
      <protection locked="0" hidden="1"/>
    </xf>
    <xf numFmtId="0" fontId="2" fillId="0" borderId="109" xfId="0" applyFont="1" applyBorder="1" applyAlignment="1" applyProtection="1">
      <alignment horizontal="left" vertical="center"/>
      <protection locked="0" hidden="1"/>
    </xf>
    <xf numFmtId="170" fontId="2" fillId="0" borderId="107" xfId="0" applyNumberFormat="1" applyFont="1" applyBorder="1" applyAlignment="1" applyProtection="1">
      <alignment horizontal="left" vertical="center"/>
      <protection locked="0" hidden="1"/>
    </xf>
    <xf numFmtId="170" fontId="2" fillId="0" borderId="108" xfId="0" applyNumberFormat="1" applyFont="1" applyBorder="1" applyAlignment="1" applyProtection="1">
      <alignment horizontal="left" vertical="center"/>
      <protection locked="0" hidden="1"/>
    </xf>
    <xf numFmtId="170" fontId="2" fillId="0" borderId="109" xfId="0" applyNumberFormat="1" applyFont="1" applyBorder="1" applyAlignment="1" applyProtection="1">
      <alignment horizontal="left" vertical="center"/>
      <protection locked="0" hidden="1"/>
    </xf>
    <xf numFmtId="167" fontId="2" fillId="0" borderId="110" xfId="0" applyNumberFormat="1" applyFont="1" applyBorder="1" applyAlignment="1" applyProtection="1">
      <alignment horizontal="center" vertical="center"/>
      <protection hidden="1"/>
    </xf>
    <xf numFmtId="167" fontId="2" fillId="0" borderId="111" xfId="0" applyNumberFormat="1" applyFont="1" applyBorder="1" applyAlignment="1" applyProtection="1">
      <alignment horizontal="center" vertical="center"/>
      <protection hidden="1"/>
    </xf>
    <xf numFmtId="167" fontId="2" fillId="0" borderId="112" xfId="0" applyNumberFormat="1" applyFont="1" applyBorder="1" applyAlignment="1" applyProtection="1">
      <alignment horizontal="center" vertical="center"/>
      <protection hidden="1"/>
    </xf>
    <xf numFmtId="0" fontId="74" fillId="38" borderId="76" xfId="0" applyFont="1" applyFill="1" applyBorder="1" applyAlignment="1" applyProtection="1">
      <alignment horizontal="center" vertical="center"/>
      <protection hidden="1"/>
    </xf>
    <xf numFmtId="0" fontId="74" fillId="38" borderId="100" xfId="0" applyFont="1" applyFill="1" applyBorder="1" applyAlignment="1" applyProtection="1">
      <alignment horizontal="center" vertical="center"/>
      <protection hidden="1"/>
    </xf>
    <xf numFmtId="0" fontId="74" fillId="38" borderId="101" xfId="0" applyFont="1" applyFill="1" applyBorder="1" applyAlignment="1" applyProtection="1">
      <alignment horizontal="center" vertical="center"/>
      <protection hidden="1"/>
    </xf>
    <xf numFmtId="0" fontId="40" fillId="8" borderId="76" xfId="0" applyFont="1" applyFill="1" applyBorder="1" applyAlignment="1" applyProtection="1">
      <alignment horizontal="center" vertical="center"/>
      <protection hidden="1"/>
    </xf>
    <xf numFmtId="0" fontId="40" fillId="8" borderId="100" xfId="0" applyFont="1" applyFill="1" applyBorder="1" applyAlignment="1" applyProtection="1">
      <alignment horizontal="center" vertical="center"/>
      <protection hidden="1"/>
    </xf>
    <xf numFmtId="0" fontId="40" fillId="8" borderId="101" xfId="0" applyFont="1" applyFill="1" applyBorder="1" applyAlignment="1" applyProtection="1">
      <alignment horizontal="center" vertical="center"/>
      <protection hidden="1"/>
    </xf>
    <xf numFmtId="168" fontId="56" fillId="0" borderId="0" xfId="0" applyNumberFormat="1" applyFont="1" applyBorder="1" applyAlignment="1" applyProtection="1">
      <alignment horizontal="center"/>
      <protection hidden="1"/>
    </xf>
    <xf numFmtId="168" fontId="56" fillId="0" borderId="83" xfId="0" applyNumberFormat="1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0" fontId="13" fillId="0" borderId="27" xfId="0" applyFont="1" applyBorder="1" applyAlignment="1" applyProtection="1">
      <alignment horizontal="center"/>
      <protection hidden="1"/>
    </xf>
    <xf numFmtId="0" fontId="13" fillId="0" borderId="26" xfId="0" applyFont="1" applyBorder="1" applyAlignment="1" applyProtection="1">
      <alignment horizontal="center"/>
      <protection hidden="1"/>
    </xf>
    <xf numFmtId="0" fontId="54" fillId="0" borderId="15" xfId="0" applyFont="1" applyBorder="1" applyAlignment="1" applyProtection="1">
      <alignment horizontal="center"/>
      <protection hidden="1"/>
    </xf>
    <xf numFmtId="0" fontId="54" fillId="0" borderId="19" xfId="0" applyFont="1" applyBorder="1" applyAlignment="1" applyProtection="1">
      <alignment horizontal="center"/>
      <protection hidden="1"/>
    </xf>
    <xf numFmtId="0" fontId="75" fillId="8" borderId="76" xfId="0" applyFont="1" applyFill="1" applyBorder="1" applyAlignment="1" applyProtection="1">
      <alignment horizontal="center" vertical="center"/>
      <protection hidden="1"/>
    </xf>
    <xf numFmtId="0" fontId="75" fillId="8" borderId="100" xfId="0" applyFont="1" applyFill="1" applyBorder="1" applyAlignment="1" applyProtection="1">
      <alignment horizontal="center" vertical="center"/>
      <protection hidden="1"/>
    </xf>
    <xf numFmtId="0" fontId="75" fillId="8" borderId="101" xfId="0" applyFont="1" applyFill="1" applyBorder="1" applyAlignment="1" applyProtection="1">
      <alignment horizontal="center" vertical="center"/>
      <protection hidden="1"/>
    </xf>
    <xf numFmtId="0" fontId="76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44" fillId="0" borderId="10" xfId="0" applyFont="1" applyBorder="1" applyAlignment="1" applyProtection="1">
      <alignment horizontal="left"/>
      <protection hidden="1"/>
    </xf>
    <xf numFmtId="0" fontId="2" fillId="0" borderId="72" xfId="0" applyFont="1" applyBorder="1" applyAlignment="1" applyProtection="1">
      <alignment horizontal="left"/>
      <protection hidden="1"/>
    </xf>
    <xf numFmtId="4" fontId="10" fillId="0" borderId="123" xfId="0" applyNumberFormat="1" applyFont="1" applyFill="1" applyBorder="1" applyAlignment="1" applyProtection="1">
      <alignment horizontal="right" vertical="center"/>
      <protection hidden="1"/>
    </xf>
    <xf numFmtId="4" fontId="10" fillId="0" borderId="124" xfId="0" applyNumberFormat="1" applyFont="1" applyFill="1" applyBorder="1" applyAlignment="1" applyProtection="1">
      <alignment horizontal="right" vertical="center"/>
      <protection hidden="1"/>
    </xf>
    <xf numFmtId="0" fontId="10" fillId="0" borderId="124" xfId="0" applyFont="1" applyFill="1" applyBorder="1" applyAlignment="1" applyProtection="1">
      <alignment horizontal="center" vertical="center"/>
      <protection hidden="1"/>
    </xf>
    <xf numFmtId="0" fontId="10" fillId="0" borderId="125" xfId="0" applyFont="1" applyFill="1" applyBorder="1" applyAlignment="1" applyProtection="1">
      <alignment horizontal="center" vertical="center"/>
      <protection hidden="1"/>
    </xf>
    <xf numFmtId="4" fontId="63" fillId="34" borderId="126" xfId="0" applyNumberFormat="1" applyFont="1" applyFill="1" applyBorder="1" applyAlignment="1" applyProtection="1">
      <alignment horizontal="right"/>
      <protection hidden="1"/>
    </xf>
    <xf numFmtId="0" fontId="63" fillId="34" borderId="126" xfId="0" applyFont="1" applyFill="1" applyBorder="1" applyAlignment="1" applyProtection="1">
      <alignment horizontal="center"/>
      <protection hidden="1"/>
    </xf>
    <xf numFmtId="0" fontId="63" fillId="34" borderId="127" xfId="0" applyFont="1" applyFill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left"/>
      <protection hidden="1"/>
    </xf>
    <xf numFmtId="0" fontId="2" fillId="0" borderId="73" xfId="0" applyFont="1" applyBorder="1" applyAlignment="1" applyProtection="1">
      <alignment horizontal="left"/>
      <protection hidden="1"/>
    </xf>
    <xf numFmtId="0" fontId="44" fillId="0" borderId="72" xfId="0" applyFont="1" applyBorder="1" applyAlignment="1" applyProtection="1">
      <alignment horizontal="left"/>
      <protection hidden="1"/>
    </xf>
    <xf numFmtId="0" fontId="44" fillId="0" borderId="12" xfId="0" applyFont="1" applyBorder="1" applyAlignment="1" applyProtection="1">
      <alignment horizontal="left"/>
      <protection hidden="1"/>
    </xf>
    <xf numFmtId="0" fontId="44" fillId="0" borderId="73" xfId="0" applyFont="1" applyBorder="1" applyAlignment="1" applyProtection="1">
      <alignment horizontal="left"/>
      <protection hidden="1"/>
    </xf>
    <xf numFmtId="0" fontId="44" fillId="0" borderId="74" xfId="0" applyFont="1" applyBorder="1" applyAlignment="1" applyProtection="1">
      <alignment horizontal="left"/>
      <protection hidden="1"/>
    </xf>
    <xf numFmtId="0" fontId="4" fillId="16" borderId="119" xfId="0" applyFont="1" applyFill="1" applyBorder="1" applyAlignment="1" applyProtection="1">
      <alignment horizontal="center" vertical="center"/>
      <protection hidden="1"/>
    </xf>
    <xf numFmtId="0" fontId="4" fillId="16" borderId="97" xfId="0" applyFont="1" applyFill="1" applyBorder="1" applyAlignment="1" applyProtection="1">
      <alignment horizontal="center" vertical="center"/>
      <protection hidden="1"/>
    </xf>
    <xf numFmtId="0" fontId="4" fillId="16" borderId="117" xfId="0" applyFont="1" applyFill="1" applyBorder="1" applyAlignment="1" applyProtection="1">
      <alignment horizontal="center" vertical="center"/>
      <protection hidden="1"/>
    </xf>
    <xf numFmtId="0" fontId="6" fillId="10" borderId="39" xfId="0" applyFont="1" applyFill="1" applyBorder="1" applyAlignment="1" applyProtection="1">
      <alignment horizontal="left" vertical="center"/>
      <protection hidden="1"/>
    </xf>
    <xf numFmtId="0" fontId="6" fillId="10" borderId="39" xfId="0" applyFont="1" applyFill="1" applyBorder="1" applyAlignment="1" applyProtection="1">
      <alignment horizontal="center" vertical="center"/>
      <protection hidden="1"/>
    </xf>
    <xf numFmtId="0" fontId="4" fillId="0" borderId="71" xfId="0" applyFont="1" applyBorder="1" applyAlignment="1" applyProtection="1">
      <alignment horizontal="center"/>
      <protection hidden="1"/>
    </xf>
    <xf numFmtId="0" fontId="4" fillId="0" borderId="118" xfId="0" applyFont="1" applyBorder="1" applyAlignment="1" applyProtection="1">
      <alignment horizontal="center"/>
      <protection hidden="1"/>
    </xf>
    <xf numFmtId="0" fontId="6" fillId="10" borderId="97" xfId="0" applyFont="1" applyFill="1" applyBorder="1" applyAlignment="1" applyProtection="1">
      <alignment horizontal="center" vertical="center"/>
      <protection locked="0"/>
    </xf>
    <xf numFmtId="0" fontId="10" fillId="35" borderId="120" xfId="0" applyFont="1" applyFill="1" applyBorder="1" applyAlignment="1" applyProtection="1">
      <alignment horizontal="center" vertical="center"/>
      <protection hidden="1"/>
    </xf>
    <xf numFmtId="0" fontId="10" fillId="35" borderId="121" xfId="0" applyFont="1" applyFill="1" applyBorder="1" applyAlignment="1" applyProtection="1">
      <alignment horizontal="center" vertical="center"/>
      <protection hidden="1"/>
    </xf>
    <xf numFmtId="0" fontId="63" fillId="35" borderId="120" xfId="0" applyFont="1" applyFill="1" applyBorder="1" applyAlignment="1" applyProtection="1">
      <alignment horizontal="center" vertical="center"/>
      <protection hidden="1"/>
    </xf>
    <xf numFmtId="0" fontId="63" fillId="35" borderId="121" xfId="0" applyFont="1" applyFill="1" applyBorder="1" applyAlignment="1" applyProtection="1">
      <alignment horizontal="center" vertical="center"/>
      <protection hidden="1"/>
    </xf>
    <xf numFmtId="0" fontId="11" fillId="16" borderId="119" xfId="0" applyFont="1" applyFill="1" applyBorder="1" applyAlignment="1" applyProtection="1">
      <alignment horizontal="center" vertical="center"/>
      <protection hidden="1"/>
    </xf>
    <xf numFmtId="0" fontId="11" fillId="16" borderId="97" xfId="0" applyFont="1" applyFill="1" applyBorder="1" applyAlignment="1" applyProtection="1">
      <alignment horizontal="center" vertical="center"/>
      <protection hidden="1"/>
    </xf>
    <xf numFmtId="0" fontId="6" fillId="43" borderId="35" xfId="0" applyFont="1" applyFill="1" applyBorder="1" applyAlignment="1" applyProtection="1">
      <alignment horizontal="left" vertical="center"/>
      <protection hidden="1"/>
    </xf>
    <xf numFmtId="0" fontId="6" fillId="43" borderId="35" xfId="0" applyFont="1" applyFill="1" applyBorder="1" applyAlignment="1" applyProtection="1">
      <alignment horizontal="center" vertical="center"/>
      <protection hidden="1"/>
    </xf>
    <xf numFmtId="0" fontId="4" fillId="0" borderId="116" xfId="0" applyFont="1" applyBorder="1" applyAlignment="1" applyProtection="1">
      <alignment horizontal="center"/>
      <protection hidden="1"/>
    </xf>
    <xf numFmtId="0" fontId="4" fillId="0" borderId="114" xfId="0" applyFont="1" applyBorder="1" applyAlignment="1" applyProtection="1">
      <alignment horizontal="center"/>
      <protection hidden="1"/>
    </xf>
    <xf numFmtId="0" fontId="4" fillId="0" borderId="93" xfId="0" applyFont="1" applyBorder="1" applyAlignment="1" applyProtection="1">
      <alignment horizontal="center" vertical="center"/>
      <protection hidden="1"/>
    </xf>
    <xf numFmtId="0" fontId="4" fillId="0" borderId="94" xfId="0" applyFont="1" applyBorder="1" applyAlignment="1" applyProtection="1">
      <alignment horizontal="center" vertical="center"/>
      <protection hidden="1"/>
    </xf>
    <xf numFmtId="0" fontId="5" fillId="35" borderId="95" xfId="0" applyFont="1" applyFill="1" applyBorder="1" applyAlignment="1" applyProtection="1">
      <alignment horizontal="center" vertical="center"/>
      <protection locked="0"/>
    </xf>
    <xf numFmtId="0" fontId="5" fillId="35" borderId="96" xfId="0" applyFont="1" applyFill="1" applyBorder="1" applyAlignment="1" applyProtection="1">
      <alignment horizontal="center" vertical="center"/>
      <protection locked="0"/>
    </xf>
    <xf numFmtId="0" fontId="6" fillId="42" borderId="35" xfId="0" applyFont="1" applyFill="1" applyBorder="1" applyAlignment="1" applyProtection="1">
      <alignment horizontal="left" vertical="center"/>
      <protection hidden="1"/>
    </xf>
    <xf numFmtId="0" fontId="6" fillId="42" borderId="35" xfId="0" applyFont="1" applyFill="1" applyBorder="1" applyAlignment="1" applyProtection="1">
      <alignment horizontal="center" vertical="center"/>
      <protection hidden="1"/>
    </xf>
    <xf numFmtId="0" fontId="4" fillId="0" borderId="122" xfId="0" applyFont="1" applyBorder="1" applyAlignment="1" applyProtection="1">
      <alignment horizontal="center"/>
      <protection hidden="1"/>
    </xf>
    <xf numFmtId="0" fontId="6" fillId="43" borderId="115" xfId="0" applyFont="1" applyFill="1" applyBorder="1" applyAlignment="1" applyProtection="1">
      <alignment horizontal="center" vertical="center"/>
      <protection locked="0"/>
    </xf>
    <xf numFmtId="0" fontId="6" fillId="41" borderId="97" xfId="0" applyFont="1" applyFill="1" applyBorder="1" applyAlignment="1" applyProtection="1">
      <alignment horizontal="center" vertical="center"/>
      <protection locked="0"/>
    </xf>
    <xf numFmtId="0" fontId="6" fillId="39" borderId="97" xfId="0" applyFont="1" applyFill="1" applyBorder="1" applyAlignment="1" applyProtection="1">
      <alignment horizontal="center" vertical="center"/>
      <protection locked="0"/>
    </xf>
    <xf numFmtId="0" fontId="4" fillId="0" borderId="113" xfId="0" applyFont="1" applyBorder="1" applyAlignment="1" applyProtection="1">
      <alignment horizontal="center" vertical="center"/>
      <protection hidden="1"/>
    </xf>
    <xf numFmtId="0" fontId="4" fillId="0" borderId="114" xfId="0" applyFont="1" applyBorder="1" applyAlignment="1" applyProtection="1">
      <alignment horizontal="center" vertical="center"/>
      <protection hidden="1"/>
    </xf>
    <xf numFmtId="0" fontId="6" fillId="39" borderId="115" xfId="0" applyFont="1" applyFill="1" applyBorder="1" applyAlignment="1" applyProtection="1">
      <alignment horizontal="center" vertical="center"/>
      <protection locked="0"/>
    </xf>
    <xf numFmtId="0" fontId="6" fillId="40" borderId="35" xfId="0" applyFont="1" applyFill="1" applyBorder="1" applyAlignment="1" applyProtection="1">
      <alignment horizontal="left" vertical="center"/>
      <protection hidden="1"/>
    </xf>
    <xf numFmtId="0" fontId="6" fillId="40" borderId="35" xfId="0" applyFont="1" applyFill="1" applyBorder="1" applyAlignment="1" applyProtection="1">
      <alignment horizontal="center" vertical="center"/>
      <protection hidden="1"/>
    </xf>
    <xf numFmtId="0" fontId="73" fillId="44" borderId="140" xfId="0" applyFont="1" applyFill="1" applyBorder="1" applyAlignment="1" applyProtection="1">
      <alignment horizontal="center" vertical="center"/>
      <protection locked="0"/>
    </xf>
    <xf numFmtId="0" fontId="73" fillId="44" borderId="141" xfId="0" applyFont="1" applyFill="1" applyBorder="1" applyAlignment="1" applyProtection="1">
      <alignment horizontal="center" vertical="center"/>
      <protection locked="0"/>
    </xf>
    <xf numFmtId="4" fontId="10" fillId="34" borderId="139" xfId="0" applyNumberFormat="1" applyFont="1" applyFill="1" applyBorder="1" applyAlignment="1" applyProtection="1">
      <alignment horizontal="right" vertical="center"/>
      <protection locked="0"/>
    </xf>
    <xf numFmtId="0" fontId="10" fillId="34" borderId="139" xfId="0" applyFont="1" applyFill="1" applyBorder="1" applyAlignment="1" applyProtection="1">
      <alignment horizontal="center" vertical="center"/>
      <protection locked="0"/>
    </xf>
    <xf numFmtId="4" fontId="10" fillId="15" borderId="139" xfId="0" applyNumberFormat="1" applyFont="1" applyFill="1" applyBorder="1" applyAlignment="1" applyProtection="1">
      <alignment horizontal="right" vertical="center"/>
      <protection locked="0"/>
    </xf>
    <xf numFmtId="0" fontId="10" fillId="15" borderId="139" xfId="0" applyFont="1" applyFill="1" applyBorder="1" applyAlignment="1" applyProtection="1">
      <alignment horizontal="center" vertical="center"/>
      <protection locked="0"/>
    </xf>
    <xf numFmtId="4" fontId="10" fillId="35" borderId="139" xfId="0" applyNumberFormat="1" applyFont="1" applyFill="1" applyBorder="1" applyAlignment="1" applyProtection="1">
      <alignment horizontal="right" vertical="center"/>
      <protection locked="0"/>
    </xf>
    <xf numFmtId="0" fontId="10" fillId="35" borderId="139" xfId="0" applyFont="1" applyFill="1" applyBorder="1" applyAlignment="1" applyProtection="1">
      <alignment horizontal="center" vertical="center"/>
      <protection locked="0"/>
    </xf>
    <xf numFmtId="0" fontId="10" fillId="34" borderId="120" xfId="0" applyFont="1" applyFill="1" applyBorder="1" applyAlignment="1" applyProtection="1">
      <alignment horizontal="center" vertical="center"/>
      <protection hidden="1"/>
    </xf>
    <xf numFmtId="0" fontId="10" fillId="34" borderId="121" xfId="0" applyFont="1" applyFill="1" applyBorder="1" applyAlignment="1" applyProtection="1">
      <alignment horizontal="center" vertical="center"/>
      <protection hidden="1"/>
    </xf>
    <xf numFmtId="0" fontId="4" fillId="16" borderId="127" xfId="0" applyFont="1" applyFill="1" applyBorder="1" applyAlignment="1" applyProtection="1">
      <alignment horizontal="center" vertical="center"/>
      <protection hidden="1"/>
    </xf>
    <xf numFmtId="0" fontId="5" fillId="34" borderId="119" xfId="0" applyFont="1" applyFill="1" applyBorder="1" applyAlignment="1" applyProtection="1">
      <alignment horizontal="center" vertical="center"/>
      <protection locked="0"/>
    </xf>
    <xf numFmtId="0" fontId="5" fillId="34" borderId="137" xfId="0" applyFont="1" applyFill="1" applyBorder="1" applyAlignment="1" applyProtection="1">
      <alignment horizontal="center" vertical="center"/>
      <protection locked="0"/>
    </xf>
    <xf numFmtId="0" fontId="5" fillId="21" borderId="92" xfId="0" applyFont="1" applyFill="1" applyBorder="1" applyAlignment="1" applyProtection="1">
      <alignment horizontal="center" vertical="center"/>
      <protection hidden="1"/>
    </xf>
    <xf numFmtId="0" fontId="5" fillId="21" borderId="38" xfId="0" applyFont="1" applyFill="1" applyBorder="1" applyAlignment="1" applyProtection="1">
      <alignment horizontal="center" vertical="center"/>
      <protection hidden="1"/>
    </xf>
    <xf numFmtId="0" fontId="5" fillId="35" borderId="119" xfId="0" applyFont="1" applyFill="1" applyBorder="1" applyAlignment="1" applyProtection="1">
      <alignment horizontal="center" vertical="center"/>
      <protection locked="0"/>
    </xf>
    <xf numFmtId="0" fontId="5" fillId="35" borderId="137" xfId="0" applyFont="1" applyFill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/>
      <protection hidden="1"/>
    </xf>
    <xf numFmtId="0" fontId="4" fillId="0" borderId="96" xfId="0" applyFont="1" applyBorder="1" applyAlignment="1" applyProtection="1">
      <alignment horizontal="center" vertical="center"/>
      <protection hidden="1"/>
    </xf>
    <xf numFmtId="0" fontId="5" fillId="21" borderId="138" xfId="0" applyFont="1" applyFill="1" applyBorder="1" applyAlignment="1" applyProtection="1">
      <alignment horizontal="center" vertical="center"/>
      <protection hidden="1"/>
    </xf>
    <xf numFmtId="0" fontId="5" fillId="21" borderId="54" xfId="0" applyFont="1" applyFill="1" applyBorder="1" applyAlignment="1" applyProtection="1">
      <alignment horizontal="center" vertical="center"/>
      <protection hidden="1"/>
    </xf>
    <xf numFmtId="0" fontId="6" fillId="43" borderId="75" xfId="0" applyFont="1" applyFill="1" applyBorder="1" applyAlignment="1" applyProtection="1">
      <alignment horizontal="center" vertical="center"/>
      <protection hidden="1"/>
    </xf>
    <xf numFmtId="0" fontId="4" fillId="0" borderId="136" xfId="0" applyFont="1" applyBorder="1" applyAlignment="1" applyProtection="1">
      <alignment horizontal="center"/>
      <protection hidden="1"/>
    </xf>
    <xf numFmtId="0" fontId="9" fillId="8" borderId="130" xfId="1" applyFont="1" applyFill="1" applyBorder="1" applyAlignment="1" applyProtection="1">
      <alignment horizontal="center" vertical="center" wrapText="1"/>
      <protection hidden="1"/>
    </xf>
    <xf numFmtId="0" fontId="9" fillId="8" borderId="131" xfId="1" applyFont="1" applyFill="1" applyBorder="1" applyAlignment="1" applyProtection="1">
      <alignment horizontal="center" vertical="center" wrapText="1"/>
      <protection hidden="1"/>
    </xf>
    <xf numFmtId="0" fontId="9" fillId="8" borderId="132" xfId="1" applyFont="1" applyFill="1" applyBorder="1" applyAlignment="1" applyProtection="1">
      <alignment horizontal="center" vertical="center" wrapText="1"/>
      <protection hidden="1"/>
    </xf>
    <xf numFmtId="0" fontId="9" fillId="8" borderId="133" xfId="1" applyFont="1" applyFill="1" applyBorder="1" applyAlignment="1" applyProtection="1">
      <alignment horizontal="center" vertical="center" wrapText="1"/>
      <protection hidden="1"/>
    </xf>
    <xf numFmtId="0" fontId="9" fillId="8" borderId="134" xfId="1" applyFont="1" applyFill="1" applyBorder="1" applyAlignment="1" applyProtection="1">
      <alignment horizontal="center" vertical="center" wrapText="1"/>
      <protection hidden="1"/>
    </xf>
    <xf numFmtId="0" fontId="9" fillId="8" borderId="135" xfId="1" applyFont="1" applyFill="1" applyBorder="1" applyAlignment="1" applyProtection="1">
      <alignment horizontal="center" vertical="center" wrapText="1"/>
      <protection hidden="1"/>
    </xf>
    <xf numFmtId="0" fontId="5" fillId="34" borderId="95" xfId="0" applyFont="1" applyFill="1" applyBorder="1" applyAlignment="1" applyProtection="1">
      <alignment horizontal="center" vertical="center"/>
      <protection locked="0"/>
    </xf>
    <xf numFmtId="0" fontId="5" fillId="34" borderId="96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/>
      <protection hidden="1"/>
    </xf>
    <xf numFmtId="0" fontId="5" fillId="21" borderId="129" xfId="0" applyFont="1" applyFill="1" applyBorder="1" applyAlignment="1" applyProtection="1">
      <alignment horizontal="center" vertical="center"/>
      <protection hidden="1"/>
    </xf>
    <xf numFmtId="0" fontId="5" fillId="21" borderId="128" xfId="0" applyFont="1" applyFill="1" applyBorder="1" applyAlignment="1" applyProtection="1">
      <alignment horizontal="center" vertical="center"/>
      <protection hidden="1"/>
    </xf>
    <xf numFmtId="0" fontId="5" fillId="15" borderId="95" xfId="0" applyFont="1" applyFill="1" applyBorder="1" applyAlignment="1" applyProtection="1">
      <alignment horizontal="center" vertical="center"/>
      <protection locked="0"/>
    </xf>
    <xf numFmtId="0" fontId="5" fillId="15" borderId="96" xfId="0" applyFont="1" applyFill="1" applyBorder="1" applyAlignment="1" applyProtection="1">
      <alignment horizontal="center" vertical="center"/>
      <protection locked="0"/>
    </xf>
    <xf numFmtId="0" fontId="5" fillId="21" borderId="115" xfId="0" applyFont="1" applyFill="1" applyBorder="1" applyAlignment="1" applyProtection="1">
      <alignment horizontal="center" vertical="center"/>
      <protection hidden="1"/>
    </xf>
    <xf numFmtId="0" fontId="5" fillId="21" borderId="39" xfId="0" applyFont="1" applyFill="1" applyBorder="1" applyAlignment="1" applyProtection="1">
      <alignment horizontal="center" vertical="center"/>
      <protection hidden="1"/>
    </xf>
    <xf numFmtId="0" fontId="10" fillId="15" borderId="120" xfId="0" applyFont="1" applyFill="1" applyBorder="1" applyAlignment="1" applyProtection="1">
      <alignment horizontal="center" vertical="center"/>
      <protection hidden="1"/>
    </xf>
    <xf numFmtId="0" fontId="10" fillId="15" borderId="121" xfId="0" applyFont="1" applyFill="1" applyBorder="1" applyAlignment="1" applyProtection="1">
      <alignment horizontal="center" vertical="center"/>
      <protection hidden="1"/>
    </xf>
    <xf numFmtId="0" fontId="6" fillId="42" borderId="39" xfId="0" applyFont="1" applyFill="1" applyBorder="1" applyAlignment="1" applyProtection="1">
      <alignment horizontal="center" vertical="center"/>
      <protection hidden="1"/>
    </xf>
    <xf numFmtId="0" fontId="5" fillId="35" borderId="113" xfId="0" applyFont="1" applyFill="1" applyBorder="1" applyAlignment="1" applyProtection="1">
      <alignment horizontal="center" vertical="center"/>
      <protection locked="0"/>
    </xf>
    <xf numFmtId="0" fontId="5" fillId="35" borderId="114" xfId="0" applyFont="1" applyFill="1" applyBorder="1" applyAlignment="1" applyProtection="1">
      <alignment horizontal="center" vertical="center"/>
      <protection locked="0"/>
    </xf>
    <xf numFmtId="0" fontId="5" fillId="21" borderId="95" xfId="0" applyFont="1" applyFill="1" applyBorder="1" applyAlignment="1" applyProtection="1">
      <alignment horizontal="center" vertical="center"/>
      <protection hidden="1"/>
    </xf>
    <xf numFmtId="0" fontId="5" fillId="21" borderId="96" xfId="0" applyFont="1" applyFill="1" applyBorder="1" applyAlignment="1" applyProtection="1">
      <alignment horizontal="center" vertical="center"/>
      <protection hidden="1"/>
    </xf>
    <xf numFmtId="0" fontId="5" fillId="21" borderId="142" xfId="0" applyFont="1" applyFill="1" applyBorder="1" applyAlignment="1" applyProtection="1">
      <alignment horizontal="center" vertical="center"/>
      <protection hidden="1"/>
    </xf>
    <xf numFmtId="0" fontId="5" fillId="21" borderId="122" xfId="0" applyFont="1" applyFill="1" applyBorder="1" applyAlignment="1" applyProtection="1">
      <alignment horizontal="center" vertical="center"/>
      <protection hidden="1"/>
    </xf>
    <xf numFmtId="0" fontId="63" fillId="45" borderId="145" xfId="1" applyFont="1" applyFill="1" applyBorder="1" applyAlignment="1" applyProtection="1">
      <alignment horizontal="center" vertical="center" wrapText="1"/>
      <protection hidden="1"/>
    </xf>
    <xf numFmtId="0" fontId="63" fillId="45" borderId="146" xfId="1" applyFont="1" applyFill="1" applyBorder="1" applyAlignment="1" applyProtection="1">
      <alignment horizontal="center" vertical="center" wrapText="1"/>
      <protection hidden="1"/>
    </xf>
    <xf numFmtId="0" fontId="63" fillId="45" borderId="147" xfId="1" applyFont="1" applyFill="1" applyBorder="1" applyAlignment="1" applyProtection="1">
      <alignment horizontal="center" vertical="center" wrapText="1"/>
      <protection hidden="1"/>
    </xf>
    <xf numFmtId="0" fontId="63" fillId="45" borderId="148" xfId="1" applyFont="1" applyFill="1" applyBorder="1" applyAlignment="1" applyProtection="1">
      <alignment horizontal="center" vertical="center" wrapText="1"/>
      <protection hidden="1"/>
    </xf>
    <xf numFmtId="0" fontId="63" fillId="45" borderId="149" xfId="1" applyFont="1" applyFill="1" applyBorder="1" applyAlignment="1" applyProtection="1">
      <alignment horizontal="center" vertical="center" wrapText="1"/>
      <protection hidden="1"/>
    </xf>
    <xf numFmtId="0" fontId="63" fillId="45" borderId="150" xfId="1" applyFont="1" applyFill="1" applyBorder="1" applyAlignment="1" applyProtection="1">
      <alignment horizontal="center" vertical="center" wrapText="1"/>
      <protection hidden="1"/>
    </xf>
    <xf numFmtId="0" fontId="65" fillId="0" borderId="0" xfId="0" applyFont="1" applyAlignment="1" applyProtection="1">
      <alignment horizontal="center"/>
      <protection hidden="1"/>
    </xf>
    <xf numFmtId="2" fontId="65" fillId="21" borderId="0" xfId="0" applyNumberFormat="1" applyFont="1" applyFill="1" applyBorder="1" applyAlignment="1" applyProtection="1">
      <alignment horizontal="center"/>
      <protection hidden="1"/>
    </xf>
    <xf numFmtId="0" fontId="65" fillId="0" borderId="143" xfId="0" applyFont="1" applyBorder="1" applyAlignment="1" applyProtection="1">
      <alignment horizontal="center"/>
      <protection hidden="1"/>
    </xf>
    <xf numFmtId="0" fontId="5" fillId="15" borderId="144" xfId="0" applyFont="1" applyFill="1" applyBorder="1" applyAlignment="1" applyProtection="1">
      <alignment horizontal="center" vertical="center"/>
      <protection locked="0"/>
    </xf>
    <xf numFmtId="0" fontId="4" fillId="16" borderId="137" xfId="0" applyFont="1" applyFill="1" applyBorder="1" applyAlignment="1" applyProtection="1">
      <alignment horizontal="center" vertical="center"/>
      <protection hidden="1"/>
    </xf>
    <xf numFmtId="0" fontId="65" fillId="21" borderId="0" xfId="0" applyFont="1" applyFill="1" applyAlignment="1" applyProtection="1">
      <alignment horizontal="center"/>
      <protection hidden="1"/>
    </xf>
    <xf numFmtId="0" fontId="65" fillId="21" borderId="143" xfId="0" applyFont="1" applyFill="1" applyBorder="1" applyAlignment="1" applyProtection="1">
      <alignment horizontal="center"/>
      <protection hidden="1"/>
    </xf>
    <xf numFmtId="0" fontId="4" fillId="21" borderId="97" xfId="0" applyFont="1" applyFill="1" applyBorder="1" applyAlignment="1" applyProtection="1">
      <alignment horizontal="center" vertical="center"/>
      <protection hidden="1"/>
    </xf>
    <xf numFmtId="0" fontId="5" fillId="15" borderId="151" xfId="0" applyFont="1" applyFill="1" applyBorder="1" applyAlignment="1" applyProtection="1">
      <alignment horizontal="center" vertical="center"/>
      <protection locked="0"/>
    </xf>
    <xf numFmtId="0" fontId="65" fillId="16" borderId="119" xfId="0" applyFont="1" applyFill="1" applyBorder="1" applyAlignment="1" applyProtection="1">
      <alignment horizontal="center" vertical="center"/>
      <protection hidden="1"/>
    </xf>
    <xf numFmtId="0" fontId="65" fillId="16" borderId="97" xfId="0" applyFont="1" applyFill="1" applyBorder="1" applyAlignment="1" applyProtection="1">
      <alignment horizontal="center" vertical="center"/>
      <protection hidden="1"/>
    </xf>
    <xf numFmtId="0" fontId="65" fillId="16" borderId="139" xfId="0" applyFont="1" applyFill="1" applyBorder="1" applyAlignment="1" applyProtection="1">
      <alignment horizontal="center" vertical="center"/>
      <protection hidden="1"/>
    </xf>
    <xf numFmtId="0" fontId="65" fillId="16" borderId="137" xfId="0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center" vertical="center" wrapText="1"/>
      <protection hidden="1"/>
    </xf>
    <xf numFmtId="0" fontId="10" fillId="15" borderId="119" xfId="0" applyFont="1" applyFill="1" applyBorder="1" applyAlignment="1" applyProtection="1">
      <alignment horizontal="center" vertical="center"/>
      <protection hidden="1"/>
    </xf>
    <xf numFmtId="0" fontId="10" fillId="15" borderId="97" xfId="0" applyFont="1" applyFill="1" applyBorder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/>
      <protection hidden="1"/>
    </xf>
    <xf numFmtId="0" fontId="5" fillId="35" borderId="152" xfId="0" applyFont="1" applyFill="1" applyBorder="1" applyAlignment="1" applyProtection="1">
      <alignment horizontal="center" vertical="center"/>
      <protection locked="0"/>
    </xf>
    <xf numFmtId="0" fontId="5" fillId="35" borderId="153" xfId="0" applyFont="1" applyFill="1" applyBorder="1" applyAlignment="1" applyProtection="1">
      <alignment horizontal="center" vertical="center"/>
      <protection locked="0"/>
    </xf>
    <xf numFmtId="0" fontId="5" fillId="35" borderId="116" xfId="0" applyFont="1" applyFill="1" applyBorder="1" applyAlignment="1" applyProtection="1">
      <alignment horizontal="center" vertical="center"/>
      <protection locked="0"/>
    </xf>
    <xf numFmtId="0" fontId="5" fillId="35" borderId="144" xfId="0" applyFont="1" applyFill="1" applyBorder="1" applyAlignment="1" applyProtection="1">
      <alignment horizontal="center" vertical="center"/>
      <protection locked="0"/>
    </xf>
    <xf numFmtId="0" fontId="5" fillId="21" borderId="113" xfId="0" applyFont="1" applyFill="1" applyBorder="1" applyAlignment="1" applyProtection="1">
      <alignment horizontal="center" vertical="center"/>
      <protection hidden="1"/>
    </xf>
    <xf numFmtId="0" fontId="5" fillId="21" borderId="116" xfId="0" applyFont="1" applyFill="1" applyBorder="1" applyAlignment="1" applyProtection="1">
      <alignment horizontal="center" vertical="center"/>
      <protection hidden="1"/>
    </xf>
    <xf numFmtId="0" fontId="5" fillId="21" borderId="119" xfId="0" applyFont="1" applyFill="1" applyBorder="1" applyAlignment="1" applyProtection="1">
      <alignment horizontal="center" vertical="center"/>
      <protection hidden="1"/>
    </xf>
    <xf numFmtId="0" fontId="5" fillId="21" borderId="152" xfId="0" applyFont="1" applyFill="1" applyBorder="1" applyAlignment="1" applyProtection="1">
      <alignment horizontal="center" vertical="center"/>
      <protection hidden="1"/>
    </xf>
    <xf numFmtId="0" fontId="5" fillId="16" borderId="77" xfId="0" applyFont="1" applyFill="1" applyBorder="1" applyAlignment="1" applyProtection="1">
      <alignment horizontal="left" vertical="center"/>
      <protection hidden="1"/>
    </xf>
    <xf numFmtId="0" fontId="5" fillId="21" borderId="35" xfId="0" applyFont="1" applyFill="1" applyBorder="1" applyAlignment="1" applyProtection="1">
      <alignment horizontal="center" vertical="center"/>
      <protection hidden="1"/>
    </xf>
    <xf numFmtId="0" fontId="5" fillId="15" borderId="119" xfId="0" applyFont="1" applyFill="1" applyBorder="1" applyAlignment="1" applyProtection="1">
      <alignment horizontal="center" vertical="center"/>
      <protection locked="0"/>
    </xf>
    <xf numFmtId="0" fontId="5" fillId="15" borderId="97" xfId="0" applyFont="1" applyFill="1" applyBorder="1" applyAlignment="1" applyProtection="1">
      <alignment horizontal="center" vertical="center"/>
      <protection locked="0"/>
    </xf>
    <xf numFmtId="0" fontId="5" fillId="15" borderId="137" xfId="0" applyFont="1" applyFill="1" applyBorder="1" applyAlignment="1" applyProtection="1">
      <alignment horizontal="center" vertical="center"/>
      <protection locked="0"/>
    </xf>
    <xf numFmtId="0" fontId="40" fillId="0" borderId="159" xfId="0" applyFont="1" applyBorder="1" applyAlignment="1" applyProtection="1">
      <alignment horizontal="center"/>
      <protection hidden="1"/>
    </xf>
    <xf numFmtId="0" fontId="40" fillId="0" borderId="160" xfId="0" applyFont="1" applyBorder="1" applyAlignment="1" applyProtection="1">
      <alignment horizontal="center"/>
      <protection hidden="1"/>
    </xf>
    <xf numFmtId="0" fontId="5" fillId="16" borderId="77" xfId="0" applyFont="1" applyFill="1" applyBorder="1" applyAlignment="1" applyProtection="1">
      <alignment horizontal="right" vertical="center"/>
      <protection hidden="1"/>
    </xf>
    <xf numFmtId="0" fontId="40" fillId="15" borderId="97" xfId="0" applyFont="1" applyFill="1" applyBorder="1" applyAlignment="1" applyProtection="1">
      <alignment horizontal="center"/>
      <protection locked="0"/>
    </xf>
    <xf numFmtId="0" fontId="40" fillId="15" borderId="137" xfId="0" applyFont="1" applyFill="1" applyBorder="1" applyAlignment="1" applyProtection="1">
      <alignment horizontal="center"/>
      <protection locked="0"/>
    </xf>
    <xf numFmtId="0" fontId="40" fillId="15" borderId="157" xfId="0" applyFont="1" applyFill="1" applyBorder="1" applyAlignment="1" applyProtection="1">
      <alignment horizontal="center"/>
      <protection locked="0"/>
    </xf>
    <xf numFmtId="0" fontId="40" fillId="15" borderId="158" xfId="0" applyFont="1" applyFill="1" applyBorder="1" applyAlignment="1" applyProtection="1">
      <alignment horizontal="center"/>
      <protection locked="0"/>
    </xf>
    <xf numFmtId="0" fontId="11" fillId="16" borderId="137" xfId="0" applyFont="1" applyFill="1" applyBorder="1" applyAlignment="1" applyProtection="1">
      <alignment horizontal="center" vertical="center"/>
      <protection hidden="1"/>
    </xf>
    <xf numFmtId="0" fontId="52" fillId="15" borderId="121" xfId="0" applyFont="1" applyFill="1" applyBorder="1" applyAlignment="1" applyProtection="1">
      <alignment horizontal="center"/>
      <protection hidden="1"/>
    </xf>
    <xf numFmtId="0" fontId="52" fillId="15" borderId="161" xfId="0" applyFont="1" applyFill="1" applyBorder="1" applyAlignment="1" applyProtection="1">
      <alignment horizontal="center"/>
      <protection hidden="1"/>
    </xf>
    <xf numFmtId="0" fontId="11" fillId="16" borderId="117" xfId="0" applyFont="1" applyFill="1" applyBorder="1" applyAlignment="1" applyProtection="1">
      <alignment horizontal="center" vertical="center"/>
      <protection hidden="1"/>
    </xf>
    <xf numFmtId="0" fontId="11" fillId="16" borderId="162" xfId="0" applyFont="1" applyFill="1" applyBorder="1" applyAlignment="1" applyProtection="1">
      <alignment horizontal="center" vertical="center"/>
      <protection hidden="1"/>
    </xf>
    <xf numFmtId="0" fontId="40" fillId="0" borderId="163" xfId="0" applyFont="1" applyBorder="1" applyAlignment="1" applyProtection="1">
      <alignment horizontal="center"/>
      <protection hidden="1"/>
    </xf>
    <xf numFmtId="0" fontId="40" fillId="0" borderId="164" xfId="0" applyFont="1" applyBorder="1" applyAlignment="1" applyProtection="1">
      <alignment horizontal="center"/>
      <protection hidden="1"/>
    </xf>
    <xf numFmtId="0" fontId="5" fillId="15" borderId="154" xfId="0" applyFont="1" applyFill="1" applyBorder="1" applyAlignment="1" applyProtection="1">
      <alignment horizontal="center" vertical="center"/>
      <protection locked="0"/>
    </xf>
    <xf numFmtId="0" fontId="5" fillId="15" borderId="155" xfId="0" applyFont="1" applyFill="1" applyBorder="1" applyAlignment="1" applyProtection="1">
      <alignment horizontal="center" vertical="center"/>
      <protection locked="0"/>
    </xf>
    <xf numFmtId="0" fontId="5" fillId="15" borderId="156" xfId="0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textRotation="90"/>
      <protection hidden="1"/>
    </xf>
    <xf numFmtId="0" fontId="21" fillId="6" borderId="0" xfId="0" applyFont="1" applyFill="1" applyAlignment="1" applyProtection="1">
      <alignment horizontal="center" textRotation="90"/>
      <protection hidden="1"/>
    </xf>
    <xf numFmtId="0" fontId="54" fillId="9" borderId="0" xfId="0" applyFont="1" applyFill="1" applyAlignment="1" applyProtection="1">
      <alignment horizontal="center" textRotation="90"/>
      <protection hidden="1"/>
    </xf>
    <xf numFmtId="0" fontId="31" fillId="34" borderId="0" xfId="0" applyFont="1" applyFill="1" applyAlignment="1" applyProtection="1">
      <alignment horizontal="center" textRotation="90"/>
      <protection hidden="1"/>
    </xf>
    <xf numFmtId="0" fontId="17" fillId="35" borderId="0" xfId="0" applyFont="1" applyFill="1" applyAlignment="1" applyProtection="1">
      <alignment horizontal="center" textRotation="90"/>
      <protection hidden="1"/>
    </xf>
    <xf numFmtId="49" fontId="10" fillId="9" borderId="0" xfId="0" applyNumberFormat="1" applyFont="1" applyFill="1" applyBorder="1" applyAlignment="1" applyProtection="1">
      <alignment horizontal="left" vertical="center"/>
      <protection locked="0" hidden="1"/>
    </xf>
    <xf numFmtId="0" fontId="65" fillId="31" borderId="0" xfId="0" applyFont="1" applyFill="1" applyAlignment="1">
      <alignment horizontal="center" vertical="center"/>
    </xf>
    <xf numFmtId="0" fontId="17" fillId="46" borderId="0" xfId="0" applyFont="1" applyFill="1" applyAlignment="1" applyProtection="1">
      <alignment horizontal="center" textRotation="90"/>
      <protection hidden="1"/>
    </xf>
    <xf numFmtId="0" fontId="17" fillId="47" borderId="0" xfId="0" applyFont="1" applyFill="1" applyAlignment="1" applyProtection="1">
      <alignment horizontal="center" textRotation="90"/>
      <protection hidden="1"/>
    </xf>
    <xf numFmtId="0" fontId="16" fillId="0" borderId="14" xfId="0" applyFont="1" applyBorder="1" applyAlignment="1" applyProtection="1">
      <alignment horizontal="center" vertical="top"/>
      <protection locked="0" hidden="1"/>
    </xf>
    <xf numFmtId="0" fontId="65" fillId="40" borderId="0" xfId="0" applyFont="1" applyFill="1" applyAlignment="1">
      <alignment horizontal="center" vertical="center"/>
    </xf>
    <xf numFmtId="4" fontId="10" fillId="0" borderId="14" xfId="0" applyNumberFormat="1" applyFont="1" applyBorder="1" applyAlignment="1" applyProtection="1">
      <alignment horizontal="right"/>
      <protection hidden="1"/>
    </xf>
  </cellXfs>
  <cellStyles count="6">
    <cellStyle name="Hypertextový odkaz" xfId="1" builtinId="8"/>
    <cellStyle name="Hypertextový odkaz 2" xfId="2"/>
    <cellStyle name="Měna" xfId="3" builtinId="4"/>
    <cellStyle name="Normální" xfId="0" builtinId="0"/>
    <cellStyle name="normální 2 2" xfId="4"/>
    <cellStyle name="Normální 5" xfId="5"/>
  </cellStyles>
  <dxfs count="7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1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color theme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color auto="1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72B9E7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DE5B41"/>
        </patternFill>
      </fill>
    </dxf>
    <dxf>
      <font>
        <b val="0"/>
        <i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2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2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.png"/><Relationship Id="rId4" Type="http://schemas.openxmlformats.org/officeDocument/2006/relationships/image" Target="../media/image5.png"/><Relationship Id="rId9" Type="http://schemas.openxmlformats.org/officeDocument/2006/relationships/image" Target="../media/image9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2" Type="http://schemas.openxmlformats.org/officeDocument/2006/relationships/image" Target="../media/image17.png"/><Relationship Id="rId1" Type="http://schemas.openxmlformats.org/officeDocument/2006/relationships/image" Target="../media/image25.png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5.png"/><Relationship Id="rId1" Type="http://schemas.openxmlformats.org/officeDocument/2006/relationships/image" Target="../media/image29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1.emf"/><Relationship Id="rId1" Type="http://schemas.openxmlformats.org/officeDocument/2006/relationships/image" Target="../media/image30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U-2'!A5"/><Relationship Id="rId2" Type="http://schemas.openxmlformats.org/officeDocument/2006/relationships/hyperlink" Target="#MENU!A5"/><Relationship Id="rId1" Type="http://schemas.openxmlformats.org/officeDocument/2006/relationships/hyperlink" Target="#FORM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VT101(vn-A)'!A1"/><Relationship Id="rId13" Type="http://schemas.openxmlformats.org/officeDocument/2006/relationships/hyperlink" Target="#AVT251!A1"/><Relationship Id="rId18" Type="http://schemas.openxmlformats.org/officeDocument/2006/relationships/hyperlink" Target="#'AVT-celny-2x187In'!A1"/><Relationship Id="rId3" Type="http://schemas.openxmlformats.org/officeDocument/2006/relationships/hyperlink" Target="#'AVT187In(vn-S)'!A1"/><Relationship Id="rId7" Type="http://schemas.openxmlformats.org/officeDocument/2006/relationships/hyperlink" Target="#AVT187In!A1"/><Relationship Id="rId12" Type="http://schemas.openxmlformats.org/officeDocument/2006/relationships/hyperlink" Target="#'AVT-celny-101+187'!A1"/><Relationship Id="rId17" Type="http://schemas.openxmlformats.org/officeDocument/2006/relationships/hyperlink" Target="#'AVT187In(vn-A)'!A1"/><Relationship Id="rId2" Type="http://schemas.openxmlformats.org/officeDocument/2006/relationships/hyperlink" Target="#'AVT-celny-139+187'!A1"/><Relationship Id="rId16" Type="http://schemas.openxmlformats.org/officeDocument/2006/relationships/hyperlink" Target="#'AVT187(vn-S)'!A1"/><Relationship Id="rId1" Type="http://schemas.openxmlformats.org/officeDocument/2006/relationships/hyperlink" Target="#'AVT-celny-2x187'!A1"/><Relationship Id="rId6" Type="http://schemas.openxmlformats.org/officeDocument/2006/relationships/hyperlink" Target="#AVT187!A1"/><Relationship Id="rId11" Type="http://schemas.openxmlformats.org/officeDocument/2006/relationships/hyperlink" Target="#AVT77!A1"/><Relationship Id="rId5" Type="http://schemas.openxmlformats.org/officeDocument/2006/relationships/hyperlink" Target="#AVT139!A1"/><Relationship Id="rId15" Type="http://schemas.openxmlformats.org/officeDocument/2006/relationships/hyperlink" Target="#'AVT187(vn-A)'!A1"/><Relationship Id="rId10" Type="http://schemas.openxmlformats.org/officeDocument/2006/relationships/image" Target="../media/image10.png"/><Relationship Id="rId4" Type="http://schemas.openxmlformats.org/officeDocument/2006/relationships/hyperlink" Target="#AVT101!A1"/><Relationship Id="rId9" Type="http://schemas.openxmlformats.org/officeDocument/2006/relationships/hyperlink" Target="#'AVT139(vn-A)'!A1"/><Relationship Id="rId1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T440!A1"/><Relationship Id="rId2" Type="http://schemas.openxmlformats.org/officeDocument/2006/relationships/image" Target="../media/image10.png"/><Relationship Id="rId1" Type="http://schemas.openxmlformats.org/officeDocument/2006/relationships/image" Target="../media/image1.png"/><Relationship Id="rId4" Type="http://schemas.openxmlformats.org/officeDocument/2006/relationships/image" Target="../media/image1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emf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emf"/><Relationship Id="rId1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25</xdr:row>
      <xdr:rowOff>182880</xdr:rowOff>
    </xdr:from>
    <xdr:to>
      <xdr:col>5</xdr:col>
      <xdr:colOff>91440</xdr:colOff>
      <xdr:row>30</xdr:row>
      <xdr:rowOff>144780</xdr:rowOff>
    </xdr:to>
    <xdr:pic>
      <xdr:nvPicPr>
        <xdr:cNvPr id="43418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922520"/>
          <a:ext cx="107442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20955</xdr:colOff>
      <xdr:row>5</xdr:row>
      <xdr:rowOff>163830</xdr:rowOff>
    </xdr:from>
    <xdr:to>
      <xdr:col>26</xdr:col>
      <xdr:colOff>185955</xdr:colOff>
      <xdr:row>6</xdr:row>
      <xdr:rowOff>162855</xdr:rowOff>
    </xdr:to>
    <xdr:sp macro="" textlink="">
      <xdr:nvSpPr>
        <xdr:cNvPr id="6" name="TextovéPole 5"/>
        <xdr:cNvSpPr txBox="1">
          <a:spLocks noChangeAspect="1"/>
        </xdr:cNvSpPr>
      </xdr:nvSpPr>
      <xdr:spPr>
        <a:xfrm>
          <a:off x="6257925" y="1247775"/>
          <a:ext cx="180000" cy="1800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?</a:t>
          </a:r>
        </a:p>
      </xdr:txBody>
    </xdr:sp>
    <xdr:clientData/>
  </xdr:twoCellAnchor>
  <xdr:twoCellAnchor>
    <xdr:from>
      <xdr:col>24</xdr:col>
      <xdr:colOff>196215</xdr:colOff>
      <xdr:row>23</xdr:row>
      <xdr:rowOff>0</xdr:rowOff>
    </xdr:from>
    <xdr:to>
      <xdr:col>25</xdr:col>
      <xdr:colOff>145710</xdr:colOff>
      <xdr:row>23</xdr:row>
      <xdr:rowOff>180000</xdr:rowOff>
    </xdr:to>
    <xdr:sp macro="" textlink="">
      <xdr:nvSpPr>
        <xdr:cNvPr id="9" name="TextovéPole 8"/>
        <xdr:cNvSpPr txBox="1">
          <a:spLocks noChangeAspect="1"/>
        </xdr:cNvSpPr>
      </xdr:nvSpPr>
      <xdr:spPr>
        <a:xfrm>
          <a:off x="5972175" y="433387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27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76200</xdr:rowOff>
    </xdr:from>
    <xdr:to>
      <xdr:col>23</xdr:col>
      <xdr:colOff>137160</xdr:colOff>
      <xdr:row>14</xdr:row>
      <xdr:rowOff>7620</xdr:rowOff>
    </xdr:to>
    <xdr:grpSp>
      <xdr:nvGrpSpPr>
        <xdr:cNvPr id="427097" name="Skupina 21"/>
        <xdr:cNvGrpSpPr>
          <a:grpSpLocks noChangeAspect="1"/>
        </xdr:cNvGrpSpPr>
      </xdr:nvGrpSpPr>
      <xdr:grpSpPr bwMode="auto">
        <a:xfrm>
          <a:off x="3366035" y="974558"/>
          <a:ext cx="2097104" cy="1776262"/>
          <a:chOff x="1771649" y="3377086"/>
          <a:chExt cx="976394" cy="740669"/>
        </a:xfrm>
      </xdr:grpSpPr>
      <xdr:sp macro="" textlink="">
        <xdr:nvSpPr>
          <xdr:cNvPr id="427099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7100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7101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27098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4</xdr:row>
      <xdr:rowOff>53340</xdr:rowOff>
    </xdr:from>
    <xdr:to>
      <xdr:col>23</xdr:col>
      <xdr:colOff>137160</xdr:colOff>
      <xdr:row>14</xdr:row>
      <xdr:rowOff>144780</xdr:rowOff>
    </xdr:to>
    <xdr:grpSp>
      <xdr:nvGrpSpPr>
        <xdr:cNvPr id="433186" name="Skupina 21"/>
        <xdr:cNvGrpSpPr>
          <a:grpSpLocks noChangeAspect="1"/>
        </xdr:cNvGrpSpPr>
      </xdr:nvGrpSpPr>
      <xdr:grpSpPr bwMode="auto">
        <a:xfrm>
          <a:off x="3366035" y="951698"/>
          <a:ext cx="2097104" cy="1936282"/>
          <a:chOff x="1771649" y="3363707"/>
          <a:chExt cx="976394" cy="806059"/>
        </a:xfrm>
      </xdr:grpSpPr>
      <xdr:sp macro="" textlink="">
        <xdr:nvSpPr>
          <xdr:cNvPr id="433189" name="Obdélník 19"/>
          <xdr:cNvSpPr>
            <a:spLocks noChangeArrowheads="1"/>
          </xdr:cNvSpPr>
        </xdr:nvSpPr>
        <xdr:spPr bwMode="auto">
          <a:xfrm>
            <a:off x="1838324" y="3387119"/>
            <a:ext cx="771525" cy="74585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3190" name="Obdélník 18"/>
          <xdr:cNvSpPr>
            <a:spLocks noChangeArrowheads="1"/>
          </xdr:cNvSpPr>
        </xdr:nvSpPr>
        <xdr:spPr bwMode="auto">
          <a:xfrm>
            <a:off x="1771649" y="3368347"/>
            <a:ext cx="85726" cy="795603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3191" name="Volný tvar 20"/>
          <xdr:cNvSpPr>
            <a:spLocks/>
          </xdr:cNvSpPr>
        </xdr:nvSpPr>
        <xdr:spPr bwMode="auto">
          <a:xfrm>
            <a:off x="2457450" y="3363707"/>
            <a:ext cx="290593" cy="806059"/>
          </a:xfrm>
          <a:custGeom>
            <a:avLst/>
            <a:gdLst>
              <a:gd name="T0" fmla="*/ 76200 w 290593"/>
              <a:gd name="T1" fmla="*/ 75 h 817667"/>
              <a:gd name="T2" fmla="*/ 76200 w 290593"/>
              <a:gd name="T3" fmla="*/ 75 h 817667"/>
              <a:gd name="T4" fmla="*/ 95250 w 290593"/>
              <a:gd name="T5" fmla="*/ 737 h 817667"/>
              <a:gd name="T6" fmla="*/ 38100 w 290593"/>
              <a:gd name="T7" fmla="*/ 832 h 817667"/>
              <a:gd name="T8" fmla="*/ 85725 w 290593"/>
              <a:gd name="T9" fmla="*/ 1069 h 817667"/>
              <a:gd name="T10" fmla="*/ 65211 w 290593"/>
              <a:gd name="T11" fmla="*/ 1454 h 817667"/>
              <a:gd name="T12" fmla="*/ 28575 w 290593"/>
              <a:gd name="T13" fmla="*/ 1925 h 817667"/>
              <a:gd name="T14" fmla="*/ 28575 w 290593"/>
              <a:gd name="T15" fmla="*/ 2447 h 817667"/>
              <a:gd name="T16" fmla="*/ 47625 w 290593"/>
              <a:gd name="T17" fmla="*/ 2591 h 817667"/>
              <a:gd name="T18" fmla="*/ 38100 w 290593"/>
              <a:gd name="T19" fmla="*/ 2875 h 817667"/>
              <a:gd name="T20" fmla="*/ 9525 w 290593"/>
              <a:gd name="T21" fmla="*/ 2921 h 817667"/>
              <a:gd name="T22" fmla="*/ 0 w 290593"/>
              <a:gd name="T23" fmla="*/ 3066 h 817667"/>
              <a:gd name="T24" fmla="*/ 19050 w 290593"/>
              <a:gd name="T25" fmla="*/ 3349 h 817667"/>
              <a:gd name="T26" fmla="*/ 57150 w 290593"/>
              <a:gd name="T27" fmla="*/ 3634 h 817667"/>
              <a:gd name="T28" fmla="*/ 57150 w 290593"/>
              <a:gd name="T29" fmla="*/ 4062 h 817667"/>
              <a:gd name="T30" fmla="*/ 266700 w 290593"/>
              <a:gd name="T31" fmla="*/ 3871 h 817667"/>
              <a:gd name="T32" fmla="*/ 266700 w 290593"/>
              <a:gd name="T33" fmla="*/ 2542 h 817667"/>
              <a:gd name="T34" fmla="*/ 285750 w 290593"/>
              <a:gd name="T35" fmla="*/ 216 h 817667"/>
              <a:gd name="T36" fmla="*/ 76200 w 290593"/>
              <a:gd name="T37" fmla="*/ 75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3318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33188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119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91440</xdr:rowOff>
    </xdr:from>
    <xdr:to>
      <xdr:col>23</xdr:col>
      <xdr:colOff>137160</xdr:colOff>
      <xdr:row>14</xdr:row>
      <xdr:rowOff>22860</xdr:rowOff>
    </xdr:to>
    <xdr:grpSp>
      <xdr:nvGrpSpPr>
        <xdr:cNvPr id="411921" name="Skupina 1"/>
        <xdr:cNvGrpSpPr>
          <a:grpSpLocks/>
        </xdr:cNvGrpSpPr>
      </xdr:nvGrpSpPr>
      <xdr:grpSpPr bwMode="auto">
        <a:xfrm>
          <a:off x="3366035" y="989798"/>
          <a:ext cx="2097104" cy="1776262"/>
          <a:chOff x="3368842" y="986589"/>
          <a:chExt cx="2097104" cy="1776257"/>
        </a:xfrm>
      </xdr:grpSpPr>
      <xdr:sp macro="" textlink="">
        <xdr:nvSpPr>
          <xdr:cNvPr id="411923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924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925" name="Obdélník 18"/>
          <xdr:cNvSpPr>
            <a:spLocks noChangeArrowheads="1"/>
          </xdr:cNvSpPr>
        </xdr:nvSpPr>
        <xdr:spPr bwMode="auto">
          <a:xfrm>
            <a:off x="3368842" y="989697"/>
            <a:ext cx="184123" cy="16667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926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11922" name="Obrázek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160020</xdr:rowOff>
    </xdr:from>
    <xdr:to>
      <xdr:col>23</xdr:col>
      <xdr:colOff>76200</xdr:colOff>
      <xdr:row>14</xdr:row>
      <xdr:rowOff>7620</xdr:rowOff>
    </xdr:to>
    <xdr:grpSp>
      <xdr:nvGrpSpPr>
        <xdr:cNvPr id="396067" name="Skupina 102"/>
        <xdr:cNvGrpSpPr>
          <a:grpSpLocks noChangeAspect="1"/>
        </xdr:cNvGrpSpPr>
      </xdr:nvGrpSpPr>
      <xdr:grpSpPr bwMode="auto">
        <a:xfrm>
          <a:off x="3376863" y="1058378"/>
          <a:ext cx="2025316" cy="1692442"/>
          <a:chOff x="1800224" y="3409923"/>
          <a:chExt cx="947819" cy="707831"/>
        </a:xfrm>
      </xdr:grpSpPr>
      <xdr:sp macro="" textlink="">
        <xdr:nvSpPr>
          <xdr:cNvPr id="396076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7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8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9606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6069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69</xdr:row>
      <xdr:rowOff>160020</xdr:rowOff>
    </xdr:from>
    <xdr:to>
      <xdr:col>23</xdr:col>
      <xdr:colOff>68580</xdr:colOff>
      <xdr:row>79</xdr:row>
      <xdr:rowOff>7620</xdr:rowOff>
    </xdr:to>
    <xdr:grpSp>
      <xdr:nvGrpSpPr>
        <xdr:cNvPr id="396070" name="Skupina 102"/>
        <xdr:cNvGrpSpPr>
          <a:grpSpLocks noChangeAspect="1"/>
        </xdr:cNvGrpSpPr>
      </xdr:nvGrpSpPr>
      <xdr:grpSpPr bwMode="auto">
        <a:xfrm>
          <a:off x="3366035" y="13210273"/>
          <a:ext cx="2028524" cy="1692442"/>
          <a:chOff x="1800224" y="3409923"/>
          <a:chExt cx="947819" cy="707831"/>
        </a:xfrm>
      </xdr:grpSpPr>
      <xdr:sp macro="" textlink="">
        <xdr:nvSpPr>
          <xdr:cNvPr id="396073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4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6075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396071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96072" name="Obrázek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70</xdr:row>
      <xdr:rowOff>22860</xdr:rowOff>
    </xdr:from>
    <xdr:to>
      <xdr:col>23</xdr:col>
      <xdr:colOff>38100</xdr:colOff>
      <xdr:row>79</xdr:row>
      <xdr:rowOff>7620</xdr:rowOff>
    </xdr:to>
    <xdr:grpSp>
      <xdr:nvGrpSpPr>
        <xdr:cNvPr id="397057" name="Skupina 75"/>
        <xdr:cNvGrpSpPr>
          <a:grpSpLocks noChangeAspect="1"/>
        </xdr:cNvGrpSpPr>
      </xdr:nvGrpSpPr>
      <xdr:grpSpPr bwMode="auto">
        <a:xfrm>
          <a:off x="3366035" y="13257597"/>
          <a:ext cx="1998044" cy="1645118"/>
          <a:chOff x="5794902" y="4533891"/>
          <a:chExt cx="944117" cy="722425"/>
        </a:xfrm>
      </xdr:grpSpPr>
      <xdr:sp macro="" textlink="">
        <xdr:nvSpPr>
          <xdr:cNvPr id="397066" name="Obdélník 56"/>
          <xdr:cNvSpPr>
            <a:spLocks noChangeArrowheads="1"/>
          </xdr:cNvSpPr>
        </xdr:nvSpPr>
        <xdr:spPr bwMode="auto">
          <a:xfrm>
            <a:off x="5829300" y="4717321"/>
            <a:ext cx="771525" cy="4210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7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8" name="Volný tvar 58"/>
          <xdr:cNvSpPr>
            <a:spLocks/>
          </xdr:cNvSpPr>
        </xdr:nvSpPr>
        <xdr:spPr bwMode="auto">
          <a:xfrm>
            <a:off x="6448426" y="4533891"/>
            <a:ext cx="290593" cy="722425"/>
          </a:xfrm>
          <a:custGeom>
            <a:avLst/>
            <a:gdLst>
              <a:gd name="T0" fmla="*/ 76200 w 290593"/>
              <a:gd name="T1" fmla="*/ 1228 h 817667"/>
              <a:gd name="T2" fmla="*/ 76200 w 290593"/>
              <a:gd name="T3" fmla="*/ 1228 h 817667"/>
              <a:gd name="T4" fmla="*/ 95250 w 290593"/>
              <a:gd name="T5" fmla="*/ 12431 h 817667"/>
              <a:gd name="T6" fmla="*/ 38100 w 290593"/>
              <a:gd name="T7" fmla="*/ 14030 h 817667"/>
              <a:gd name="T8" fmla="*/ 85725 w 290593"/>
              <a:gd name="T9" fmla="*/ 18031 h 817667"/>
              <a:gd name="T10" fmla="*/ 57150 w 290593"/>
              <a:gd name="T11" fmla="*/ 31635 h 817667"/>
              <a:gd name="T12" fmla="*/ 28575 w 290593"/>
              <a:gd name="T13" fmla="*/ 32435 h 817667"/>
              <a:gd name="T14" fmla="*/ 28575 w 290593"/>
              <a:gd name="T15" fmla="*/ 41237 h 817667"/>
              <a:gd name="T16" fmla="*/ 47625 w 290593"/>
              <a:gd name="T17" fmla="*/ 43638 h 817667"/>
              <a:gd name="T18" fmla="*/ 38100 w 290593"/>
              <a:gd name="T19" fmla="*/ 48438 h 817667"/>
              <a:gd name="T20" fmla="*/ 9525 w 290593"/>
              <a:gd name="T21" fmla="*/ 49239 h 817667"/>
              <a:gd name="T22" fmla="*/ 0 w 290593"/>
              <a:gd name="T23" fmla="*/ 51639 h 817667"/>
              <a:gd name="T24" fmla="*/ 19050 w 290593"/>
              <a:gd name="T25" fmla="*/ 56440 h 817667"/>
              <a:gd name="T26" fmla="*/ 57150 w 290593"/>
              <a:gd name="T27" fmla="*/ 61241 h 817667"/>
              <a:gd name="T28" fmla="*/ 57150 w 290593"/>
              <a:gd name="T29" fmla="*/ 68444 h 817667"/>
              <a:gd name="T30" fmla="*/ 266700 w 290593"/>
              <a:gd name="T31" fmla="*/ 65243 h 817667"/>
              <a:gd name="T32" fmla="*/ 266700 w 290593"/>
              <a:gd name="T33" fmla="*/ 42837 h 817667"/>
              <a:gd name="T34" fmla="*/ 285750 w 290593"/>
              <a:gd name="T35" fmla="*/ 3628 h 817667"/>
              <a:gd name="T36" fmla="*/ 76200 w 290593"/>
              <a:gd name="T37" fmla="*/ 1228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9705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3</xdr:row>
      <xdr:rowOff>281940</xdr:rowOff>
    </xdr:from>
    <xdr:to>
      <xdr:col>23</xdr:col>
      <xdr:colOff>38100</xdr:colOff>
      <xdr:row>14</xdr:row>
      <xdr:rowOff>7620</xdr:rowOff>
    </xdr:to>
    <xdr:grpSp>
      <xdr:nvGrpSpPr>
        <xdr:cNvPr id="397059" name="Skupina 75"/>
        <xdr:cNvGrpSpPr>
          <a:grpSpLocks noChangeAspect="1"/>
        </xdr:cNvGrpSpPr>
      </xdr:nvGrpSpPr>
      <xdr:grpSpPr bwMode="auto">
        <a:xfrm>
          <a:off x="3366035" y="891540"/>
          <a:ext cx="1998044" cy="1859280"/>
          <a:chOff x="5794902" y="4438650"/>
          <a:chExt cx="944117" cy="817667"/>
        </a:xfrm>
      </xdr:grpSpPr>
      <xdr:sp macro="" textlink="">
        <xdr:nvSpPr>
          <xdr:cNvPr id="397063" name="Obdélník 56"/>
          <xdr:cNvSpPr>
            <a:spLocks noChangeArrowheads="1"/>
          </xdr:cNvSpPr>
        </xdr:nvSpPr>
        <xdr:spPr bwMode="auto">
          <a:xfrm>
            <a:off x="5829300" y="4717321"/>
            <a:ext cx="771525" cy="4210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4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7065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7060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397061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97062" name="Obrázek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0310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69</xdr:row>
      <xdr:rowOff>0</xdr:rowOff>
    </xdr:from>
    <xdr:to>
      <xdr:col>23</xdr:col>
      <xdr:colOff>38100</xdr:colOff>
      <xdr:row>79</xdr:row>
      <xdr:rowOff>7620</xdr:rowOff>
    </xdr:to>
    <xdr:grpSp>
      <xdr:nvGrpSpPr>
        <xdr:cNvPr id="403103" name="Skupina 75"/>
        <xdr:cNvGrpSpPr>
          <a:grpSpLocks noChangeAspect="1"/>
        </xdr:cNvGrpSpPr>
      </xdr:nvGrpSpPr>
      <xdr:grpSpPr bwMode="auto">
        <a:xfrm>
          <a:off x="3366035" y="13050253"/>
          <a:ext cx="1998044" cy="1852462"/>
          <a:chOff x="5794902" y="4438650"/>
          <a:chExt cx="944117" cy="817667"/>
        </a:xfrm>
      </xdr:grpSpPr>
      <xdr:sp macro="" textlink="">
        <xdr:nvSpPr>
          <xdr:cNvPr id="403111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12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13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03104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403105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0</xdr:rowOff>
    </xdr:from>
    <xdr:to>
      <xdr:col>23</xdr:col>
      <xdr:colOff>38100</xdr:colOff>
      <xdr:row>14</xdr:row>
      <xdr:rowOff>7620</xdr:rowOff>
    </xdr:to>
    <xdr:grpSp>
      <xdr:nvGrpSpPr>
        <xdr:cNvPr id="403106" name="Skupina 75"/>
        <xdr:cNvGrpSpPr>
          <a:grpSpLocks noChangeAspect="1"/>
        </xdr:cNvGrpSpPr>
      </xdr:nvGrpSpPr>
      <xdr:grpSpPr bwMode="auto">
        <a:xfrm>
          <a:off x="3366035" y="898358"/>
          <a:ext cx="1998044" cy="1852462"/>
          <a:chOff x="5794902" y="4438650"/>
          <a:chExt cx="944117" cy="817667"/>
        </a:xfrm>
      </xdr:grpSpPr>
      <xdr:sp macro="" textlink="">
        <xdr:nvSpPr>
          <xdr:cNvPr id="403108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09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3110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03107" name="Obrázek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69</xdr:row>
      <xdr:rowOff>99060</xdr:rowOff>
    </xdr:from>
    <xdr:to>
      <xdr:col>23</xdr:col>
      <xdr:colOff>60960</xdr:colOff>
      <xdr:row>79</xdr:row>
      <xdr:rowOff>30480</xdr:rowOff>
    </xdr:to>
    <xdr:grpSp>
      <xdr:nvGrpSpPr>
        <xdr:cNvPr id="413255" name="Skupina 33"/>
        <xdr:cNvGrpSpPr>
          <a:grpSpLocks/>
        </xdr:cNvGrpSpPr>
      </xdr:nvGrpSpPr>
      <xdr:grpSpPr bwMode="auto">
        <a:xfrm>
          <a:off x="3366035" y="13149313"/>
          <a:ext cx="2020904" cy="1776262"/>
          <a:chOff x="3449052" y="986589"/>
          <a:chExt cx="2016894" cy="1776257"/>
        </a:xfrm>
      </xdr:grpSpPr>
      <xdr:sp macro="" textlink="">
        <xdr:nvSpPr>
          <xdr:cNvPr id="413266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7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8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9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4</xdr:row>
      <xdr:rowOff>129540</xdr:rowOff>
    </xdr:from>
    <xdr:to>
      <xdr:col>23</xdr:col>
      <xdr:colOff>68580</xdr:colOff>
      <xdr:row>14</xdr:row>
      <xdr:rowOff>60960</xdr:rowOff>
    </xdr:to>
    <xdr:grpSp>
      <xdr:nvGrpSpPr>
        <xdr:cNvPr id="413256" name="Skupina 11"/>
        <xdr:cNvGrpSpPr>
          <a:grpSpLocks/>
        </xdr:cNvGrpSpPr>
      </xdr:nvGrpSpPr>
      <xdr:grpSpPr bwMode="auto">
        <a:xfrm>
          <a:off x="3376863" y="1027898"/>
          <a:ext cx="2017696" cy="1776262"/>
          <a:chOff x="3449052" y="986589"/>
          <a:chExt cx="2016894" cy="1776257"/>
        </a:xfrm>
      </xdr:grpSpPr>
      <xdr:sp macro="" textlink="">
        <xdr:nvSpPr>
          <xdr:cNvPr id="413262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3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4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3265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1325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13258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13259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403860</xdr:colOff>
      <xdr:row>85</xdr:row>
      <xdr:rowOff>45720</xdr:rowOff>
    </xdr:from>
    <xdr:to>
      <xdr:col>23</xdr:col>
      <xdr:colOff>129540</xdr:colOff>
      <xdr:row>93</xdr:row>
      <xdr:rowOff>160020</xdr:rowOff>
    </xdr:to>
    <xdr:pic>
      <xdr:nvPicPr>
        <xdr:cNvPr id="413260" name="Obrázek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5925800"/>
          <a:ext cx="4091940" cy="157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13261" name="Obrázek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69</xdr:row>
      <xdr:rowOff>0</xdr:rowOff>
    </xdr:from>
    <xdr:to>
      <xdr:col>23</xdr:col>
      <xdr:colOff>38100</xdr:colOff>
      <xdr:row>79</xdr:row>
      <xdr:rowOff>7620</xdr:rowOff>
    </xdr:to>
    <xdr:grpSp>
      <xdr:nvGrpSpPr>
        <xdr:cNvPr id="407155" name="Skupina 75"/>
        <xdr:cNvGrpSpPr>
          <a:grpSpLocks noChangeAspect="1"/>
        </xdr:cNvGrpSpPr>
      </xdr:nvGrpSpPr>
      <xdr:grpSpPr bwMode="auto">
        <a:xfrm>
          <a:off x="3366035" y="13050253"/>
          <a:ext cx="1998044" cy="1852462"/>
          <a:chOff x="5794902" y="4438650"/>
          <a:chExt cx="944117" cy="817667"/>
        </a:xfrm>
      </xdr:grpSpPr>
      <xdr:sp macro="" textlink="">
        <xdr:nvSpPr>
          <xdr:cNvPr id="407165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6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7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0715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407157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4</xdr:row>
      <xdr:rowOff>0</xdr:rowOff>
    </xdr:from>
    <xdr:to>
      <xdr:col>23</xdr:col>
      <xdr:colOff>38100</xdr:colOff>
      <xdr:row>14</xdr:row>
      <xdr:rowOff>7620</xdr:rowOff>
    </xdr:to>
    <xdr:grpSp>
      <xdr:nvGrpSpPr>
        <xdr:cNvPr id="407158" name="Skupina 75"/>
        <xdr:cNvGrpSpPr>
          <a:grpSpLocks noChangeAspect="1"/>
        </xdr:cNvGrpSpPr>
      </xdr:nvGrpSpPr>
      <xdr:grpSpPr bwMode="auto">
        <a:xfrm>
          <a:off x="3366035" y="898358"/>
          <a:ext cx="1998044" cy="1852462"/>
          <a:chOff x="5794902" y="4438650"/>
          <a:chExt cx="944117" cy="817667"/>
        </a:xfrm>
      </xdr:grpSpPr>
      <xdr:sp macro="" textlink="">
        <xdr:nvSpPr>
          <xdr:cNvPr id="407162" name="Obdélník 56"/>
          <xdr:cNvSpPr>
            <a:spLocks noChangeArrowheads="1"/>
          </xdr:cNvSpPr>
        </xdr:nvSpPr>
        <xdr:spPr bwMode="auto">
          <a:xfrm>
            <a:off x="5829300" y="4576221"/>
            <a:ext cx="771525" cy="5621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3" name="Obdélník 57"/>
          <xdr:cNvSpPr>
            <a:spLocks noChangeArrowheads="1"/>
          </xdr:cNvSpPr>
        </xdr:nvSpPr>
        <xdr:spPr bwMode="auto">
          <a:xfrm>
            <a:off x="5794902" y="4495195"/>
            <a:ext cx="52776" cy="720353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07164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29</xdr:col>
      <xdr:colOff>198120</xdr:colOff>
      <xdr:row>84</xdr:row>
      <xdr:rowOff>160020</xdr:rowOff>
    </xdr:from>
    <xdr:to>
      <xdr:col>42</xdr:col>
      <xdr:colOff>182880</xdr:colOff>
      <xdr:row>95</xdr:row>
      <xdr:rowOff>137160</xdr:rowOff>
    </xdr:to>
    <xdr:pic>
      <xdr:nvPicPr>
        <xdr:cNvPr id="407159" name="Obrázek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15857220"/>
          <a:ext cx="2758440" cy="198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</xdr:colOff>
      <xdr:row>84</xdr:row>
      <xdr:rowOff>22860</xdr:rowOff>
    </xdr:from>
    <xdr:to>
      <xdr:col>19</xdr:col>
      <xdr:colOff>198120</xdr:colOff>
      <xdr:row>94</xdr:row>
      <xdr:rowOff>137160</xdr:rowOff>
    </xdr:to>
    <xdr:pic>
      <xdr:nvPicPr>
        <xdr:cNvPr id="407160" name="Obrázek 2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15720060"/>
          <a:ext cx="272796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07161" name="Obrázek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69</xdr:row>
      <xdr:rowOff>99060</xdr:rowOff>
    </xdr:from>
    <xdr:to>
      <xdr:col>23</xdr:col>
      <xdr:colOff>60960</xdr:colOff>
      <xdr:row>79</xdr:row>
      <xdr:rowOff>30480</xdr:rowOff>
    </xdr:to>
    <xdr:grpSp>
      <xdr:nvGrpSpPr>
        <xdr:cNvPr id="399322" name="Skupina 33"/>
        <xdr:cNvGrpSpPr>
          <a:grpSpLocks/>
        </xdr:cNvGrpSpPr>
      </xdr:nvGrpSpPr>
      <xdr:grpSpPr bwMode="auto">
        <a:xfrm>
          <a:off x="3366035" y="13149313"/>
          <a:ext cx="2020904" cy="1776262"/>
          <a:chOff x="3449052" y="986589"/>
          <a:chExt cx="2016894" cy="1776257"/>
        </a:xfrm>
      </xdr:grpSpPr>
      <xdr:sp macro="" textlink="">
        <xdr:nvSpPr>
          <xdr:cNvPr id="399334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5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6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7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4</xdr:row>
      <xdr:rowOff>129540</xdr:rowOff>
    </xdr:from>
    <xdr:to>
      <xdr:col>23</xdr:col>
      <xdr:colOff>68580</xdr:colOff>
      <xdr:row>14</xdr:row>
      <xdr:rowOff>60960</xdr:rowOff>
    </xdr:to>
    <xdr:grpSp>
      <xdr:nvGrpSpPr>
        <xdr:cNvPr id="399323" name="Skupina 11"/>
        <xdr:cNvGrpSpPr>
          <a:grpSpLocks/>
        </xdr:cNvGrpSpPr>
      </xdr:nvGrpSpPr>
      <xdr:grpSpPr bwMode="auto">
        <a:xfrm>
          <a:off x="3376863" y="1027898"/>
          <a:ext cx="2017696" cy="1776262"/>
          <a:chOff x="3449052" y="986589"/>
          <a:chExt cx="2016894" cy="1776257"/>
        </a:xfrm>
      </xdr:grpSpPr>
      <xdr:sp macro="" textlink="">
        <xdr:nvSpPr>
          <xdr:cNvPr id="399330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1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2" name="Obdélník 18"/>
          <xdr:cNvSpPr>
            <a:spLocks noChangeArrowheads="1"/>
          </xdr:cNvSpPr>
        </xdr:nvSpPr>
        <xdr:spPr bwMode="auto">
          <a:xfrm>
            <a:off x="3449052" y="989697"/>
            <a:ext cx="111600" cy="166679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9333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993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9325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22860</xdr:colOff>
      <xdr:row>69</xdr:row>
      <xdr:rowOff>83820</xdr:rowOff>
    </xdr:from>
    <xdr:to>
      <xdr:col>34</xdr:col>
      <xdr:colOff>0</xdr:colOff>
      <xdr:row>78</xdr:row>
      <xdr:rowOff>60960</xdr:rowOff>
    </xdr:to>
    <xdr:pic>
      <xdr:nvPicPr>
        <xdr:cNvPr id="399326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198120</xdr:colOff>
      <xdr:row>84</xdr:row>
      <xdr:rowOff>160020</xdr:rowOff>
    </xdr:from>
    <xdr:to>
      <xdr:col>42</xdr:col>
      <xdr:colOff>182880</xdr:colOff>
      <xdr:row>95</xdr:row>
      <xdr:rowOff>137160</xdr:rowOff>
    </xdr:to>
    <xdr:pic>
      <xdr:nvPicPr>
        <xdr:cNvPr id="399327" name="Obrázek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15857220"/>
          <a:ext cx="2758440" cy="198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</xdr:colOff>
      <xdr:row>84</xdr:row>
      <xdr:rowOff>22860</xdr:rowOff>
    </xdr:from>
    <xdr:to>
      <xdr:col>19</xdr:col>
      <xdr:colOff>198120</xdr:colOff>
      <xdr:row>94</xdr:row>
      <xdr:rowOff>137160</xdr:rowOff>
    </xdr:to>
    <xdr:pic>
      <xdr:nvPicPr>
        <xdr:cNvPr id="399328" name="Obrázek 3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15720060"/>
          <a:ext cx="272796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99329" name="Obrázek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377855" name="Obrázek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403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213360</xdr:colOff>
      <xdr:row>4</xdr:row>
      <xdr:rowOff>76200</xdr:rowOff>
    </xdr:from>
    <xdr:to>
      <xdr:col>23</xdr:col>
      <xdr:colOff>144780</xdr:colOff>
      <xdr:row>14</xdr:row>
      <xdr:rowOff>7620</xdr:rowOff>
    </xdr:to>
    <xdr:grpSp>
      <xdr:nvGrpSpPr>
        <xdr:cNvPr id="440321" name="Skupina 21"/>
        <xdr:cNvGrpSpPr>
          <a:grpSpLocks noChangeAspect="1"/>
        </xdr:cNvGrpSpPr>
      </xdr:nvGrpSpPr>
      <xdr:grpSpPr bwMode="auto">
        <a:xfrm>
          <a:off x="3373655" y="974558"/>
          <a:ext cx="2097104" cy="1776262"/>
          <a:chOff x="1771649" y="3377086"/>
          <a:chExt cx="976394" cy="740669"/>
        </a:xfrm>
      </xdr:grpSpPr>
      <xdr:sp macro="" textlink="">
        <xdr:nvSpPr>
          <xdr:cNvPr id="440327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8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9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440322" name="Skupina 21"/>
        <xdr:cNvGrpSpPr>
          <a:grpSpLocks noChangeAspect="1"/>
        </xdr:cNvGrpSpPr>
      </xdr:nvGrpSpPr>
      <xdr:grpSpPr bwMode="auto">
        <a:xfrm>
          <a:off x="7697403" y="982178"/>
          <a:ext cx="2097104" cy="1776262"/>
          <a:chOff x="1771649" y="3377086"/>
          <a:chExt cx="976394" cy="740669"/>
        </a:xfrm>
      </xdr:grpSpPr>
      <xdr:sp macro="" textlink="">
        <xdr:nvSpPr>
          <xdr:cNvPr id="440324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5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0326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7" name="TextovéPole 16"/>
        <xdr:cNvSpPr txBox="1">
          <a:spLocks noChangeAspect="1"/>
        </xdr:cNvSpPr>
      </xdr:nvSpPr>
      <xdr:spPr>
        <a:xfrm>
          <a:off x="3088104" y="5702967"/>
          <a:ext cx="164348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216566</xdr:colOff>
      <xdr:row>9</xdr:row>
      <xdr:rowOff>24064</xdr:rowOff>
    </xdr:from>
    <xdr:to>
      <xdr:col>30</xdr:col>
      <xdr:colOff>195813</xdr:colOff>
      <xdr:row>12</xdr:row>
      <xdr:rowOff>134230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8" y="1844843"/>
          <a:ext cx="628952" cy="663619"/>
        </a:xfrm>
        <a:prstGeom prst="rect">
          <a:avLst/>
        </a:prstGeom>
      </xdr:spPr>
    </xdr:pic>
    <xdr:clientData/>
  </xdr:twoCellAnchor>
  <xdr:twoCellAnchor editAs="oneCell">
    <xdr:from>
      <xdr:col>24</xdr:col>
      <xdr:colOff>8020</xdr:colOff>
      <xdr:row>9</xdr:row>
      <xdr:rowOff>40107</xdr:rowOff>
    </xdr:from>
    <xdr:to>
      <xdr:col>26</xdr:col>
      <xdr:colOff>200526</xdr:colOff>
      <xdr:row>12</xdr:row>
      <xdr:rowOff>149244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7746" y="1860886"/>
          <a:ext cx="625643" cy="662590"/>
        </a:xfrm>
        <a:prstGeom prst="rect">
          <a:avLst/>
        </a:prstGeom>
      </xdr:spPr>
    </xdr:pic>
    <xdr:clientData/>
  </xdr:twoCellAnchor>
  <xdr:twoCellAnchor editAs="oneCell">
    <xdr:from>
      <xdr:col>19</xdr:col>
      <xdr:colOff>208546</xdr:colOff>
      <xdr:row>9</xdr:row>
      <xdr:rowOff>40106</xdr:rowOff>
    </xdr:from>
    <xdr:to>
      <xdr:col>22</xdr:col>
      <xdr:colOff>195222</xdr:colOff>
      <xdr:row>12</xdr:row>
      <xdr:rowOff>152748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5430" y="1860885"/>
          <a:ext cx="636381" cy="666095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19</xdr:row>
      <xdr:rowOff>91440</xdr:rowOff>
    </xdr:from>
    <xdr:to>
      <xdr:col>26</xdr:col>
      <xdr:colOff>137160</xdr:colOff>
      <xdr:row>21</xdr:row>
      <xdr:rowOff>114300</xdr:rowOff>
    </xdr:to>
    <xdr:pic>
      <xdr:nvPicPr>
        <xdr:cNvPr id="432360" name="Obrázek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3733800"/>
          <a:ext cx="15925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15243</xdr:colOff>
      <xdr:row>28</xdr:row>
      <xdr:rowOff>15242</xdr:rowOff>
    </xdr:from>
    <xdr:to>
      <xdr:col>44</xdr:col>
      <xdr:colOff>32794</xdr:colOff>
      <xdr:row>35</xdr:row>
      <xdr:rowOff>131768</xdr:rowOff>
    </xdr:to>
    <xdr:pic>
      <xdr:nvPicPr>
        <xdr:cNvPr id="43236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7222" y="5341221"/>
          <a:ext cx="1966667" cy="14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243840</xdr:colOff>
      <xdr:row>4</xdr:row>
      <xdr:rowOff>175260</xdr:rowOff>
    </xdr:from>
    <xdr:to>
      <xdr:col>17</xdr:col>
      <xdr:colOff>114300</xdr:colOff>
      <xdr:row>23</xdr:row>
      <xdr:rowOff>53340</xdr:rowOff>
    </xdr:to>
    <xdr:grpSp>
      <xdr:nvGrpSpPr>
        <xdr:cNvPr id="432362" name="Skupina 4"/>
        <xdr:cNvGrpSpPr>
          <a:grpSpLocks/>
        </xdr:cNvGrpSpPr>
      </xdr:nvGrpSpPr>
      <xdr:grpSpPr bwMode="auto">
        <a:xfrm>
          <a:off x="243840" y="1073618"/>
          <a:ext cx="3584207" cy="3383280"/>
          <a:chOff x="240633" y="1074822"/>
          <a:chExt cx="3587874" cy="3384883"/>
        </a:xfrm>
      </xdr:grpSpPr>
      <xdr:pic>
        <xdr:nvPicPr>
          <xdr:cNvPr id="432396" name="Obrázek 3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633" y="1074822"/>
            <a:ext cx="3587874" cy="33848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1" name="TextovéPole 20"/>
          <xdr:cNvSpPr txBox="1"/>
        </xdr:nvSpPr>
        <xdr:spPr bwMode="auto">
          <a:xfrm>
            <a:off x="650455" y="3451933"/>
            <a:ext cx="3139390" cy="9846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b"/>
          <a:lstStyle/>
          <a:p>
            <a:pPr algn="r"/>
            <a:r>
              <a:rPr lang="cs-CZ" sz="2700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AvanTech YOU</a:t>
            </a:r>
          </a:p>
          <a:p>
            <a:pPr algn="r"/>
            <a:r>
              <a:rPr lang="cs-CZ" sz="2000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konfigurátor</a:t>
            </a:r>
          </a:p>
        </xdr:txBody>
      </xdr:sp>
    </xdr:grpSp>
    <xdr:clientData/>
  </xdr:twoCellAnchor>
  <xdr:twoCellAnchor>
    <xdr:from>
      <xdr:col>47</xdr:col>
      <xdr:colOff>180975</xdr:colOff>
      <xdr:row>38</xdr:row>
      <xdr:rowOff>85725</xdr:rowOff>
    </xdr:from>
    <xdr:to>
      <xdr:col>47</xdr:col>
      <xdr:colOff>360975</xdr:colOff>
      <xdr:row>39</xdr:row>
      <xdr:rowOff>84750</xdr:rowOff>
    </xdr:to>
    <xdr:sp macro="" textlink="">
      <xdr:nvSpPr>
        <xdr:cNvPr id="11" name="TextovéPole 10"/>
        <xdr:cNvSpPr txBox="1">
          <a:spLocks noChangeAspect="1"/>
        </xdr:cNvSpPr>
      </xdr:nvSpPr>
      <xdr:spPr>
        <a:xfrm>
          <a:off x="12344400" y="405765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46</xdr:col>
      <xdr:colOff>552450</xdr:colOff>
      <xdr:row>38</xdr:row>
      <xdr:rowOff>76200</xdr:rowOff>
    </xdr:from>
    <xdr:to>
      <xdr:col>47</xdr:col>
      <xdr:colOff>46650</xdr:colOff>
      <xdr:row>39</xdr:row>
      <xdr:rowOff>75225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12030075" y="4048125"/>
          <a:ext cx="180000" cy="1800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?</a:t>
          </a:r>
        </a:p>
      </xdr:txBody>
    </xdr:sp>
    <xdr:clientData/>
  </xdr:twoCellAnchor>
  <xdr:twoCellAnchor>
    <xdr:from>
      <xdr:col>47</xdr:col>
      <xdr:colOff>485775</xdr:colOff>
      <xdr:row>38</xdr:row>
      <xdr:rowOff>85725</xdr:rowOff>
    </xdr:from>
    <xdr:to>
      <xdr:col>47</xdr:col>
      <xdr:colOff>665775</xdr:colOff>
      <xdr:row>39</xdr:row>
      <xdr:rowOff>84750</xdr:rowOff>
    </xdr:to>
    <xdr:sp macro="" textlink="">
      <xdr:nvSpPr>
        <xdr:cNvPr id="13" name="TextovéPole 12"/>
        <xdr:cNvSpPr txBox="1">
          <a:spLocks noChangeAspect="1"/>
        </xdr:cNvSpPr>
      </xdr:nvSpPr>
      <xdr:spPr>
        <a:xfrm>
          <a:off x="12649200" y="4057650"/>
          <a:ext cx="180000" cy="18000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!</a:t>
          </a:r>
        </a:p>
      </xdr:txBody>
    </xdr:sp>
    <xdr:clientData/>
  </xdr:twoCellAnchor>
  <xdr:twoCellAnchor editAs="oneCell">
    <xdr:from>
      <xdr:col>37</xdr:col>
      <xdr:colOff>99060</xdr:colOff>
      <xdr:row>9</xdr:row>
      <xdr:rowOff>129540</xdr:rowOff>
    </xdr:from>
    <xdr:to>
      <xdr:col>40</xdr:col>
      <xdr:colOff>99060</xdr:colOff>
      <xdr:row>12</xdr:row>
      <xdr:rowOff>68580</xdr:rowOff>
    </xdr:to>
    <xdr:pic>
      <xdr:nvPicPr>
        <xdr:cNvPr id="432369" name="Obrázek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1943100"/>
          <a:ext cx="6400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175260</xdr:colOff>
      <xdr:row>9</xdr:row>
      <xdr:rowOff>121920</xdr:rowOff>
    </xdr:from>
    <xdr:to>
      <xdr:col>44</xdr:col>
      <xdr:colOff>83820</xdr:colOff>
      <xdr:row>12</xdr:row>
      <xdr:rowOff>30480</xdr:rowOff>
    </xdr:to>
    <xdr:pic>
      <xdr:nvPicPr>
        <xdr:cNvPr id="432370" name="Obrázek 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7760" y="1935480"/>
          <a:ext cx="762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30480</xdr:colOff>
      <xdr:row>19</xdr:row>
      <xdr:rowOff>15240</xdr:rowOff>
    </xdr:from>
    <xdr:to>
      <xdr:col>34</xdr:col>
      <xdr:colOff>91440</xdr:colOff>
      <xdr:row>21</xdr:row>
      <xdr:rowOff>53340</xdr:rowOff>
    </xdr:to>
    <xdr:grpSp>
      <xdr:nvGrpSpPr>
        <xdr:cNvPr id="432371" name="Skupina 17"/>
        <xdr:cNvGrpSpPr>
          <a:grpSpLocks/>
        </xdr:cNvGrpSpPr>
      </xdr:nvGrpSpPr>
      <xdr:grpSpPr bwMode="auto">
        <a:xfrm>
          <a:off x="6126480" y="3680861"/>
          <a:ext cx="1360371" cy="407068"/>
          <a:chOff x="2859159" y="1072555"/>
          <a:chExt cx="1356425" cy="405507"/>
        </a:xfrm>
      </xdr:grpSpPr>
      <xdr:grpSp>
        <xdr:nvGrpSpPr>
          <xdr:cNvPr id="432372" name="Skupina 18"/>
          <xdr:cNvGrpSpPr>
            <a:grpSpLocks/>
          </xdr:cNvGrpSpPr>
        </xdr:nvGrpSpPr>
        <xdr:grpSpPr bwMode="auto">
          <a:xfrm rot="-399063">
            <a:off x="2859159" y="1072555"/>
            <a:ext cx="1028620" cy="221933"/>
            <a:chOff x="2058668" y="2358698"/>
            <a:chExt cx="1028620" cy="222848"/>
          </a:xfrm>
        </xdr:grpSpPr>
        <xdr:pic>
          <xdr:nvPicPr>
            <xdr:cNvPr id="432393" name="Obrázek 40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42" name="Obdélník 41"/>
            <xdr:cNvSpPr/>
          </xdr:nvSpPr>
          <xdr:spPr>
            <a:xfrm>
              <a:off x="2786672" y="2309993"/>
              <a:ext cx="77070" cy="23048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43" name="Obdélník 42"/>
            <xdr:cNvSpPr/>
          </xdr:nvSpPr>
          <xdr:spPr>
            <a:xfrm rot="391964">
              <a:off x="1985950" y="2345559"/>
              <a:ext cx="23121" cy="107556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3" name="Skupina 19"/>
          <xdr:cNvGrpSpPr>
            <a:grpSpLocks/>
          </xdr:cNvGrpSpPr>
        </xdr:nvGrpSpPr>
        <xdr:grpSpPr bwMode="auto">
          <a:xfrm rot="-399063">
            <a:off x="2925295" y="1106603"/>
            <a:ext cx="1028620" cy="222391"/>
            <a:chOff x="2058668" y="2358698"/>
            <a:chExt cx="1028620" cy="222848"/>
          </a:xfrm>
        </xdr:grpSpPr>
        <xdr:pic>
          <xdr:nvPicPr>
            <xdr:cNvPr id="432390" name="Obrázek 37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9" name="Obdélník 38"/>
            <xdr:cNvSpPr/>
          </xdr:nvSpPr>
          <xdr:spPr>
            <a:xfrm>
              <a:off x="2833044" y="2273403"/>
              <a:ext cx="77070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40" name="Obdélník 39"/>
            <xdr:cNvSpPr/>
          </xdr:nvSpPr>
          <xdr:spPr>
            <a:xfrm rot="391964">
              <a:off x="2062050" y="2312395"/>
              <a:ext cx="23121" cy="12266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4" name="Skupina 21"/>
          <xdr:cNvGrpSpPr>
            <a:grpSpLocks/>
          </xdr:cNvGrpSpPr>
        </xdr:nvGrpSpPr>
        <xdr:grpSpPr bwMode="auto">
          <a:xfrm rot="-399063">
            <a:off x="2991432" y="1143984"/>
            <a:ext cx="1028620" cy="222391"/>
            <a:chOff x="2058668" y="2358698"/>
            <a:chExt cx="1028620" cy="222848"/>
          </a:xfrm>
        </xdr:grpSpPr>
        <xdr:pic>
          <xdr:nvPicPr>
            <xdr:cNvPr id="432387" name="Obrázek 34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6" name="Obdélník 35"/>
            <xdr:cNvSpPr/>
          </xdr:nvSpPr>
          <xdr:spPr>
            <a:xfrm>
              <a:off x="2843775" y="2275977"/>
              <a:ext cx="84777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37" name="Obdélník 36"/>
            <xdr:cNvSpPr/>
          </xdr:nvSpPr>
          <xdr:spPr>
            <a:xfrm rot="391964">
              <a:off x="2003464" y="2321841"/>
              <a:ext cx="23121" cy="99668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5" name="Skupina 22"/>
          <xdr:cNvGrpSpPr>
            <a:grpSpLocks/>
          </xdr:cNvGrpSpPr>
        </xdr:nvGrpSpPr>
        <xdr:grpSpPr bwMode="auto">
          <a:xfrm rot="-399063">
            <a:off x="3048941" y="1184242"/>
            <a:ext cx="1028620" cy="222391"/>
            <a:chOff x="2058668" y="2358698"/>
            <a:chExt cx="1028620" cy="222848"/>
          </a:xfrm>
        </xdr:grpSpPr>
        <xdr:pic>
          <xdr:nvPicPr>
            <xdr:cNvPr id="432384" name="Obrázek 31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3" name="Obdélník 32"/>
            <xdr:cNvSpPr/>
          </xdr:nvSpPr>
          <xdr:spPr>
            <a:xfrm>
              <a:off x="2853644" y="2359561"/>
              <a:ext cx="77070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34" name="Obdélník 33"/>
            <xdr:cNvSpPr/>
          </xdr:nvSpPr>
          <xdr:spPr>
            <a:xfrm rot="391964">
              <a:off x="2060577" y="2395941"/>
              <a:ext cx="23121" cy="10733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6" name="Skupina 23"/>
          <xdr:cNvGrpSpPr>
            <a:grpSpLocks/>
          </xdr:cNvGrpSpPr>
        </xdr:nvGrpSpPr>
        <xdr:grpSpPr bwMode="auto">
          <a:xfrm rot="-399063">
            <a:off x="3117952" y="1218748"/>
            <a:ext cx="1028620" cy="222391"/>
            <a:chOff x="2058668" y="2358698"/>
            <a:chExt cx="1028620" cy="222848"/>
          </a:xfrm>
        </xdr:grpSpPr>
        <xdr:pic>
          <xdr:nvPicPr>
            <xdr:cNvPr id="432381" name="Obrázek 28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30" name="Obdélník 29"/>
            <xdr:cNvSpPr/>
          </xdr:nvSpPr>
          <xdr:spPr>
            <a:xfrm>
              <a:off x="2854449" y="2355718"/>
              <a:ext cx="77070" cy="23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31" name="Obdélník 30"/>
            <xdr:cNvSpPr/>
          </xdr:nvSpPr>
          <xdr:spPr>
            <a:xfrm rot="391964">
              <a:off x="2047343" y="2313282"/>
              <a:ext cx="23121" cy="107335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  <xdr:grpSp>
        <xdr:nvGrpSpPr>
          <xdr:cNvPr id="432377" name="Skupina 24"/>
          <xdr:cNvGrpSpPr>
            <a:grpSpLocks/>
          </xdr:cNvGrpSpPr>
        </xdr:nvGrpSpPr>
        <xdr:grpSpPr bwMode="auto">
          <a:xfrm rot="-399063">
            <a:off x="3186964" y="1256129"/>
            <a:ext cx="1028620" cy="221933"/>
            <a:chOff x="2058668" y="2358698"/>
            <a:chExt cx="1028620" cy="222848"/>
          </a:xfrm>
        </xdr:grpSpPr>
        <xdr:pic>
          <xdr:nvPicPr>
            <xdr:cNvPr id="432378" name="Obrázek 25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67464" y="2375321"/>
              <a:ext cx="1019824" cy="20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7" name="Obdélník 26"/>
            <xdr:cNvSpPr/>
          </xdr:nvSpPr>
          <xdr:spPr>
            <a:xfrm>
              <a:off x="2854669" y="2356623"/>
              <a:ext cx="77070" cy="23048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  <xdr:sp macro="" textlink="">
          <xdr:nvSpPr>
            <xdr:cNvPr id="28" name="Obdélník 27"/>
            <xdr:cNvSpPr/>
          </xdr:nvSpPr>
          <xdr:spPr>
            <a:xfrm rot="391964">
              <a:off x="2055244" y="2314545"/>
              <a:ext cx="15414" cy="107556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sk-SK"/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83820</xdr:rowOff>
    </xdr:from>
    <xdr:to>
      <xdr:col>23</xdr:col>
      <xdr:colOff>144780</xdr:colOff>
      <xdr:row>14</xdr:row>
      <xdr:rowOff>15240</xdr:rowOff>
    </xdr:to>
    <xdr:grpSp>
      <xdr:nvGrpSpPr>
        <xdr:cNvPr id="380885" name="Skupina 21"/>
        <xdr:cNvGrpSpPr>
          <a:grpSpLocks noChangeAspect="1"/>
        </xdr:cNvGrpSpPr>
      </xdr:nvGrpSpPr>
      <xdr:grpSpPr bwMode="auto">
        <a:xfrm>
          <a:off x="3376863" y="982178"/>
          <a:ext cx="2093896" cy="1776262"/>
          <a:chOff x="1771649" y="3377086"/>
          <a:chExt cx="976394" cy="740669"/>
        </a:xfrm>
      </xdr:grpSpPr>
      <xdr:sp macro="" textlink="">
        <xdr:nvSpPr>
          <xdr:cNvPr id="380893" name="Obdélník 13"/>
          <xdr:cNvSpPr>
            <a:spLocks noChangeArrowheads="1"/>
          </xdr:cNvSpPr>
        </xdr:nvSpPr>
        <xdr:spPr bwMode="auto">
          <a:xfrm>
            <a:off x="1838324" y="3602849"/>
            <a:ext cx="771525" cy="3976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4" name="Obdélník 18"/>
          <xdr:cNvSpPr>
            <a:spLocks noChangeArrowheads="1"/>
          </xdr:cNvSpPr>
        </xdr:nvSpPr>
        <xdr:spPr bwMode="auto">
          <a:xfrm>
            <a:off x="1771649" y="3485786"/>
            <a:ext cx="85614" cy="590914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5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380886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8088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380888" name="Skupina 21"/>
        <xdr:cNvGrpSpPr>
          <a:grpSpLocks noChangeAspect="1"/>
        </xdr:cNvGrpSpPr>
      </xdr:nvGrpSpPr>
      <xdr:grpSpPr bwMode="auto">
        <a:xfrm>
          <a:off x="7697403" y="982178"/>
          <a:ext cx="2097104" cy="1776262"/>
          <a:chOff x="1771649" y="3377086"/>
          <a:chExt cx="976394" cy="740669"/>
        </a:xfrm>
      </xdr:grpSpPr>
      <xdr:sp macro="" textlink="">
        <xdr:nvSpPr>
          <xdr:cNvPr id="380890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1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0892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3055218" y="5113420"/>
          <a:ext cx="161139" cy="17839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91440</xdr:rowOff>
    </xdr:from>
    <xdr:to>
      <xdr:col>23</xdr:col>
      <xdr:colOff>144780</xdr:colOff>
      <xdr:row>14</xdr:row>
      <xdr:rowOff>22860</xdr:rowOff>
    </xdr:to>
    <xdr:grpSp>
      <xdr:nvGrpSpPr>
        <xdr:cNvPr id="381898" name="Skupina 21"/>
        <xdr:cNvGrpSpPr>
          <a:grpSpLocks noChangeAspect="1"/>
        </xdr:cNvGrpSpPr>
      </xdr:nvGrpSpPr>
      <xdr:grpSpPr bwMode="auto">
        <a:xfrm>
          <a:off x="3376863" y="989798"/>
          <a:ext cx="2093896" cy="1776262"/>
          <a:chOff x="1771649" y="3377086"/>
          <a:chExt cx="976394" cy="740669"/>
        </a:xfrm>
      </xdr:grpSpPr>
      <xdr:sp macro="" textlink="">
        <xdr:nvSpPr>
          <xdr:cNvPr id="381906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7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8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381899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8190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381901" name="Skupina 21"/>
        <xdr:cNvGrpSpPr>
          <a:grpSpLocks noChangeAspect="1"/>
        </xdr:cNvGrpSpPr>
      </xdr:nvGrpSpPr>
      <xdr:grpSpPr bwMode="auto">
        <a:xfrm>
          <a:off x="7697403" y="982178"/>
          <a:ext cx="2097104" cy="1776262"/>
          <a:chOff x="1771649" y="3377086"/>
          <a:chExt cx="976394" cy="740669"/>
        </a:xfrm>
      </xdr:grpSpPr>
      <xdr:sp macro="" textlink="">
        <xdr:nvSpPr>
          <xdr:cNvPr id="381903" name="Obdélník 19"/>
          <xdr:cNvSpPr>
            <a:spLocks noChangeArrowheads="1"/>
          </xdr:cNvSpPr>
        </xdr:nvSpPr>
        <xdr:spPr bwMode="auto">
          <a:xfrm>
            <a:off x="1838324" y="3469064"/>
            <a:ext cx="771525" cy="531437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4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1905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3055218" y="5113420"/>
          <a:ext cx="161139" cy="17839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91440</xdr:rowOff>
    </xdr:from>
    <xdr:to>
      <xdr:col>23</xdr:col>
      <xdr:colOff>144780</xdr:colOff>
      <xdr:row>14</xdr:row>
      <xdr:rowOff>22860</xdr:rowOff>
    </xdr:to>
    <xdr:grpSp>
      <xdr:nvGrpSpPr>
        <xdr:cNvPr id="430202" name="Skupina 1"/>
        <xdr:cNvGrpSpPr>
          <a:grpSpLocks/>
        </xdr:cNvGrpSpPr>
      </xdr:nvGrpSpPr>
      <xdr:grpSpPr bwMode="auto">
        <a:xfrm>
          <a:off x="3376863" y="989798"/>
          <a:ext cx="2093896" cy="1776262"/>
          <a:chOff x="3368842" y="986589"/>
          <a:chExt cx="2097104" cy="1776257"/>
        </a:xfrm>
      </xdr:grpSpPr>
      <xdr:sp macro="" textlink="">
        <xdr:nvSpPr>
          <xdr:cNvPr id="430211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2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3" name="Obdélník 18"/>
          <xdr:cNvSpPr>
            <a:spLocks noChangeArrowheads="1"/>
          </xdr:cNvSpPr>
        </xdr:nvSpPr>
        <xdr:spPr bwMode="auto">
          <a:xfrm>
            <a:off x="3368842" y="989697"/>
            <a:ext cx="184123" cy="16667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4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33</xdr:col>
      <xdr:colOff>205740</xdr:colOff>
      <xdr:row>4</xdr:row>
      <xdr:rowOff>83820</xdr:rowOff>
    </xdr:from>
    <xdr:to>
      <xdr:col>43</xdr:col>
      <xdr:colOff>137160</xdr:colOff>
      <xdr:row>14</xdr:row>
      <xdr:rowOff>15240</xdr:rowOff>
    </xdr:to>
    <xdr:grpSp>
      <xdr:nvGrpSpPr>
        <xdr:cNvPr id="430203" name="Skupina 1"/>
        <xdr:cNvGrpSpPr>
          <a:grpSpLocks/>
        </xdr:cNvGrpSpPr>
      </xdr:nvGrpSpPr>
      <xdr:grpSpPr bwMode="auto">
        <a:xfrm>
          <a:off x="7697403" y="982178"/>
          <a:ext cx="2097104" cy="1776262"/>
          <a:chOff x="3368842" y="986589"/>
          <a:chExt cx="2097104" cy="1776257"/>
        </a:xfrm>
      </xdr:grpSpPr>
      <xdr:sp macro="" textlink="">
        <xdr:nvSpPr>
          <xdr:cNvPr id="430207" name="Obdélník 19"/>
          <xdr:cNvSpPr>
            <a:spLocks noChangeArrowheads="1"/>
          </xdr:cNvSpPr>
        </xdr:nvSpPr>
        <xdr:spPr bwMode="auto">
          <a:xfrm>
            <a:off x="3512047" y="2205790"/>
            <a:ext cx="1657085" cy="2758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08" name="Obdélník 19"/>
          <xdr:cNvSpPr>
            <a:spLocks noChangeArrowheads="1"/>
          </xdr:cNvSpPr>
        </xdr:nvSpPr>
        <xdr:spPr bwMode="auto">
          <a:xfrm>
            <a:off x="3553326" y="1211179"/>
            <a:ext cx="1657085" cy="9705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09" name="Obdélník 18"/>
          <xdr:cNvSpPr>
            <a:spLocks noChangeArrowheads="1"/>
          </xdr:cNvSpPr>
        </xdr:nvSpPr>
        <xdr:spPr bwMode="auto">
          <a:xfrm>
            <a:off x="3368842" y="989697"/>
            <a:ext cx="184123" cy="16667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210" name="Volný tvar 20"/>
          <xdr:cNvSpPr>
            <a:spLocks/>
          </xdr:cNvSpPr>
        </xdr:nvSpPr>
        <xdr:spPr bwMode="auto">
          <a:xfrm>
            <a:off x="4841809" y="986589"/>
            <a:ext cx="624137" cy="1776257"/>
          </a:xfrm>
          <a:custGeom>
            <a:avLst/>
            <a:gdLst>
              <a:gd name="T0" fmla="*/ 2147483646 w 290593"/>
              <a:gd name="T1" fmla="*/ 107994243 h 817667"/>
              <a:gd name="T2" fmla="*/ 2147483646 w 290593"/>
              <a:gd name="T3" fmla="*/ 107994243 h 817667"/>
              <a:gd name="T4" fmla="*/ 2147483646 w 290593"/>
              <a:gd name="T5" fmla="*/ 1107104460 h 817667"/>
              <a:gd name="T6" fmla="*/ 2147483646 w 290593"/>
              <a:gd name="T7" fmla="*/ 1248751123 h 817667"/>
              <a:gd name="T8" fmla="*/ 2147483646 w 290593"/>
              <a:gd name="T9" fmla="*/ 1606677617 h 817667"/>
              <a:gd name="T10" fmla="*/ 2147483646 w 290593"/>
              <a:gd name="T11" fmla="*/ 2147483646 h 817667"/>
              <a:gd name="T12" fmla="*/ 2147483646 w 290593"/>
              <a:gd name="T13" fmla="*/ 2147483646 h 817667"/>
              <a:gd name="T14" fmla="*/ 2147483646 w 290593"/>
              <a:gd name="T15" fmla="*/ 2147483646 h 817667"/>
              <a:gd name="T16" fmla="*/ 2147483646 w 290593"/>
              <a:gd name="T17" fmla="*/ 2147483646 h 817667"/>
              <a:gd name="T18" fmla="*/ 2147483646 w 290593"/>
              <a:gd name="T19" fmla="*/ 2147483646 h 817667"/>
              <a:gd name="T20" fmla="*/ 2147483646 w 290593"/>
              <a:gd name="T21" fmla="*/ 2147483646 h 817667"/>
              <a:gd name="T22" fmla="*/ 0 w 290593"/>
              <a:gd name="T23" fmla="*/ 2147483646 h 817667"/>
              <a:gd name="T24" fmla="*/ 2147483646 w 290593"/>
              <a:gd name="T25" fmla="*/ 2147483646 h 817667"/>
              <a:gd name="T26" fmla="*/ 2147483646 w 290593"/>
              <a:gd name="T27" fmla="*/ 2147483646 h 817667"/>
              <a:gd name="T28" fmla="*/ 2147483646 w 290593"/>
              <a:gd name="T29" fmla="*/ 2147483646 h 817667"/>
              <a:gd name="T30" fmla="*/ 2147483646 w 290593"/>
              <a:gd name="T31" fmla="*/ 2147483646 h 817667"/>
              <a:gd name="T32" fmla="*/ 2147483646 w 290593"/>
              <a:gd name="T33" fmla="*/ 2147483646 h 817667"/>
              <a:gd name="T34" fmla="*/ 2147483646 w 290593"/>
              <a:gd name="T35" fmla="*/ 322678155 h 817667"/>
              <a:gd name="T36" fmla="*/ 2147483646 w 290593"/>
              <a:gd name="T37" fmla="*/ 10799424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4</xdr:row>
      <xdr:rowOff>83820</xdr:rowOff>
    </xdr:from>
    <xdr:to>
      <xdr:col>31</xdr:col>
      <xdr:colOff>106680</xdr:colOff>
      <xdr:row>14</xdr:row>
      <xdr:rowOff>175260</xdr:rowOff>
    </xdr:to>
    <xdr:pic>
      <xdr:nvPicPr>
        <xdr:cNvPr id="430204" name="Obrázek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982980"/>
          <a:ext cx="1600200" cy="19202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3020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144378</xdr:colOff>
      <xdr:row>27</xdr:row>
      <xdr:rowOff>8020</xdr:rowOff>
    </xdr:from>
    <xdr:to>
      <xdr:col>13</xdr:col>
      <xdr:colOff>92157</xdr:colOff>
      <xdr:row>28</xdr:row>
      <xdr:rowOff>3535</xdr:rowOff>
    </xdr:to>
    <xdr:sp macro="" textlink="">
      <xdr:nvSpPr>
        <xdr:cNvPr id="12" name="TextovéPole 11"/>
        <xdr:cNvSpPr txBox="1">
          <a:spLocks noChangeAspect="1"/>
        </xdr:cNvSpPr>
      </xdr:nvSpPr>
      <xdr:spPr>
        <a:xfrm>
          <a:off x="3055218" y="5113420"/>
          <a:ext cx="161139" cy="17839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364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</xdr:colOff>
      <xdr:row>69</xdr:row>
      <xdr:rowOff>91440</xdr:rowOff>
    </xdr:from>
    <xdr:to>
      <xdr:col>10</xdr:col>
      <xdr:colOff>76200</xdr:colOff>
      <xdr:row>79</xdr:row>
      <xdr:rowOff>91440</xdr:rowOff>
    </xdr:to>
    <xdr:grpSp>
      <xdr:nvGrpSpPr>
        <xdr:cNvPr id="436484" name="Skupina 118"/>
        <xdr:cNvGrpSpPr>
          <a:grpSpLocks noChangeAspect="1"/>
        </xdr:cNvGrpSpPr>
      </xdr:nvGrpSpPr>
      <xdr:grpSpPr bwMode="auto">
        <a:xfrm>
          <a:off x="243840" y="13045440"/>
          <a:ext cx="2004060" cy="1828800"/>
          <a:chOff x="1800224" y="3348637"/>
          <a:chExt cx="947819" cy="769117"/>
        </a:xfrm>
      </xdr:grpSpPr>
      <xdr:sp macro="" textlink="">
        <xdr:nvSpPr>
          <xdr:cNvPr id="436537" name="Obdélník 1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8" name="Obdélník 120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9" name="Volný tvar 121"/>
          <xdr:cNvSpPr>
            <a:spLocks/>
          </xdr:cNvSpPr>
        </xdr:nvSpPr>
        <xdr:spPr bwMode="auto">
          <a:xfrm>
            <a:off x="2457450" y="3348637"/>
            <a:ext cx="290593" cy="769117"/>
          </a:xfrm>
          <a:custGeom>
            <a:avLst/>
            <a:gdLst>
              <a:gd name="T0" fmla="*/ 148799 w 290593"/>
              <a:gd name="T1" fmla="*/ 34843 h 769117"/>
              <a:gd name="T2" fmla="*/ 95250 w 290593"/>
              <a:gd name="T3" fmla="*/ 99413 h 769117"/>
              <a:gd name="T4" fmla="*/ 38100 w 290593"/>
              <a:gd name="T5" fmla="*/ 118463 h 769117"/>
              <a:gd name="T6" fmla="*/ 85725 w 290593"/>
              <a:gd name="T7" fmla="*/ 166088 h 769117"/>
              <a:gd name="T8" fmla="*/ 57150 w 290593"/>
              <a:gd name="T9" fmla="*/ 328013 h 769117"/>
              <a:gd name="T10" fmla="*/ 28575 w 290593"/>
              <a:gd name="T11" fmla="*/ 337538 h 769117"/>
              <a:gd name="T12" fmla="*/ 28575 w 290593"/>
              <a:gd name="T13" fmla="*/ 442313 h 769117"/>
              <a:gd name="T14" fmla="*/ 47625 w 290593"/>
              <a:gd name="T15" fmla="*/ 470888 h 769117"/>
              <a:gd name="T16" fmla="*/ 38100 w 290593"/>
              <a:gd name="T17" fmla="*/ 528038 h 769117"/>
              <a:gd name="T18" fmla="*/ 9525 w 290593"/>
              <a:gd name="T19" fmla="*/ 537563 h 769117"/>
              <a:gd name="T20" fmla="*/ 0 w 290593"/>
              <a:gd name="T21" fmla="*/ 566138 h 769117"/>
              <a:gd name="T22" fmla="*/ 19050 w 290593"/>
              <a:gd name="T23" fmla="*/ 623288 h 769117"/>
              <a:gd name="T24" fmla="*/ 57150 w 290593"/>
              <a:gd name="T25" fmla="*/ 680438 h 769117"/>
              <a:gd name="T26" fmla="*/ 57150 w 290593"/>
              <a:gd name="T27" fmla="*/ 766163 h 769117"/>
              <a:gd name="T28" fmla="*/ 266700 w 290593"/>
              <a:gd name="T29" fmla="*/ 728063 h 769117"/>
              <a:gd name="T30" fmla="*/ 266700 w 290593"/>
              <a:gd name="T31" fmla="*/ 461363 h 769117"/>
              <a:gd name="T32" fmla="*/ 285750 w 290593"/>
              <a:gd name="T33" fmla="*/ 43188 h 769117"/>
              <a:gd name="T34" fmla="*/ 148799 w 290593"/>
              <a:gd name="T35" fmla="*/ 34843 h 769117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69117"/>
              <a:gd name="T56" fmla="*/ 290593 w 290593"/>
              <a:gd name="T57" fmla="*/ 769117 h 769117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69117">
                <a:moveTo>
                  <a:pt x="148799" y="34843"/>
                </a:moveTo>
                <a:lnTo>
                  <a:pt x="95250" y="99413"/>
                </a:lnTo>
                <a:cubicBezTo>
                  <a:pt x="82027" y="114525"/>
                  <a:pt x="38100" y="118463"/>
                  <a:pt x="38100" y="118463"/>
                </a:cubicBezTo>
                <a:cubicBezTo>
                  <a:pt x="52096" y="127794"/>
                  <a:pt x="84429" y="144057"/>
                  <a:pt x="85725" y="166088"/>
                </a:cubicBezTo>
                <a:cubicBezTo>
                  <a:pt x="86693" y="182541"/>
                  <a:pt x="98014" y="295322"/>
                  <a:pt x="57150" y="328013"/>
                </a:cubicBezTo>
                <a:cubicBezTo>
                  <a:pt x="49310" y="334285"/>
                  <a:pt x="38100" y="334363"/>
                  <a:pt x="28575" y="337538"/>
                </a:cubicBezTo>
                <a:cubicBezTo>
                  <a:pt x="13701" y="382159"/>
                  <a:pt x="10804" y="377152"/>
                  <a:pt x="28575" y="442313"/>
                </a:cubicBezTo>
                <a:cubicBezTo>
                  <a:pt x="31587" y="453357"/>
                  <a:pt x="41275" y="461363"/>
                  <a:pt x="47625" y="470888"/>
                </a:cubicBezTo>
                <a:cubicBezTo>
                  <a:pt x="44450" y="489938"/>
                  <a:pt x="47682" y="511270"/>
                  <a:pt x="38100" y="528038"/>
                </a:cubicBezTo>
                <a:cubicBezTo>
                  <a:pt x="33119" y="536755"/>
                  <a:pt x="16625" y="530463"/>
                  <a:pt x="9525" y="537563"/>
                </a:cubicBezTo>
                <a:cubicBezTo>
                  <a:pt x="2425" y="544663"/>
                  <a:pt x="3175" y="556613"/>
                  <a:pt x="0" y="566138"/>
                </a:cubicBezTo>
                <a:cubicBezTo>
                  <a:pt x="6350" y="585188"/>
                  <a:pt x="7911" y="606580"/>
                  <a:pt x="19050" y="623288"/>
                </a:cubicBezTo>
                <a:lnTo>
                  <a:pt x="57150" y="680438"/>
                </a:lnTo>
                <a:cubicBezTo>
                  <a:pt x="51516" y="697339"/>
                  <a:pt x="26742" y="756807"/>
                  <a:pt x="57150" y="766163"/>
                </a:cubicBezTo>
                <a:cubicBezTo>
                  <a:pt x="66751" y="769117"/>
                  <a:pt x="248114" y="731780"/>
                  <a:pt x="266700" y="728063"/>
                </a:cubicBezTo>
                <a:cubicBezTo>
                  <a:pt x="290593" y="584704"/>
                  <a:pt x="266700" y="752618"/>
                  <a:pt x="266700" y="461363"/>
                </a:cubicBezTo>
                <a:cubicBezTo>
                  <a:pt x="266700" y="234611"/>
                  <a:pt x="272633" y="226829"/>
                  <a:pt x="285750" y="43188"/>
                </a:cubicBezTo>
                <a:cubicBezTo>
                  <a:pt x="199373" y="0"/>
                  <a:pt x="183724" y="39606"/>
                  <a:pt x="148799" y="3484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36485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36533" name="Obdélník 74"/>
          <xdr:cNvSpPr>
            <a:spLocks noChangeArrowheads="1"/>
          </xdr:cNvSpPr>
        </xdr:nvSpPr>
        <xdr:spPr bwMode="auto">
          <a:xfrm>
            <a:off x="5834063" y="4629298"/>
            <a:ext cx="777301" cy="18405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4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5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6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60616 w 290593"/>
              <a:gd name="T11" fmla="*/ 296563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840" y="236936"/>
                  <a:pt x="65378" y="269576"/>
                  <a:pt x="60616" y="296563"/>
                </a:cubicBezTo>
                <a:cubicBezTo>
                  <a:pt x="55854" y="323550"/>
                  <a:pt x="65852" y="362348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36486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36529" name="Obdélník 74"/>
          <xdr:cNvSpPr>
            <a:spLocks noChangeArrowheads="1"/>
          </xdr:cNvSpPr>
        </xdr:nvSpPr>
        <xdr:spPr bwMode="auto">
          <a:xfrm>
            <a:off x="5834063" y="4629298"/>
            <a:ext cx="771525" cy="184592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0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1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532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6191 w 290593"/>
              <a:gd name="T11" fmla="*/ 283854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773" y="235524"/>
                  <a:pt x="60953" y="256867"/>
                  <a:pt x="56191" y="283854"/>
                </a:cubicBezTo>
                <a:cubicBezTo>
                  <a:pt x="51429" y="310841"/>
                  <a:pt x="65785" y="360936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3648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35</xdr:col>
      <xdr:colOff>7620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36488" name="Skupina 242"/>
        <xdr:cNvGrpSpPr>
          <a:grpSpLocks noChangeAspect="1"/>
        </xdr:cNvGrpSpPr>
      </xdr:nvGrpSpPr>
      <xdr:grpSpPr bwMode="auto">
        <a:xfrm>
          <a:off x="7513320" y="967740"/>
          <a:ext cx="845820" cy="2019300"/>
          <a:chOff x="5609723" y="21620536"/>
          <a:chExt cx="633590" cy="1329699"/>
        </a:xfrm>
      </xdr:grpSpPr>
      <xdr:sp macro="" textlink="">
        <xdr:nvSpPr>
          <xdr:cNvPr id="436515" name="Obdélník 23"/>
          <xdr:cNvSpPr>
            <a:spLocks noChangeArrowheads="1"/>
          </xdr:cNvSpPr>
        </xdr:nvSpPr>
        <xdr:spPr bwMode="auto">
          <a:xfrm>
            <a:off x="5661178" y="22053460"/>
            <a:ext cx="535085" cy="10598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516" name="Skupina 241"/>
          <xdr:cNvGrpSpPr>
            <a:grpSpLocks/>
          </xdr:cNvGrpSpPr>
        </xdr:nvGrpSpPr>
        <xdr:grpSpPr bwMode="auto">
          <a:xfrm>
            <a:off x="5661725" y="22732579"/>
            <a:ext cx="539862" cy="179558"/>
            <a:chOff x="5661725" y="22732579"/>
            <a:chExt cx="539862" cy="179558"/>
          </a:xfrm>
        </xdr:grpSpPr>
        <xdr:sp macro="" textlink="">
          <xdr:nvSpPr>
            <xdr:cNvPr id="436526" name="Obdélník 30"/>
            <xdr:cNvSpPr>
              <a:spLocks noChangeArrowheads="1"/>
            </xdr:cNvSpPr>
          </xdr:nvSpPr>
          <xdr:spPr bwMode="auto">
            <a:xfrm rot="5400000">
              <a:off x="6107987" y="22782979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7" name="Obdélník 23"/>
            <xdr:cNvSpPr>
              <a:spLocks noChangeArrowheads="1"/>
            </xdr:cNvSpPr>
          </xdr:nvSpPr>
          <xdr:spPr bwMode="auto">
            <a:xfrm>
              <a:off x="5663183" y="22806149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8" name="Obdélník 30"/>
            <xdr:cNvSpPr>
              <a:spLocks noChangeArrowheads="1"/>
            </xdr:cNvSpPr>
          </xdr:nvSpPr>
          <xdr:spPr bwMode="auto">
            <a:xfrm>
              <a:off x="5661725" y="22735516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517" name="Obdélník 24"/>
          <xdr:cNvSpPr>
            <a:spLocks noChangeArrowheads="1"/>
          </xdr:cNvSpPr>
        </xdr:nvSpPr>
        <xdr:spPr bwMode="auto">
          <a:xfrm>
            <a:off x="5609723" y="21620536"/>
            <a:ext cx="60570" cy="13296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518" name="Skupina 238"/>
          <xdr:cNvGrpSpPr>
            <a:grpSpLocks/>
          </xdr:cNvGrpSpPr>
        </xdr:nvGrpSpPr>
        <xdr:grpSpPr bwMode="auto">
          <a:xfrm>
            <a:off x="5698206" y="21697458"/>
            <a:ext cx="544177" cy="120565"/>
            <a:chOff x="5698206" y="21697458"/>
            <a:chExt cx="544177" cy="120565"/>
          </a:xfrm>
        </xdr:grpSpPr>
        <xdr:sp macro="" textlink="">
          <xdr:nvSpPr>
            <xdr:cNvPr id="436524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5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519" name="Skupina 239"/>
          <xdr:cNvGrpSpPr>
            <a:grpSpLocks/>
          </xdr:cNvGrpSpPr>
        </xdr:nvGrpSpPr>
        <xdr:grpSpPr bwMode="auto">
          <a:xfrm>
            <a:off x="5700216" y="22372523"/>
            <a:ext cx="543097" cy="183600"/>
            <a:chOff x="5700216" y="22372523"/>
            <a:chExt cx="543097" cy="183600"/>
          </a:xfrm>
        </xdr:grpSpPr>
        <xdr:sp macro="" textlink="">
          <xdr:nvSpPr>
            <xdr:cNvPr id="436520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1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2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523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24</xdr:col>
      <xdr:colOff>30480</xdr:colOff>
      <xdr:row>4</xdr:row>
      <xdr:rowOff>106680</xdr:rowOff>
    </xdr:from>
    <xdr:to>
      <xdr:col>29</xdr:col>
      <xdr:colOff>129540</xdr:colOff>
      <xdr:row>15</xdr:row>
      <xdr:rowOff>83820</xdr:rowOff>
    </xdr:to>
    <xdr:pic>
      <xdr:nvPicPr>
        <xdr:cNvPr id="436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220" y="1005840"/>
          <a:ext cx="1165860" cy="198882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11431</xdr:colOff>
      <xdr:row>23</xdr:row>
      <xdr:rowOff>9525</xdr:rowOff>
    </xdr:from>
    <xdr:to>
      <xdr:col>20</xdr:col>
      <xdr:colOff>183605</xdr:colOff>
      <xdr:row>24</xdr:row>
      <xdr:rowOff>8550</xdr:rowOff>
    </xdr:to>
    <xdr:sp macro="" textlink="">
      <xdr:nvSpPr>
        <xdr:cNvPr id="44" name="TextovéPole 43"/>
        <xdr:cNvSpPr txBox="1">
          <a:spLocks noChangeAspect="1"/>
        </xdr:cNvSpPr>
      </xdr:nvSpPr>
      <xdr:spPr>
        <a:xfrm>
          <a:off x="4819651" y="434340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24</xdr:col>
      <xdr:colOff>129540</xdr:colOff>
      <xdr:row>85</xdr:row>
      <xdr:rowOff>45720</xdr:rowOff>
    </xdr:from>
    <xdr:to>
      <xdr:col>30</xdr:col>
      <xdr:colOff>22860</xdr:colOff>
      <xdr:row>94</xdr:row>
      <xdr:rowOff>91440</xdr:rowOff>
    </xdr:to>
    <xdr:grpSp>
      <xdr:nvGrpSpPr>
        <xdr:cNvPr id="436491" name="Skupina 20"/>
        <xdr:cNvGrpSpPr>
          <a:grpSpLocks/>
        </xdr:cNvGrpSpPr>
      </xdr:nvGrpSpPr>
      <xdr:grpSpPr bwMode="auto">
        <a:xfrm>
          <a:off x="5288280" y="15925800"/>
          <a:ext cx="1173480" cy="1691640"/>
          <a:chOff x="6753225" y="15906750"/>
          <a:chExt cx="1314450" cy="1676400"/>
        </a:xfrm>
      </xdr:grpSpPr>
      <xdr:pic>
        <xdr:nvPicPr>
          <xdr:cNvPr id="436511" name="Picture 329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53225" y="15906750"/>
            <a:ext cx="1057275" cy="1619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6512" name="Obdélník 22"/>
          <xdr:cNvSpPr>
            <a:spLocks noChangeArrowheads="1"/>
          </xdr:cNvSpPr>
        </xdr:nvSpPr>
        <xdr:spPr bwMode="auto">
          <a:xfrm>
            <a:off x="7610475" y="173450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13" name="Obdélník 23"/>
          <xdr:cNvSpPr>
            <a:spLocks noChangeArrowheads="1"/>
          </xdr:cNvSpPr>
        </xdr:nvSpPr>
        <xdr:spPr bwMode="auto">
          <a:xfrm>
            <a:off x="7791450" y="16135350"/>
            <a:ext cx="276225" cy="11906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14" name="Obdélník 24"/>
          <xdr:cNvSpPr>
            <a:spLocks noChangeArrowheads="1"/>
          </xdr:cNvSpPr>
        </xdr:nvSpPr>
        <xdr:spPr bwMode="auto">
          <a:xfrm>
            <a:off x="7781925" y="161258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17</xdr:col>
      <xdr:colOff>45720</xdr:colOff>
      <xdr:row>86</xdr:row>
      <xdr:rowOff>160020</xdr:rowOff>
    </xdr:from>
    <xdr:to>
      <xdr:col>23</xdr:col>
      <xdr:colOff>68580</xdr:colOff>
      <xdr:row>92</xdr:row>
      <xdr:rowOff>38100</xdr:rowOff>
    </xdr:to>
    <xdr:grpSp>
      <xdr:nvGrpSpPr>
        <xdr:cNvPr id="436492" name="Skupina 25"/>
        <xdr:cNvGrpSpPr>
          <a:grpSpLocks noChangeAspect="1"/>
        </xdr:cNvGrpSpPr>
      </xdr:nvGrpSpPr>
      <xdr:grpSpPr bwMode="auto">
        <a:xfrm>
          <a:off x="3710940" y="16222980"/>
          <a:ext cx="1303020" cy="975360"/>
          <a:chOff x="2076450" y="2228849"/>
          <a:chExt cx="5705476" cy="3749907"/>
        </a:xfrm>
      </xdr:grpSpPr>
      <xdr:sp macro="" textlink="">
        <xdr:nvSpPr>
          <xdr:cNvPr id="60" name="Volný tvar 59"/>
          <xdr:cNvSpPr/>
        </xdr:nvSpPr>
        <xdr:spPr>
          <a:xfrm>
            <a:off x="2076450" y="2228849"/>
            <a:ext cx="5705476" cy="360342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447675 w 5715000"/>
              <a:gd name="connsiteY7" fmla="*/ 11218 h 2114550"/>
              <a:gd name="connsiteX8" fmla="*/ 0 w 5715000"/>
              <a:gd name="connsiteY8" fmla="*/ 9525 h 2114550"/>
              <a:gd name="connsiteX9" fmla="*/ 9525 w 5715000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4438650 w 5705475"/>
              <a:gd name="connsiteY3" fmla="*/ 0 h 2114550"/>
              <a:gd name="connsiteX4" fmla="*/ 3876675 w 5705475"/>
              <a:gd name="connsiteY4" fmla="*/ 171450 h 2114550"/>
              <a:gd name="connsiteX5" fmla="*/ 1866900 w 5705475"/>
              <a:gd name="connsiteY5" fmla="*/ 190500 h 2114550"/>
              <a:gd name="connsiteX6" fmla="*/ 1295400 w 5705475"/>
              <a:gd name="connsiteY6" fmla="*/ 9525 h 2114550"/>
              <a:gd name="connsiteX7" fmla="*/ 438150 w 5705475"/>
              <a:gd name="connsiteY7" fmla="*/ 11218 h 2114550"/>
              <a:gd name="connsiteX8" fmla="*/ 0 w 5705475"/>
              <a:gd name="connsiteY8" fmla="*/ 295578 h 2114550"/>
              <a:gd name="connsiteX9" fmla="*/ 0 w 5705475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37797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05475" h="2114550">
                <a:moveTo>
                  <a:pt x="0" y="2114550"/>
                </a:moveTo>
                <a:lnTo>
                  <a:pt x="5705475" y="2114550"/>
                </a:lnTo>
                <a:lnTo>
                  <a:pt x="5705475" y="274835"/>
                </a:lnTo>
                <a:lnTo>
                  <a:pt x="5219700" y="1"/>
                </a:lnTo>
                <a:lnTo>
                  <a:pt x="4438650" y="0"/>
                </a:lnTo>
                <a:lnTo>
                  <a:pt x="3876675" y="137797"/>
                </a:lnTo>
                <a:lnTo>
                  <a:pt x="1866900" y="140020"/>
                </a:lnTo>
                <a:lnTo>
                  <a:pt x="1295400" y="9525"/>
                </a:lnTo>
                <a:lnTo>
                  <a:pt x="438150" y="11218"/>
                </a:lnTo>
                <a:lnTo>
                  <a:pt x="0" y="295578"/>
                </a:lnTo>
                <a:lnTo>
                  <a:pt x="0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1" name="Volný tvar 60"/>
          <xdr:cNvSpPr/>
        </xdr:nvSpPr>
        <xdr:spPr>
          <a:xfrm>
            <a:off x="4578852" y="2258145"/>
            <a:ext cx="633942" cy="3720611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2" name="Elipsa 61"/>
          <xdr:cNvSpPr>
            <a:spLocks noChangeAspect="1"/>
          </xdr:cNvSpPr>
        </xdr:nvSpPr>
        <xdr:spPr>
          <a:xfrm>
            <a:off x="2410104" y="4308876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3" name="Elipsa 62"/>
          <xdr:cNvSpPr>
            <a:spLocks noChangeAspect="1"/>
          </xdr:cNvSpPr>
        </xdr:nvSpPr>
        <xdr:spPr>
          <a:xfrm>
            <a:off x="2410104" y="4953391"/>
            <a:ext cx="233557" cy="205073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4" name="Elipsa 63"/>
          <xdr:cNvSpPr>
            <a:spLocks noChangeAspect="1"/>
          </xdr:cNvSpPr>
        </xdr:nvSpPr>
        <xdr:spPr>
          <a:xfrm>
            <a:off x="7214715" y="4308876"/>
            <a:ext cx="233557" cy="234369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5" name="Elipsa 64"/>
          <xdr:cNvSpPr>
            <a:spLocks noChangeAspect="1"/>
          </xdr:cNvSpPr>
        </xdr:nvSpPr>
        <xdr:spPr>
          <a:xfrm>
            <a:off x="7214715" y="4982687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  <xdr:twoCellAnchor>
    <xdr:from>
      <xdr:col>9</xdr:col>
      <xdr:colOff>114300</xdr:colOff>
      <xdr:row>87</xdr:row>
      <xdr:rowOff>167640</xdr:rowOff>
    </xdr:from>
    <xdr:to>
      <xdr:col>15</xdr:col>
      <xdr:colOff>7620</xdr:colOff>
      <xdr:row>95</xdr:row>
      <xdr:rowOff>91440</xdr:rowOff>
    </xdr:to>
    <xdr:grpSp>
      <xdr:nvGrpSpPr>
        <xdr:cNvPr id="436493" name="Skupina 16"/>
        <xdr:cNvGrpSpPr>
          <a:grpSpLocks noChangeAspect="1"/>
        </xdr:cNvGrpSpPr>
      </xdr:nvGrpSpPr>
      <xdr:grpSpPr bwMode="auto">
        <a:xfrm>
          <a:off x="2072640" y="16413480"/>
          <a:ext cx="1173480" cy="1386840"/>
          <a:chOff x="2905125" y="16459200"/>
          <a:chExt cx="1790701" cy="1866900"/>
        </a:xfrm>
      </xdr:grpSpPr>
      <xdr:pic>
        <xdr:nvPicPr>
          <xdr:cNvPr id="436501" name="Picture 41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05125" y="16478250"/>
            <a:ext cx="1514475" cy="1704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6502" name="Obdélník 18"/>
          <xdr:cNvSpPr>
            <a:spLocks noChangeArrowheads="1"/>
          </xdr:cNvSpPr>
        </xdr:nvSpPr>
        <xdr:spPr bwMode="auto">
          <a:xfrm>
            <a:off x="3981450" y="16459200"/>
            <a:ext cx="485775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03" name="Obdélník 19"/>
          <xdr:cNvSpPr>
            <a:spLocks noChangeArrowheads="1"/>
          </xdr:cNvSpPr>
        </xdr:nvSpPr>
        <xdr:spPr bwMode="auto">
          <a:xfrm>
            <a:off x="4191001" y="17973675"/>
            <a:ext cx="323850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504" name="Obdélník 20"/>
          <xdr:cNvSpPr>
            <a:spLocks noChangeArrowheads="1"/>
          </xdr:cNvSpPr>
        </xdr:nvSpPr>
        <xdr:spPr bwMode="auto">
          <a:xfrm>
            <a:off x="4371976" y="17087850"/>
            <a:ext cx="323850" cy="85725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</xdr:col>
      <xdr:colOff>198120</xdr:colOff>
      <xdr:row>88</xdr:row>
      <xdr:rowOff>167640</xdr:rowOff>
    </xdr:from>
    <xdr:to>
      <xdr:col>9</xdr:col>
      <xdr:colOff>7620</xdr:colOff>
      <xdr:row>92</xdr:row>
      <xdr:rowOff>38100</xdr:rowOff>
    </xdr:to>
    <xdr:grpSp>
      <xdr:nvGrpSpPr>
        <xdr:cNvPr id="436494" name="Skupina 22"/>
        <xdr:cNvGrpSpPr>
          <a:grpSpLocks noChangeAspect="1"/>
        </xdr:cNvGrpSpPr>
      </xdr:nvGrpSpPr>
      <xdr:grpSpPr bwMode="auto">
        <a:xfrm>
          <a:off x="662940" y="16596360"/>
          <a:ext cx="1303020" cy="601980"/>
          <a:chOff x="2066925" y="3657600"/>
          <a:chExt cx="5715000" cy="2321156"/>
        </a:xfrm>
      </xdr:grpSpPr>
      <xdr:sp macro="" textlink="">
        <xdr:nvSpPr>
          <xdr:cNvPr id="73" name="Volný tvar 72"/>
          <xdr:cNvSpPr/>
        </xdr:nvSpPr>
        <xdr:spPr>
          <a:xfrm>
            <a:off x="2066925" y="3686982"/>
            <a:ext cx="5715000" cy="214486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715000" h="2114550">
                <a:moveTo>
                  <a:pt x="9525" y="2114550"/>
                </a:moveTo>
                <a:lnTo>
                  <a:pt x="5715000" y="2114550"/>
                </a:lnTo>
                <a:lnTo>
                  <a:pt x="5705475" y="0"/>
                </a:lnTo>
                <a:lnTo>
                  <a:pt x="4448175" y="0"/>
                </a:lnTo>
                <a:lnTo>
                  <a:pt x="3886200" y="171450"/>
                </a:lnTo>
                <a:lnTo>
                  <a:pt x="1876425" y="190500"/>
                </a:lnTo>
                <a:lnTo>
                  <a:pt x="1304925" y="9525"/>
                </a:lnTo>
                <a:lnTo>
                  <a:pt x="0" y="9525"/>
                </a:lnTo>
                <a:lnTo>
                  <a:pt x="9525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4" name="Volný tvar 73"/>
          <xdr:cNvSpPr/>
        </xdr:nvSpPr>
        <xdr:spPr>
          <a:xfrm>
            <a:off x="4606925" y="3657600"/>
            <a:ext cx="601579" cy="2321156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5" name="Elipsa 74"/>
          <xdr:cNvSpPr>
            <a:spLocks noChangeAspect="1"/>
          </xdr:cNvSpPr>
        </xdr:nvSpPr>
        <xdr:spPr>
          <a:xfrm>
            <a:off x="2401136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6" name="Elipsa 75"/>
          <xdr:cNvSpPr>
            <a:spLocks noChangeAspect="1"/>
          </xdr:cNvSpPr>
        </xdr:nvSpPr>
        <xdr:spPr>
          <a:xfrm>
            <a:off x="2401136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7" name="Elipsa 76"/>
          <xdr:cNvSpPr>
            <a:spLocks noChangeAspect="1"/>
          </xdr:cNvSpPr>
        </xdr:nvSpPr>
        <xdr:spPr>
          <a:xfrm>
            <a:off x="7213767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78" name="Elipsa 77"/>
          <xdr:cNvSpPr>
            <a:spLocks noChangeAspect="1"/>
          </xdr:cNvSpPr>
        </xdr:nvSpPr>
        <xdr:spPr>
          <a:xfrm>
            <a:off x="7213767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182880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37477" name="Skupina 61"/>
        <xdr:cNvGrpSpPr>
          <a:grpSpLocks/>
        </xdr:cNvGrpSpPr>
      </xdr:nvGrpSpPr>
      <xdr:grpSpPr bwMode="auto">
        <a:xfrm>
          <a:off x="7475220" y="967740"/>
          <a:ext cx="883920" cy="2019300"/>
          <a:chOff x="8334375" y="962025"/>
          <a:chExt cx="990600" cy="2000250"/>
        </a:xfrm>
      </xdr:grpSpPr>
      <xdr:grpSp>
        <xdr:nvGrpSpPr>
          <xdr:cNvPr id="437522" name="Skupina 239"/>
          <xdr:cNvGrpSpPr>
            <a:grpSpLocks/>
          </xdr:cNvGrpSpPr>
        </xdr:nvGrpSpPr>
        <xdr:grpSpPr bwMode="auto">
          <a:xfrm>
            <a:off x="8516681" y="2636155"/>
            <a:ext cx="808294" cy="276187"/>
            <a:chOff x="5700216" y="22372523"/>
            <a:chExt cx="543097" cy="183600"/>
          </a:xfrm>
        </xdr:grpSpPr>
        <xdr:sp macro="" textlink="">
          <xdr:nvSpPr>
            <xdr:cNvPr id="437535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6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7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8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7523" name="Skupina 238"/>
          <xdr:cNvGrpSpPr>
            <a:grpSpLocks/>
          </xdr:cNvGrpSpPr>
        </xdr:nvGrpSpPr>
        <xdr:grpSpPr bwMode="auto">
          <a:xfrm>
            <a:off x="8513690" y="1592088"/>
            <a:ext cx="809901" cy="181364"/>
            <a:chOff x="5698206" y="21697458"/>
            <a:chExt cx="544177" cy="120565"/>
          </a:xfrm>
        </xdr:grpSpPr>
        <xdr:sp macro="" textlink="">
          <xdr:nvSpPr>
            <xdr:cNvPr id="437533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4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7524" name="Obdélník 24"/>
          <xdr:cNvSpPr>
            <a:spLocks noChangeArrowheads="1"/>
          </xdr:cNvSpPr>
        </xdr:nvSpPr>
        <xdr:spPr bwMode="auto">
          <a:xfrm>
            <a:off x="8334375" y="962025"/>
            <a:ext cx="90147" cy="20002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7525" name="Skupina 238"/>
          <xdr:cNvGrpSpPr>
            <a:grpSpLocks/>
          </xdr:cNvGrpSpPr>
        </xdr:nvGrpSpPr>
        <xdr:grpSpPr bwMode="auto">
          <a:xfrm>
            <a:off x="8513690" y="1077738"/>
            <a:ext cx="809901" cy="181364"/>
            <a:chOff x="5698206" y="21697458"/>
            <a:chExt cx="544177" cy="120565"/>
          </a:xfrm>
        </xdr:grpSpPr>
        <xdr:sp macro="" textlink="">
          <xdr:nvSpPr>
            <xdr:cNvPr id="437531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2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7526" name="Skupina 239"/>
          <xdr:cNvGrpSpPr>
            <a:grpSpLocks/>
          </xdr:cNvGrpSpPr>
        </xdr:nvGrpSpPr>
        <xdr:grpSpPr bwMode="auto">
          <a:xfrm>
            <a:off x="8516681" y="2093230"/>
            <a:ext cx="808294" cy="276187"/>
            <a:chOff x="5700216" y="22372523"/>
            <a:chExt cx="543097" cy="183600"/>
          </a:xfrm>
        </xdr:grpSpPr>
        <xdr:sp macro="" textlink="">
          <xdr:nvSpPr>
            <xdr:cNvPr id="437527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28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29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7530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24</xdr:col>
      <xdr:colOff>30480</xdr:colOff>
      <xdr:row>4</xdr:row>
      <xdr:rowOff>106680</xdr:rowOff>
    </xdr:from>
    <xdr:to>
      <xdr:col>29</xdr:col>
      <xdr:colOff>129540</xdr:colOff>
      <xdr:row>15</xdr:row>
      <xdr:rowOff>83820</xdr:rowOff>
    </xdr:to>
    <xdr:pic>
      <xdr:nvPicPr>
        <xdr:cNvPr id="43747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220" y="1005840"/>
          <a:ext cx="1165860" cy="198882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3747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</xdr:colOff>
      <xdr:row>69</xdr:row>
      <xdr:rowOff>91440</xdr:rowOff>
    </xdr:from>
    <xdr:to>
      <xdr:col>10</xdr:col>
      <xdr:colOff>76200</xdr:colOff>
      <xdr:row>79</xdr:row>
      <xdr:rowOff>91440</xdr:rowOff>
    </xdr:to>
    <xdr:grpSp>
      <xdr:nvGrpSpPr>
        <xdr:cNvPr id="437480" name="Skupina 118"/>
        <xdr:cNvGrpSpPr>
          <a:grpSpLocks noChangeAspect="1"/>
        </xdr:cNvGrpSpPr>
      </xdr:nvGrpSpPr>
      <xdr:grpSpPr bwMode="auto">
        <a:xfrm>
          <a:off x="243840" y="13045440"/>
          <a:ext cx="2004060" cy="1828800"/>
          <a:chOff x="1800224" y="3348637"/>
          <a:chExt cx="947819" cy="769117"/>
        </a:xfrm>
      </xdr:grpSpPr>
      <xdr:sp macro="" textlink="">
        <xdr:nvSpPr>
          <xdr:cNvPr id="437519" name="Obdélník 1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20" name="Obdélník 120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21" name="Volný tvar 121"/>
          <xdr:cNvSpPr>
            <a:spLocks/>
          </xdr:cNvSpPr>
        </xdr:nvSpPr>
        <xdr:spPr bwMode="auto">
          <a:xfrm>
            <a:off x="2457450" y="3348637"/>
            <a:ext cx="290593" cy="769117"/>
          </a:xfrm>
          <a:custGeom>
            <a:avLst/>
            <a:gdLst>
              <a:gd name="T0" fmla="*/ 148799 w 290593"/>
              <a:gd name="T1" fmla="*/ 34843 h 769117"/>
              <a:gd name="T2" fmla="*/ 95250 w 290593"/>
              <a:gd name="T3" fmla="*/ 99413 h 769117"/>
              <a:gd name="T4" fmla="*/ 38100 w 290593"/>
              <a:gd name="T5" fmla="*/ 118463 h 769117"/>
              <a:gd name="T6" fmla="*/ 85725 w 290593"/>
              <a:gd name="T7" fmla="*/ 166088 h 769117"/>
              <a:gd name="T8" fmla="*/ 57150 w 290593"/>
              <a:gd name="T9" fmla="*/ 328013 h 769117"/>
              <a:gd name="T10" fmla="*/ 28575 w 290593"/>
              <a:gd name="T11" fmla="*/ 337538 h 769117"/>
              <a:gd name="T12" fmla="*/ 28575 w 290593"/>
              <a:gd name="T13" fmla="*/ 442313 h 769117"/>
              <a:gd name="T14" fmla="*/ 47625 w 290593"/>
              <a:gd name="T15" fmla="*/ 470888 h 769117"/>
              <a:gd name="T16" fmla="*/ 38100 w 290593"/>
              <a:gd name="T17" fmla="*/ 528038 h 769117"/>
              <a:gd name="T18" fmla="*/ 9525 w 290593"/>
              <a:gd name="T19" fmla="*/ 537563 h 769117"/>
              <a:gd name="T20" fmla="*/ 0 w 290593"/>
              <a:gd name="T21" fmla="*/ 566138 h 769117"/>
              <a:gd name="T22" fmla="*/ 19050 w 290593"/>
              <a:gd name="T23" fmla="*/ 623288 h 769117"/>
              <a:gd name="T24" fmla="*/ 57150 w 290593"/>
              <a:gd name="T25" fmla="*/ 680438 h 769117"/>
              <a:gd name="T26" fmla="*/ 57150 w 290593"/>
              <a:gd name="T27" fmla="*/ 766163 h 769117"/>
              <a:gd name="T28" fmla="*/ 266700 w 290593"/>
              <a:gd name="T29" fmla="*/ 728063 h 769117"/>
              <a:gd name="T30" fmla="*/ 266700 w 290593"/>
              <a:gd name="T31" fmla="*/ 461363 h 769117"/>
              <a:gd name="T32" fmla="*/ 285750 w 290593"/>
              <a:gd name="T33" fmla="*/ 43188 h 769117"/>
              <a:gd name="T34" fmla="*/ 148799 w 290593"/>
              <a:gd name="T35" fmla="*/ 34843 h 769117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69117"/>
              <a:gd name="T56" fmla="*/ 290593 w 290593"/>
              <a:gd name="T57" fmla="*/ 769117 h 769117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69117">
                <a:moveTo>
                  <a:pt x="148799" y="34843"/>
                </a:moveTo>
                <a:lnTo>
                  <a:pt x="95250" y="99413"/>
                </a:lnTo>
                <a:cubicBezTo>
                  <a:pt x="82027" y="114525"/>
                  <a:pt x="38100" y="118463"/>
                  <a:pt x="38100" y="118463"/>
                </a:cubicBezTo>
                <a:cubicBezTo>
                  <a:pt x="52096" y="127794"/>
                  <a:pt x="84429" y="144057"/>
                  <a:pt x="85725" y="166088"/>
                </a:cubicBezTo>
                <a:cubicBezTo>
                  <a:pt x="86693" y="182541"/>
                  <a:pt x="98014" y="295322"/>
                  <a:pt x="57150" y="328013"/>
                </a:cubicBezTo>
                <a:cubicBezTo>
                  <a:pt x="49310" y="334285"/>
                  <a:pt x="38100" y="334363"/>
                  <a:pt x="28575" y="337538"/>
                </a:cubicBezTo>
                <a:cubicBezTo>
                  <a:pt x="13701" y="382159"/>
                  <a:pt x="10804" y="377152"/>
                  <a:pt x="28575" y="442313"/>
                </a:cubicBezTo>
                <a:cubicBezTo>
                  <a:pt x="31587" y="453357"/>
                  <a:pt x="41275" y="461363"/>
                  <a:pt x="47625" y="470888"/>
                </a:cubicBezTo>
                <a:cubicBezTo>
                  <a:pt x="44450" y="489938"/>
                  <a:pt x="47682" y="511270"/>
                  <a:pt x="38100" y="528038"/>
                </a:cubicBezTo>
                <a:cubicBezTo>
                  <a:pt x="33119" y="536755"/>
                  <a:pt x="16625" y="530463"/>
                  <a:pt x="9525" y="537563"/>
                </a:cubicBezTo>
                <a:cubicBezTo>
                  <a:pt x="2425" y="544663"/>
                  <a:pt x="3175" y="556613"/>
                  <a:pt x="0" y="566138"/>
                </a:cubicBezTo>
                <a:cubicBezTo>
                  <a:pt x="6350" y="585188"/>
                  <a:pt x="7911" y="606580"/>
                  <a:pt x="19050" y="623288"/>
                </a:cubicBezTo>
                <a:lnTo>
                  <a:pt x="57150" y="680438"/>
                </a:lnTo>
                <a:cubicBezTo>
                  <a:pt x="51516" y="697339"/>
                  <a:pt x="26742" y="756807"/>
                  <a:pt x="57150" y="766163"/>
                </a:cubicBezTo>
                <a:cubicBezTo>
                  <a:pt x="66751" y="769117"/>
                  <a:pt x="248114" y="731780"/>
                  <a:pt x="266700" y="728063"/>
                </a:cubicBezTo>
                <a:cubicBezTo>
                  <a:pt x="290593" y="584704"/>
                  <a:pt x="266700" y="752618"/>
                  <a:pt x="266700" y="461363"/>
                </a:cubicBezTo>
                <a:cubicBezTo>
                  <a:pt x="266700" y="234611"/>
                  <a:pt x="272633" y="226829"/>
                  <a:pt x="285750" y="43188"/>
                </a:cubicBezTo>
                <a:cubicBezTo>
                  <a:pt x="199373" y="0"/>
                  <a:pt x="183724" y="39606"/>
                  <a:pt x="148799" y="3484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37481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37515" name="Obdélník 74"/>
          <xdr:cNvSpPr>
            <a:spLocks noChangeArrowheads="1"/>
          </xdr:cNvSpPr>
        </xdr:nvSpPr>
        <xdr:spPr bwMode="auto">
          <a:xfrm>
            <a:off x="5834063" y="4629298"/>
            <a:ext cx="777301" cy="18405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6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7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8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60616 w 290593"/>
              <a:gd name="T11" fmla="*/ 296563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840" y="236936"/>
                  <a:pt x="65378" y="269576"/>
                  <a:pt x="60616" y="296563"/>
                </a:cubicBezTo>
                <a:cubicBezTo>
                  <a:pt x="55854" y="323550"/>
                  <a:pt x="65852" y="362348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37482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37511" name="Obdélník 74"/>
          <xdr:cNvSpPr>
            <a:spLocks noChangeArrowheads="1"/>
          </xdr:cNvSpPr>
        </xdr:nvSpPr>
        <xdr:spPr bwMode="auto">
          <a:xfrm>
            <a:off x="5834063" y="4629298"/>
            <a:ext cx="771525" cy="184592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2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3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514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6191 w 290593"/>
              <a:gd name="T11" fmla="*/ 283854 h 817667"/>
              <a:gd name="T12" fmla="*/ 57150 w 290593"/>
              <a:gd name="T13" fmla="*/ 376563 h 817667"/>
              <a:gd name="T14" fmla="*/ 28575 w 290593"/>
              <a:gd name="T15" fmla="*/ 386088 h 817667"/>
              <a:gd name="T16" fmla="*/ 28575 w 290593"/>
              <a:gd name="T17" fmla="*/ 490863 h 817667"/>
              <a:gd name="T18" fmla="*/ 47625 w 290593"/>
              <a:gd name="T19" fmla="*/ 519438 h 817667"/>
              <a:gd name="T20" fmla="*/ 38100 w 290593"/>
              <a:gd name="T21" fmla="*/ 576588 h 817667"/>
              <a:gd name="T22" fmla="*/ 9525 w 290593"/>
              <a:gd name="T23" fmla="*/ 586113 h 817667"/>
              <a:gd name="T24" fmla="*/ 0 w 290593"/>
              <a:gd name="T25" fmla="*/ 614688 h 817667"/>
              <a:gd name="T26" fmla="*/ 19050 w 290593"/>
              <a:gd name="T27" fmla="*/ 671838 h 817667"/>
              <a:gd name="T28" fmla="*/ 57150 w 290593"/>
              <a:gd name="T29" fmla="*/ 728988 h 817667"/>
              <a:gd name="T30" fmla="*/ 57150 w 290593"/>
              <a:gd name="T31" fmla="*/ 814713 h 817667"/>
              <a:gd name="T32" fmla="*/ 266700 w 290593"/>
              <a:gd name="T33" fmla="*/ 776613 h 817667"/>
              <a:gd name="T34" fmla="*/ 266700 w 290593"/>
              <a:gd name="T35" fmla="*/ 509913 h 817667"/>
              <a:gd name="T36" fmla="*/ 285750 w 290593"/>
              <a:gd name="T37" fmla="*/ 43188 h 817667"/>
              <a:gd name="T38" fmla="*/ 76200 w 290593"/>
              <a:gd name="T39" fmla="*/ 14613 h 8176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90593"/>
              <a:gd name="T61" fmla="*/ 0 h 817667"/>
              <a:gd name="T62" fmla="*/ 290593 w 290593"/>
              <a:gd name="T63" fmla="*/ 817667 h 8176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92773" y="235524"/>
                  <a:pt x="60953" y="256867"/>
                  <a:pt x="56191" y="283854"/>
                </a:cubicBezTo>
                <a:cubicBezTo>
                  <a:pt x="51429" y="310841"/>
                  <a:pt x="65785" y="360936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3748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18" name="TextovéPole 17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35" name="TextovéPole 34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36" name="TextovéPole 35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24</xdr:col>
      <xdr:colOff>129540</xdr:colOff>
      <xdr:row>85</xdr:row>
      <xdr:rowOff>45720</xdr:rowOff>
    </xdr:from>
    <xdr:to>
      <xdr:col>30</xdr:col>
      <xdr:colOff>22860</xdr:colOff>
      <xdr:row>94</xdr:row>
      <xdr:rowOff>91440</xdr:rowOff>
    </xdr:to>
    <xdr:grpSp>
      <xdr:nvGrpSpPr>
        <xdr:cNvPr id="437487" name="Skupina 20"/>
        <xdr:cNvGrpSpPr>
          <a:grpSpLocks/>
        </xdr:cNvGrpSpPr>
      </xdr:nvGrpSpPr>
      <xdr:grpSpPr bwMode="auto">
        <a:xfrm>
          <a:off x="5288280" y="15925800"/>
          <a:ext cx="1173480" cy="1691640"/>
          <a:chOff x="6753225" y="15906750"/>
          <a:chExt cx="1314450" cy="1676400"/>
        </a:xfrm>
      </xdr:grpSpPr>
      <xdr:pic>
        <xdr:nvPicPr>
          <xdr:cNvPr id="437507" name="Picture 329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53225" y="15906750"/>
            <a:ext cx="1057275" cy="1619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7508" name="Obdélník 22"/>
          <xdr:cNvSpPr>
            <a:spLocks noChangeArrowheads="1"/>
          </xdr:cNvSpPr>
        </xdr:nvSpPr>
        <xdr:spPr bwMode="auto">
          <a:xfrm>
            <a:off x="7610475" y="173450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509" name="Obdélník 23"/>
          <xdr:cNvSpPr>
            <a:spLocks noChangeArrowheads="1"/>
          </xdr:cNvSpPr>
        </xdr:nvSpPr>
        <xdr:spPr bwMode="auto">
          <a:xfrm>
            <a:off x="7791450" y="16135350"/>
            <a:ext cx="276225" cy="11906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510" name="Obdélník 24"/>
          <xdr:cNvSpPr>
            <a:spLocks noChangeArrowheads="1"/>
          </xdr:cNvSpPr>
        </xdr:nvSpPr>
        <xdr:spPr bwMode="auto">
          <a:xfrm>
            <a:off x="7781925" y="16125825"/>
            <a:ext cx="276225" cy="2381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17</xdr:col>
      <xdr:colOff>45720</xdr:colOff>
      <xdr:row>86</xdr:row>
      <xdr:rowOff>160020</xdr:rowOff>
    </xdr:from>
    <xdr:to>
      <xdr:col>23</xdr:col>
      <xdr:colOff>68580</xdr:colOff>
      <xdr:row>92</xdr:row>
      <xdr:rowOff>38100</xdr:rowOff>
    </xdr:to>
    <xdr:grpSp>
      <xdr:nvGrpSpPr>
        <xdr:cNvPr id="437488" name="Skupina 25"/>
        <xdr:cNvGrpSpPr>
          <a:grpSpLocks noChangeAspect="1"/>
        </xdr:cNvGrpSpPr>
      </xdr:nvGrpSpPr>
      <xdr:grpSpPr bwMode="auto">
        <a:xfrm>
          <a:off x="3710940" y="16222980"/>
          <a:ext cx="1303020" cy="975360"/>
          <a:chOff x="2076450" y="2228849"/>
          <a:chExt cx="5705476" cy="3749907"/>
        </a:xfrm>
      </xdr:grpSpPr>
      <xdr:sp macro="" textlink="">
        <xdr:nvSpPr>
          <xdr:cNvPr id="43" name="Volný tvar 42"/>
          <xdr:cNvSpPr/>
        </xdr:nvSpPr>
        <xdr:spPr>
          <a:xfrm>
            <a:off x="2076450" y="2228849"/>
            <a:ext cx="5705476" cy="360342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447675 w 5715000"/>
              <a:gd name="connsiteY7" fmla="*/ 11218 h 2114550"/>
              <a:gd name="connsiteX8" fmla="*/ 0 w 5715000"/>
              <a:gd name="connsiteY8" fmla="*/ 9525 h 2114550"/>
              <a:gd name="connsiteX9" fmla="*/ 9525 w 5715000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4438650 w 5705475"/>
              <a:gd name="connsiteY3" fmla="*/ 0 h 2114550"/>
              <a:gd name="connsiteX4" fmla="*/ 3876675 w 5705475"/>
              <a:gd name="connsiteY4" fmla="*/ 171450 h 2114550"/>
              <a:gd name="connsiteX5" fmla="*/ 1866900 w 5705475"/>
              <a:gd name="connsiteY5" fmla="*/ 190500 h 2114550"/>
              <a:gd name="connsiteX6" fmla="*/ 1295400 w 5705475"/>
              <a:gd name="connsiteY6" fmla="*/ 9525 h 2114550"/>
              <a:gd name="connsiteX7" fmla="*/ 438150 w 5705475"/>
              <a:gd name="connsiteY7" fmla="*/ 11218 h 2114550"/>
              <a:gd name="connsiteX8" fmla="*/ 0 w 5705475"/>
              <a:gd name="connsiteY8" fmla="*/ 295578 h 2114550"/>
              <a:gd name="connsiteX9" fmla="*/ 0 w 5705475"/>
              <a:gd name="connsiteY9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695950 w 5705475"/>
              <a:gd name="connsiteY2" fmla="*/ 0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9050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71450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  <a:gd name="connsiteX0" fmla="*/ 0 w 5705475"/>
              <a:gd name="connsiteY0" fmla="*/ 2114550 h 2114550"/>
              <a:gd name="connsiteX1" fmla="*/ 5705475 w 5705475"/>
              <a:gd name="connsiteY1" fmla="*/ 2114550 h 2114550"/>
              <a:gd name="connsiteX2" fmla="*/ 5705475 w 5705475"/>
              <a:gd name="connsiteY2" fmla="*/ 274835 h 2114550"/>
              <a:gd name="connsiteX3" fmla="*/ 5219700 w 5705475"/>
              <a:gd name="connsiteY3" fmla="*/ 1 h 2114550"/>
              <a:gd name="connsiteX4" fmla="*/ 4438650 w 5705475"/>
              <a:gd name="connsiteY4" fmla="*/ 0 h 2114550"/>
              <a:gd name="connsiteX5" fmla="*/ 3876675 w 5705475"/>
              <a:gd name="connsiteY5" fmla="*/ 137797 h 2114550"/>
              <a:gd name="connsiteX6" fmla="*/ 1866900 w 5705475"/>
              <a:gd name="connsiteY6" fmla="*/ 140020 h 2114550"/>
              <a:gd name="connsiteX7" fmla="*/ 1295400 w 5705475"/>
              <a:gd name="connsiteY7" fmla="*/ 9525 h 2114550"/>
              <a:gd name="connsiteX8" fmla="*/ 438150 w 5705475"/>
              <a:gd name="connsiteY8" fmla="*/ 11218 h 2114550"/>
              <a:gd name="connsiteX9" fmla="*/ 0 w 5705475"/>
              <a:gd name="connsiteY9" fmla="*/ 295578 h 2114550"/>
              <a:gd name="connsiteX10" fmla="*/ 0 w 5705475"/>
              <a:gd name="connsiteY10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05475" h="2114550">
                <a:moveTo>
                  <a:pt x="0" y="2114550"/>
                </a:moveTo>
                <a:lnTo>
                  <a:pt x="5705475" y="2114550"/>
                </a:lnTo>
                <a:lnTo>
                  <a:pt x="5705475" y="274835"/>
                </a:lnTo>
                <a:lnTo>
                  <a:pt x="5219700" y="1"/>
                </a:lnTo>
                <a:lnTo>
                  <a:pt x="4438650" y="0"/>
                </a:lnTo>
                <a:lnTo>
                  <a:pt x="3876675" y="137797"/>
                </a:lnTo>
                <a:lnTo>
                  <a:pt x="1866900" y="140020"/>
                </a:lnTo>
                <a:lnTo>
                  <a:pt x="1295400" y="9525"/>
                </a:lnTo>
                <a:lnTo>
                  <a:pt x="438150" y="11218"/>
                </a:lnTo>
                <a:lnTo>
                  <a:pt x="0" y="295578"/>
                </a:lnTo>
                <a:lnTo>
                  <a:pt x="0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4" name="Volný tvar 43"/>
          <xdr:cNvSpPr/>
        </xdr:nvSpPr>
        <xdr:spPr>
          <a:xfrm>
            <a:off x="4578852" y="2258145"/>
            <a:ext cx="633942" cy="3720611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5" name="Elipsa 44"/>
          <xdr:cNvSpPr>
            <a:spLocks noChangeAspect="1"/>
          </xdr:cNvSpPr>
        </xdr:nvSpPr>
        <xdr:spPr>
          <a:xfrm>
            <a:off x="2410104" y="4308876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6" name="Elipsa 45"/>
          <xdr:cNvSpPr>
            <a:spLocks noChangeAspect="1"/>
          </xdr:cNvSpPr>
        </xdr:nvSpPr>
        <xdr:spPr>
          <a:xfrm>
            <a:off x="2410104" y="4953391"/>
            <a:ext cx="233557" cy="205073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7" name="Elipsa 46"/>
          <xdr:cNvSpPr>
            <a:spLocks noChangeAspect="1"/>
          </xdr:cNvSpPr>
        </xdr:nvSpPr>
        <xdr:spPr>
          <a:xfrm>
            <a:off x="7214715" y="4308876"/>
            <a:ext cx="233557" cy="234369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48" name="Elipsa 47"/>
          <xdr:cNvSpPr>
            <a:spLocks noChangeAspect="1"/>
          </xdr:cNvSpPr>
        </xdr:nvSpPr>
        <xdr:spPr>
          <a:xfrm>
            <a:off x="7214715" y="4982687"/>
            <a:ext cx="233557" cy="175777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  <xdr:twoCellAnchor>
    <xdr:from>
      <xdr:col>9</xdr:col>
      <xdr:colOff>114300</xdr:colOff>
      <xdr:row>87</xdr:row>
      <xdr:rowOff>167640</xdr:rowOff>
    </xdr:from>
    <xdr:to>
      <xdr:col>15</xdr:col>
      <xdr:colOff>7620</xdr:colOff>
      <xdr:row>95</xdr:row>
      <xdr:rowOff>91440</xdr:rowOff>
    </xdr:to>
    <xdr:grpSp>
      <xdr:nvGrpSpPr>
        <xdr:cNvPr id="437489" name="Skupina 16"/>
        <xdr:cNvGrpSpPr>
          <a:grpSpLocks noChangeAspect="1"/>
        </xdr:cNvGrpSpPr>
      </xdr:nvGrpSpPr>
      <xdr:grpSpPr bwMode="auto">
        <a:xfrm>
          <a:off x="2072640" y="16413480"/>
          <a:ext cx="1173480" cy="1386840"/>
          <a:chOff x="2905125" y="16459200"/>
          <a:chExt cx="1790701" cy="1866900"/>
        </a:xfrm>
      </xdr:grpSpPr>
      <xdr:pic>
        <xdr:nvPicPr>
          <xdr:cNvPr id="437497" name="Picture 41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05125" y="16478250"/>
            <a:ext cx="1514475" cy="1704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37498" name="Obdélník 18"/>
          <xdr:cNvSpPr>
            <a:spLocks noChangeArrowheads="1"/>
          </xdr:cNvSpPr>
        </xdr:nvSpPr>
        <xdr:spPr bwMode="auto">
          <a:xfrm>
            <a:off x="3981450" y="16459200"/>
            <a:ext cx="485775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499" name="Obdélník 19"/>
          <xdr:cNvSpPr>
            <a:spLocks noChangeArrowheads="1"/>
          </xdr:cNvSpPr>
        </xdr:nvSpPr>
        <xdr:spPr bwMode="auto">
          <a:xfrm>
            <a:off x="4191001" y="17973675"/>
            <a:ext cx="323850" cy="3524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7500" name="Obdélník 20"/>
          <xdr:cNvSpPr>
            <a:spLocks noChangeArrowheads="1"/>
          </xdr:cNvSpPr>
        </xdr:nvSpPr>
        <xdr:spPr bwMode="auto">
          <a:xfrm>
            <a:off x="4371976" y="17087850"/>
            <a:ext cx="323850" cy="85725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</xdr:col>
      <xdr:colOff>198120</xdr:colOff>
      <xdr:row>88</xdr:row>
      <xdr:rowOff>167640</xdr:rowOff>
    </xdr:from>
    <xdr:to>
      <xdr:col>9</xdr:col>
      <xdr:colOff>7620</xdr:colOff>
      <xdr:row>92</xdr:row>
      <xdr:rowOff>38100</xdr:rowOff>
    </xdr:to>
    <xdr:grpSp>
      <xdr:nvGrpSpPr>
        <xdr:cNvPr id="437490" name="Skupina 22"/>
        <xdr:cNvGrpSpPr>
          <a:grpSpLocks noChangeAspect="1"/>
        </xdr:cNvGrpSpPr>
      </xdr:nvGrpSpPr>
      <xdr:grpSpPr bwMode="auto">
        <a:xfrm>
          <a:off x="662940" y="16596360"/>
          <a:ext cx="1303020" cy="601980"/>
          <a:chOff x="2066925" y="3657600"/>
          <a:chExt cx="5715000" cy="2321156"/>
        </a:xfrm>
      </xdr:grpSpPr>
      <xdr:sp macro="" textlink="">
        <xdr:nvSpPr>
          <xdr:cNvPr id="55" name="Volný tvar 54"/>
          <xdr:cNvSpPr/>
        </xdr:nvSpPr>
        <xdr:spPr>
          <a:xfrm>
            <a:off x="2066925" y="3686982"/>
            <a:ext cx="5715000" cy="2144866"/>
          </a:xfrm>
          <a:custGeom>
            <a:avLst/>
            <a:gdLst>
              <a:gd name="connsiteX0" fmla="*/ 9525 w 5715000"/>
              <a:gd name="connsiteY0" fmla="*/ 2114550 h 2114550"/>
              <a:gd name="connsiteX1" fmla="*/ 5715000 w 5715000"/>
              <a:gd name="connsiteY1" fmla="*/ 2114550 h 2114550"/>
              <a:gd name="connsiteX2" fmla="*/ 5705475 w 5715000"/>
              <a:gd name="connsiteY2" fmla="*/ 0 h 2114550"/>
              <a:gd name="connsiteX3" fmla="*/ 4448175 w 5715000"/>
              <a:gd name="connsiteY3" fmla="*/ 0 h 2114550"/>
              <a:gd name="connsiteX4" fmla="*/ 3886200 w 5715000"/>
              <a:gd name="connsiteY4" fmla="*/ 171450 h 2114550"/>
              <a:gd name="connsiteX5" fmla="*/ 1876425 w 5715000"/>
              <a:gd name="connsiteY5" fmla="*/ 190500 h 2114550"/>
              <a:gd name="connsiteX6" fmla="*/ 1304925 w 5715000"/>
              <a:gd name="connsiteY6" fmla="*/ 9525 h 2114550"/>
              <a:gd name="connsiteX7" fmla="*/ 0 w 5715000"/>
              <a:gd name="connsiteY7" fmla="*/ 9525 h 2114550"/>
              <a:gd name="connsiteX8" fmla="*/ 9525 w 5715000"/>
              <a:gd name="connsiteY8" fmla="*/ 2114550 h 2114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715000" h="2114550">
                <a:moveTo>
                  <a:pt x="9525" y="2114550"/>
                </a:moveTo>
                <a:lnTo>
                  <a:pt x="5715000" y="2114550"/>
                </a:lnTo>
                <a:lnTo>
                  <a:pt x="5705475" y="0"/>
                </a:lnTo>
                <a:lnTo>
                  <a:pt x="4448175" y="0"/>
                </a:lnTo>
                <a:lnTo>
                  <a:pt x="3886200" y="171450"/>
                </a:lnTo>
                <a:lnTo>
                  <a:pt x="1876425" y="190500"/>
                </a:lnTo>
                <a:lnTo>
                  <a:pt x="1304925" y="9525"/>
                </a:lnTo>
                <a:lnTo>
                  <a:pt x="0" y="9525"/>
                </a:lnTo>
                <a:lnTo>
                  <a:pt x="9525" y="211455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6" name="Volný tvar 55"/>
          <xdr:cNvSpPr/>
        </xdr:nvSpPr>
        <xdr:spPr>
          <a:xfrm>
            <a:off x="4606925" y="3657600"/>
            <a:ext cx="601579" cy="2321156"/>
          </a:xfrm>
          <a:custGeom>
            <a:avLst/>
            <a:gdLst>
              <a:gd name="connsiteX0" fmla="*/ 161925 w 603902"/>
              <a:gd name="connsiteY0" fmla="*/ 0 h 2321156"/>
              <a:gd name="connsiteX1" fmla="*/ 152400 w 603902"/>
              <a:gd name="connsiteY1" fmla="*/ 323850 h 2321156"/>
              <a:gd name="connsiteX2" fmla="*/ 142875 w 603902"/>
              <a:gd name="connsiteY2" fmla="*/ 361950 h 2321156"/>
              <a:gd name="connsiteX3" fmla="*/ 161925 w 603902"/>
              <a:gd name="connsiteY3" fmla="*/ 704850 h 2321156"/>
              <a:gd name="connsiteX4" fmla="*/ 152400 w 603902"/>
              <a:gd name="connsiteY4" fmla="*/ 857250 h 2321156"/>
              <a:gd name="connsiteX5" fmla="*/ 142875 w 603902"/>
              <a:gd name="connsiteY5" fmla="*/ 904875 h 2321156"/>
              <a:gd name="connsiteX6" fmla="*/ 95250 w 603902"/>
              <a:gd name="connsiteY6" fmla="*/ 990600 h 2321156"/>
              <a:gd name="connsiteX7" fmla="*/ 95250 w 603902"/>
              <a:gd name="connsiteY7" fmla="*/ 1371600 h 2321156"/>
              <a:gd name="connsiteX8" fmla="*/ 57150 w 603902"/>
              <a:gd name="connsiteY8" fmla="*/ 1419225 h 2321156"/>
              <a:gd name="connsiteX9" fmla="*/ 28575 w 603902"/>
              <a:gd name="connsiteY9" fmla="*/ 1514475 h 2321156"/>
              <a:gd name="connsiteX10" fmla="*/ 38100 w 603902"/>
              <a:gd name="connsiteY10" fmla="*/ 1571625 h 2321156"/>
              <a:gd name="connsiteX11" fmla="*/ 47625 w 603902"/>
              <a:gd name="connsiteY11" fmla="*/ 1600200 h 2321156"/>
              <a:gd name="connsiteX12" fmla="*/ 95250 w 603902"/>
              <a:gd name="connsiteY12" fmla="*/ 1657350 h 2321156"/>
              <a:gd name="connsiteX13" fmla="*/ 152400 w 603902"/>
              <a:gd name="connsiteY13" fmla="*/ 1695450 h 2321156"/>
              <a:gd name="connsiteX14" fmla="*/ 123825 w 603902"/>
              <a:gd name="connsiteY14" fmla="*/ 1752600 h 2321156"/>
              <a:gd name="connsiteX15" fmla="*/ 85725 w 603902"/>
              <a:gd name="connsiteY15" fmla="*/ 1790700 h 2321156"/>
              <a:gd name="connsiteX16" fmla="*/ 66675 w 603902"/>
              <a:gd name="connsiteY16" fmla="*/ 1819275 h 2321156"/>
              <a:gd name="connsiteX17" fmla="*/ 19050 w 603902"/>
              <a:gd name="connsiteY17" fmla="*/ 1876425 h 2321156"/>
              <a:gd name="connsiteX18" fmla="*/ 28575 w 603902"/>
              <a:gd name="connsiteY18" fmla="*/ 1990725 h 2321156"/>
              <a:gd name="connsiteX19" fmla="*/ 0 w 603902"/>
              <a:gd name="connsiteY19" fmla="*/ 2295525 h 2321156"/>
              <a:gd name="connsiteX20" fmla="*/ 238125 w 603902"/>
              <a:gd name="connsiteY20" fmla="*/ 2295525 h 2321156"/>
              <a:gd name="connsiteX21" fmla="*/ 419100 w 603902"/>
              <a:gd name="connsiteY21" fmla="*/ 2286000 h 2321156"/>
              <a:gd name="connsiteX22" fmla="*/ 590550 w 603902"/>
              <a:gd name="connsiteY22" fmla="*/ 2295525 h 2321156"/>
              <a:gd name="connsiteX23" fmla="*/ 561975 w 603902"/>
              <a:gd name="connsiteY23" fmla="*/ 2266950 h 2321156"/>
              <a:gd name="connsiteX24" fmla="*/ 542925 w 603902"/>
              <a:gd name="connsiteY24" fmla="*/ 2238375 h 2321156"/>
              <a:gd name="connsiteX25" fmla="*/ 523875 w 603902"/>
              <a:gd name="connsiteY25" fmla="*/ 2181225 h 2321156"/>
              <a:gd name="connsiteX26" fmla="*/ 504825 w 603902"/>
              <a:gd name="connsiteY26" fmla="*/ 2152650 h 2321156"/>
              <a:gd name="connsiteX27" fmla="*/ 485775 w 603902"/>
              <a:gd name="connsiteY27" fmla="*/ 2095500 h 2321156"/>
              <a:gd name="connsiteX28" fmla="*/ 466725 w 603902"/>
              <a:gd name="connsiteY28" fmla="*/ 1962150 h 2321156"/>
              <a:gd name="connsiteX29" fmla="*/ 457200 w 603902"/>
              <a:gd name="connsiteY29" fmla="*/ 1924050 h 2321156"/>
              <a:gd name="connsiteX30" fmla="*/ 447675 w 603902"/>
              <a:gd name="connsiteY30" fmla="*/ 1866900 h 2321156"/>
              <a:gd name="connsiteX31" fmla="*/ 428625 w 603902"/>
              <a:gd name="connsiteY31" fmla="*/ 1828800 h 2321156"/>
              <a:gd name="connsiteX32" fmla="*/ 419100 w 603902"/>
              <a:gd name="connsiteY32" fmla="*/ 1800225 h 2321156"/>
              <a:gd name="connsiteX33" fmla="*/ 428625 w 603902"/>
              <a:gd name="connsiteY33" fmla="*/ 1695450 h 2321156"/>
              <a:gd name="connsiteX34" fmla="*/ 447675 w 603902"/>
              <a:gd name="connsiteY34" fmla="*/ 1666875 h 2321156"/>
              <a:gd name="connsiteX35" fmla="*/ 476250 w 603902"/>
              <a:gd name="connsiteY35" fmla="*/ 1609725 h 2321156"/>
              <a:gd name="connsiteX36" fmla="*/ 504825 w 603902"/>
              <a:gd name="connsiteY36" fmla="*/ 1514475 h 2321156"/>
              <a:gd name="connsiteX37" fmla="*/ 561975 w 603902"/>
              <a:gd name="connsiteY37" fmla="*/ 1428750 h 2321156"/>
              <a:gd name="connsiteX38" fmla="*/ 571500 w 603902"/>
              <a:gd name="connsiteY38" fmla="*/ 1400175 h 2321156"/>
              <a:gd name="connsiteX39" fmla="*/ 561975 w 603902"/>
              <a:gd name="connsiteY39" fmla="*/ 1323975 h 2321156"/>
              <a:gd name="connsiteX40" fmla="*/ 523875 w 603902"/>
              <a:gd name="connsiteY40" fmla="*/ 1247775 h 2321156"/>
              <a:gd name="connsiteX41" fmla="*/ 495300 w 603902"/>
              <a:gd name="connsiteY41" fmla="*/ 1219200 h 2321156"/>
              <a:gd name="connsiteX42" fmla="*/ 485775 w 603902"/>
              <a:gd name="connsiteY42" fmla="*/ 1076325 h 2321156"/>
              <a:gd name="connsiteX43" fmla="*/ 476250 w 603902"/>
              <a:gd name="connsiteY43" fmla="*/ 1047750 h 2321156"/>
              <a:gd name="connsiteX44" fmla="*/ 466725 w 603902"/>
              <a:gd name="connsiteY44" fmla="*/ 942975 h 2321156"/>
              <a:gd name="connsiteX45" fmla="*/ 438150 w 603902"/>
              <a:gd name="connsiteY45" fmla="*/ 866775 h 2321156"/>
              <a:gd name="connsiteX46" fmla="*/ 447675 w 603902"/>
              <a:gd name="connsiteY46" fmla="*/ 723900 h 2321156"/>
              <a:gd name="connsiteX47" fmla="*/ 466725 w 603902"/>
              <a:gd name="connsiteY47" fmla="*/ 666750 h 2321156"/>
              <a:gd name="connsiteX48" fmla="*/ 457200 w 603902"/>
              <a:gd name="connsiteY48" fmla="*/ 552450 h 2321156"/>
              <a:gd name="connsiteX49" fmla="*/ 447675 w 603902"/>
              <a:gd name="connsiteY49" fmla="*/ 523875 h 2321156"/>
              <a:gd name="connsiteX50" fmla="*/ 476250 w 603902"/>
              <a:gd name="connsiteY50" fmla="*/ 466725 h 2321156"/>
              <a:gd name="connsiteX51" fmla="*/ 504825 w 603902"/>
              <a:gd name="connsiteY51" fmla="*/ 409575 h 2321156"/>
              <a:gd name="connsiteX52" fmla="*/ 495300 w 603902"/>
              <a:gd name="connsiteY52" fmla="*/ 323850 h 2321156"/>
              <a:gd name="connsiteX53" fmla="*/ 457200 w 603902"/>
              <a:gd name="connsiteY53" fmla="*/ 19050 h 2321156"/>
              <a:gd name="connsiteX54" fmla="*/ 428625 w 603902"/>
              <a:gd name="connsiteY54" fmla="*/ 9525 h 2321156"/>
              <a:gd name="connsiteX55" fmla="*/ 180975 w 603902"/>
              <a:gd name="connsiteY55" fmla="*/ 0 h 2321156"/>
              <a:gd name="connsiteX56" fmla="*/ 161925 w 603902"/>
              <a:gd name="connsiteY56" fmla="*/ 0 h 23211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3902" h="2321156">
                <a:moveTo>
                  <a:pt x="161925" y="0"/>
                </a:moveTo>
                <a:cubicBezTo>
                  <a:pt x="158750" y="107950"/>
                  <a:pt x="158076" y="216003"/>
                  <a:pt x="152400" y="323850"/>
                </a:cubicBezTo>
                <a:cubicBezTo>
                  <a:pt x="151712" y="336923"/>
                  <a:pt x="142875" y="348859"/>
                  <a:pt x="142875" y="361950"/>
                </a:cubicBezTo>
                <a:cubicBezTo>
                  <a:pt x="142875" y="623171"/>
                  <a:pt x="134739" y="568920"/>
                  <a:pt x="161925" y="704850"/>
                </a:cubicBezTo>
                <a:cubicBezTo>
                  <a:pt x="158750" y="755650"/>
                  <a:pt x="157226" y="806580"/>
                  <a:pt x="152400" y="857250"/>
                </a:cubicBezTo>
                <a:cubicBezTo>
                  <a:pt x="150865" y="873366"/>
                  <a:pt x="149574" y="890137"/>
                  <a:pt x="142875" y="904875"/>
                </a:cubicBezTo>
                <a:cubicBezTo>
                  <a:pt x="60995" y="1085011"/>
                  <a:pt x="128772" y="890035"/>
                  <a:pt x="95250" y="990600"/>
                </a:cubicBezTo>
                <a:cubicBezTo>
                  <a:pt x="101613" y="1105133"/>
                  <a:pt x="115975" y="1259686"/>
                  <a:pt x="95250" y="1371600"/>
                </a:cubicBezTo>
                <a:cubicBezTo>
                  <a:pt x="91548" y="1391590"/>
                  <a:pt x="69850" y="1403350"/>
                  <a:pt x="57150" y="1419225"/>
                </a:cubicBezTo>
                <a:cubicBezTo>
                  <a:pt x="33960" y="1488794"/>
                  <a:pt x="42970" y="1456894"/>
                  <a:pt x="28575" y="1514475"/>
                </a:cubicBezTo>
                <a:cubicBezTo>
                  <a:pt x="31750" y="1533525"/>
                  <a:pt x="33910" y="1552772"/>
                  <a:pt x="38100" y="1571625"/>
                </a:cubicBezTo>
                <a:cubicBezTo>
                  <a:pt x="40278" y="1581426"/>
                  <a:pt x="43135" y="1591220"/>
                  <a:pt x="47625" y="1600200"/>
                </a:cubicBezTo>
                <a:cubicBezTo>
                  <a:pt x="57631" y="1620212"/>
                  <a:pt x="78015" y="1643945"/>
                  <a:pt x="95250" y="1657350"/>
                </a:cubicBezTo>
                <a:cubicBezTo>
                  <a:pt x="113322" y="1671406"/>
                  <a:pt x="152400" y="1695450"/>
                  <a:pt x="152400" y="1695450"/>
                </a:cubicBezTo>
                <a:cubicBezTo>
                  <a:pt x="142875" y="1714500"/>
                  <a:pt x="136039" y="1735152"/>
                  <a:pt x="123825" y="1752600"/>
                </a:cubicBezTo>
                <a:cubicBezTo>
                  <a:pt x="113525" y="1767314"/>
                  <a:pt x="97414" y="1777063"/>
                  <a:pt x="85725" y="1790700"/>
                </a:cubicBezTo>
                <a:cubicBezTo>
                  <a:pt x="78275" y="1799392"/>
                  <a:pt x="74004" y="1810481"/>
                  <a:pt x="66675" y="1819275"/>
                </a:cubicBezTo>
                <a:cubicBezTo>
                  <a:pt x="5559" y="1892614"/>
                  <a:pt x="66348" y="1805479"/>
                  <a:pt x="19050" y="1876425"/>
                </a:cubicBezTo>
                <a:cubicBezTo>
                  <a:pt x="22225" y="1914525"/>
                  <a:pt x="28575" y="1952493"/>
                  <a:pt x="28575" y="1990725"/>
                </a:cubicBezTo>
                <a:cubicBezTo>
                  <a:pt x="28575" y="2094240"/>
                  <a:pt x="14529" y="2193820"/>
                  <a:pt x="0" y="2295525"/>
                </a:cubicBezTo>
                <a:cubicBezTo>
                  <a:pt x="102526" y="2321156"/>
                  <a:pt x="26715" y="2306095"/>
                  <a:pt x="238125" y="2295525"/>
                </a:cubicBezTo>
                <a:lnTo>
                  <a:pt x="419100" y="2286000"/>
                </a:lnTo>
                <a:cubicBezTo>
                  <a:pt x="476250" y="2289175"/>
                  <a:pt x="533814" y="2303090"/>
                  <a:pt x="590550" y="2295525"/>
                </a:cubicBezTo>
                <a:cubicBezTo>
                  <a:pt x="603902" y="2293745"/>
                  <a:pt x="570599" y="2277298"/>
                  <a:pt x="561975" y="2266950"/>
                </a:cubicBezTo>
                <a:cubicBezTo>
                  <a:pt x="554646" y="2258156"/>
                  <a:pt x="547574" y="2248836"/>
                  <a:pt x="542925" y="2238375"/>
                </a:cubicBezTo>
                <a:cubicBezTo>
                  <a:pt x="534770" y="2220025"/>
                  <a:pt x="535014" y="2197933"/>
                  <a:pt x="523875" y="2181225"/>
                </a:cubicBezTo>
                <a:cubicBezTo>
                  <a:pt x="517525" y="2171700"/>
                  <a:pt x="509474" y="2163111"/>
                  <a:pt x="504825" y="2152650"/>
                </a:cubicBezTo>
                <a:cubicBezTo>
                  <a:pt x="496670" y="2134300"/>
                  <a:pt x="492125" y="2114550"/>
                  <a:pt x="485775" y="2095500"/>
                </a:cubicBezTo>
                <a:cubicBezTo>
                  <a:pt x="479779" y="2077513"/>
                  <a:pt x="468390" y="1972140"/>
                  <a:pt x="466725" y="1962150"/>
                </a:cubicBezTo>
                <a:cubicBezTo>
                  <a:pt x="464573" y="1949237"/>
                  <a:pt x="459767" y="1936887"/>
                  <a:pt x="457200" y="1924050"/>
                </a:cubicBezTo>
                <a:cubicBezTo>
                  <a:pt x="453412" y="1905112"/>
                  <a:pt x="453224" y="1885398"/>
                  <a:pt x="447675" y="1866900"/>
                </a:cubicBezTo>
                <a:cubicBezTo>
                  <a:pt x="443595" y="1853300"/>
                  <a:pt x="434218" y="1841851"/>
                  <a:pt x="428625" y="1828800"/>
                </a:cubicBezTo>
                <a:cubicBezTo>
                  <a:pt x="424670" y="1819572"/>
                  <a:pt x="422275" y="1809750"/>
                  <a:pt x="419100" y="1800225"/>
                </a:cubicBezTo>
                <a:cubicBezTo>
                  <a:pt x="422275" y="1765300"/>
                  <a:pt x="421277" y="1729741"/>
                  <a:pt x="428625" y="1695450"/>
                </a:cubicBezTo>
                <a:cubicBezTo>
                  <a:pt x="431024" y="1684256"/>
                  <a:pt x="442555" y="1677114"/>
                  <a:pt x="447675" y="1666875"/>
                </a:cubicBezTo>
                <a:cubicBezTo>
                  <a:pt x="487110" y="1588005"/>
                  <a:pt x="421655" y="1691617"/>
                  <a:pt x="476250" y="1609725"/>
                </a:cubicBezTo>
                <a:cubicBezTo>
                  <a:pt x="481575" y="1588427"/>
                  <a:pt x="495549" y="1528389"/>
                  <a:pt x="504825" y="1514475"/>
                </a:cubicBezTo>
                <a:lnTo>
                  <a:pt x="561975" y="1428750"/>
                </a:lnTo>
                <a:cubicBezTo>
                  <a:pt x="567544" y="1420396"/>
                  <a:pt x="568325" y="1409700"/>
                  <a:pt x="571500" y="1400175"/>
                </a:cubicBezTo>
                <a:cubicBezTo>
                  <a:pt x="568325" y="1374775"/>
                  <a:pt x="567731" y="1348917"/>
                  <a:pt x="561975" y="1323975"/>
                </a:cubicBezTo>
                <a:cubicBezTo>
                  <a:pt x="556388" y="1299764"/>
                  <a:pt x="540549" y="1267784"/>
                  <a:pt x="523875" y="1247775"/>
                </a:cubicBezTo>
                <a:cubicBezTo>
                  <a:pt x="515251" y="1237427"/>
                  <a:pt x="504825" y="1228725"/>
                  <a:pt x="495300" y="1219200"/>
                </a:cubicBezTo>
                <a:cubicBezTo>
                  <a:pt x="492125" y="1171575"/>
                  <a:pt x="491046" y="1123764"/>
                  <a:pt x="485775" y="1076325"/>
                </a:cubicBezTo>
                <a:cubicBezTo>
                  <a:pt x="484666" y="1066346"/>
                  <a:pt x="477670" y="1057689"/>
                  <a:pt x="476250" y="1047750"/>
                </a:cubicBezTo>
                <a:cubicBezTo>
                  <a:pt x="471290" y="1013033"/>
                  <a:pt x="471685" y="977692"/>
                  <a:pt x="466725" y="942975"/>
                </a:cubicBezTo>
                <a:cubicBezTo>
                  <a:pt x="465066" y="931361"/>
                  <a:pt x="438326" y="867215"/>
                  <a:pt x="438150" y="866775"/>
                </a:cubicBezTo>
                <a:cubicBezTo>
                  <a:pt x="441325" y="819150"/>
                  <a:pt x="440925" y="771151"/>
                  <a:pt x="447675" y="723900"/>
                </a:cubicBezTo>
                <a:cubicBezTo>
                  <a:pt x="450515" y="704021"/>
                  <a:pt x="466725" y="666750"/>
                  <a:pt x="466725" y="666750"/>
                </a:cubicBezTo>
                <a:cubicBezTo>
                  <a:pt x="463550" y="628650"/>
                  <a:pt x="462253" y="590347"/>
                  <a:pt x="457200" y="552450"/>
                </a:cubicBezTo>
                <a:cubicBezTo>
                  <a:pt x="455873" y="542498"/>
                  <a:pt x="447675" y="533915"/>
                  <a:pt x="447675" y="523875"/>
                </a:cubicBezTo>
                <a:cubicBezTo>
                  <a:pt x="447675" y="499934"/>
                  <a:pt x="466618" y="485988"/>
                  <a:pt x="476250" y="466725"/>
                </a:cubicBezTo>
                <a:cubicBezTo>
                  <a:pt x="515685" y="387855"/>
                  <a:pt x="450230" y="491467"/>
                  <a:pt x="504825" y="409575"/>
                </a:cubicBezTo>
                <a:cubicBezTo>
                  <a:pt x="501650" y="381000"/>
                  <a:pt x="497505" y="352516"/>
                  <a:pt x="495300" y="323850"/>
                </a:cubicBezTo>
                <a:cubicBezTo>
                  <a:pt x="487981" y="228697"/>
                  <a:pt x="491836" y="111412"/>
                  <a:pt x="457200" y="19050"/>
                </a:cubicBezTo>
                <a:cubicBezTo>
                  <a:pt x="453675" y="9649"/>
                  <a:pt x="438641" y="10216"/>
                  <a:pt x="428625" y="9525"/>
                </a:cubicBezTo>
                <a:cubicBezTo>
                  <a:pt x="346210" y="3841"/>
                  <a:pt x="263525" y="3175"/>
                  <a:pt x="180975" y="0"/>
                </a:cubicBezTo>
                <a:lnTo>
                  <a:pt x="161925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7" name="Elipsa 56"/>
          <xdr:cNvSpPr>
            <a:spLocks noChangeAspect="1"/>
          </xdr:cNvSpPr>
        </xdr:nvSpPr>
        <xdr:spPr>
          <a:xfrm>
            <a:off x="2401136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8" name="Elipsa 57"/>
          <xdr:cNvSpPr>
            <a:spLocks noChangeAspect="1"/>
          </xdr:cNvSpPr>
        </xdr:nvSpPr>
        <xdr:spPr>
          <a:xfrm>
            <a:off x="2401136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59" name="Elipsa 58"/>
          <xdr:cNvSpPr>
            <a:spLocks noChangeAspect="1"/>
          </xdr:cNvSpPr>
        </xdr:nvSpPr>
        <xdr:spPr>
          <a:xfrm>
            <a:off x="7213767" y="4303998"/>
            <a:ext cx="233947" cy="205672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  <xdr:sp macro="" textlink="">
        <xdr:nvSpPr>
          <xdr:cNvPr id="60" name="Elipsa 59"/>
          <xdr:cNvSpPr>
            <a:spLocks noChangeAspect="1"/>
          </xdr:cNvSpPr>
        </xdr:nvSpPr>
        <xdr:spPr>
          <a:xfrm>
            <a:off x="7213767" y="4979777"/>
            <a:ext cx="233947" cy="176290"/>
          </a:xfrm>
          <a:prstGeom prst="ellipse">
            <a:avLst/>
          </a:prstGeom>
          <a:solidFill>
            <a:schemeClr val="bg1"/>
          </a:solidFill>
          <a:ln w="158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k-SK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144780</xdr:colOff>
      <xdr:row>6</xdr:row>
      <xdr:rowOff>114300</xdr:rowOff>
    </xdr:from>
    <xdr:to>
      <xdr:col>22</xdr:col>
      <xdr:colOff>121920</xdr:colOff>
      <xdr:row>14</xdr:row>
      <xdr:rowOff>38100</xdr:rowOff>
    </xdr:to>
    <xdr:pic>
      <xdr:nvPicPr>
        <xdr:cNvPr id="39138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" y="1379220"/>
          <a:ext cx="1897380" cy="1386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22860</xdr:colOff>
      <xdr:row>4</xdr:row>
      <xdr:rowOff>83820</xdr:rowOff>
    </xdr:from>
    <xdr:to>
      <xdr:col>34</xdr:col>
      <xdr:colOff>0</xdr:colOff>
      <xdr:row>13</xdr:row>
      <xdr:rowOff>60960</xdr:rowOff>
    </xdr:to>
    <xdr:pic>
      <xdr:nvPicPr>
        <xdr:cNvPr id="39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98298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39138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434340</xdr:colOff>
      <xdr:row>10</xdr:row>
      <xdr:rowOff>45720</xdr:rowOff>
    </xdr:from>
    <xdr:to>
      <xdr:col>17</xdr:col>
      <xdr:colOff>350520</xdr:colOff>
      <xdr:row>18</xdr:row>
      <xdr:rowOff>106680</xdr:rowOff>
    </xdr:to>
    <xdr:pic>
      <xdr:nvPicPr>
        <xdr:cNvPr id="438290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" y="1798320"/>
          <a:ext cx="96697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91440</xdr:rowOff>
    </xdr:from>
    <xdr:to>
      <xdr:col>16</xdr:col>
      <xdr:colOff>556260</xdr:colOff>
      <xdr:row>23</xdr:row>
      <xdr:rowOff>0</xdr:rowOff>
    </xdr:to>
    <xdr:grpSp>
      <xdr:nvGrpSpPr>
        <xdr:cNvPr id="438291" name="Skupina 8"/>
        <xdr:cNvGrpSpPr>
          <a:grpSpLocks/>
        </xdr:cNvGrpSpPr>
      </xdr:nvGrpSpPr>
      <xdr:grpSpPr bwMode="auto">
        <a:xfrm>
          <a:off x="1219200" y="3771900"/>
          <a:ext cx="9090660" cy="259080"/>
          <a:chOff x="8496300" y="1038225"/>
          <a:chExt cx="10229850" cy="285750"/>
        </a:xfrm>
      </xdr:grpSpPr>
      <xdr:sp macro="" textlink="">
        <xdr:nvSpPr>
          <xdr:cNvPr id="4" name="TextovéPole 3"/>
          <xdr:cNvSpPr txBox="1"/>
        </xdr:nvSpPr>
        <xdr:spPr>
          <a:xfrm>
            <a:off x="9688210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cs-CZ" sz="1100">
                <a:latin typeface="Arial" pitchFamily="34" charset="0"/>
                <a:cs typeface="Arial" pitchFamily="34" charset="0"/>
              </a:rPr>
              <a:t>Úvod</a:t>
            </a:r>
          </a:p>
        </xdr:txBody>
      </xdr:sp>
      <xdr:sp macro="" textlink="">
        <xdr:nvSpPr>
          <xdr:cNvPr id="5" name="TextovéPole 4"/>
          <xdr:cNvSpPr txBox="1"/>
        </xdr:nvSpPr>
        <xdr:spPr>
          <a:xfrm>
            <a:off x="11591837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zásuviek</a:t>
            </a:r>
          </a:p>
        </xdr:txBody>
      </xdr:sp>
      <xdr:sp macro="" textlink="">
        <xdr:nvSpPr>
          <xdr:cNvPr id="6" name="TextovéPole 5"/>
          <xdr:cNvSpPr txBox="1"/>
        </xdr:nvSpPr>
        <xdr:spPr>
          <a:xfrm>
            <a:off x="13023845" y="1038225"/>
            <a:ext cx="1174761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zásuviek</a:t>
            </a:r>
          </a:p>
        </xdr:txBody>
      </xdr:sp>
      <xdr:sp macro="" textlink="">
        <xdr:nvSpPr>
          <xdr:cNvPr id="7" name="TextovéPole 6"/>
          <xdr:cNvSpPr txBox="1"/>
        </xdr:nvSpPr>
        <xdr:spPr>
          <a:xfrm>
            <a:off x="14447277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EASYS</a:t>
            </a:r>
          </a:p>
        </xdr:txBody>
      </xdr:sp>
      <xdr:sp macro="" textlink="">
        <xdr:nvSpPr>
          <xdr:cNvPr id="8" name="TextovéPole 7"/>
          <xdr:cNvSpPr txBox="1"/>
        </xdr:nvSpPr>
        <xdr:spPr>
          <a:xfrm>
            <a:off x="16350904" y="1038225"/>
            <a:ext cx="1183336" cy="285750"/>
          </a:xfrm>
          <a:prstGeom prst="rect">
            <a:avLst/>
          </a:prstGeom>
          <a:solidFill>
            <a:srgbClr val="C0C0C0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25400" dir="13500000" algn="br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Výber EASYS</a:t>
            </a:r>
          </a:p>
        </xdr:txBody>
      </xdr:sp>
      <xdr:sp macro="" textlink="">
        <xdr:nvSpPr>
          <xdr:cNvPr id="9" name="TextovéPole 8"/>
          <xdr:cNvSpPr txBox="1"/>
        </xdr:nvSpPr>
        <xdr:spPr>
          <a:xfrm>
            <a:off x="8496300" y="1038225"/>
            <a:ext cx="951813" cy="285750"/>
          </a:xfrm>
          <a:prstGeom prst="rect">
            <a:avLst/>
          </a:prstGeom>
          <a:solidFill>
            <a:schemeClr val="tx1">
              <a:lumMod val="65000"/>
              <a:lumOff val="3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12700" dir="2700000" algn="tl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cs-CZ" sz="1100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&lt;&lt;&lt;</a:t>
            </a:r>
          </a:p>
        </xdr:txBody>
      </xdr:sp>
      <xdr:sp macro="" textlink="">
        <xdr:nvSpPr>
          <xdr:cNvPr id="10" name="TextovéPole 9"/>
          <xdr:cNvSpPr txBox="1"/>
        </xdr:nvSpPr>
        <xdr:spPr>
          <a:xfrm>
            <a:off x="17774337" y="1038225"/>
            <a:ext cx="951813" cy="285750"/>
          </a:xfrm>
          <a:prstGeom prst="rect">
            <a:avLst/>
          </a:prstGeom>
          <a:solidFill>
            <a:schemeClr val="tx1">
              <a:lumMod val="65000"/>
              <a:lumOff val="3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12700" dist="12700" dir="2700000" algn="tl" rotWithShape="0">
              <a:schemeClr val="tx1">
                <a:alpha val="40000"/>
              </a:scheme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indent="0" algn="ctr"/>
            <a:r>
              <a:rPr lang="cs-CZ" sz="1100" b="1">
                <a:solidFill>
                  <a:schemeClr val="bg1"/>
                </a:solidFill>
                <a:latin typeface="Arial" pitchFamily="34" charset="0"/>
                <a:ea typeface="+mn-ea"/>
                <a:cs typeface="Arial" pitchFamily="34" charset="0"/>
              </a:rPr>
              <a:t>&gt;&gt;&gt;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596265</xdr:colOff>
      <xdr:row>459</xdr:row>
      <xdr:rowOff>28575</xdr:rowOff>
    </xdr:from>
    <xdr:to>
      <xdr:col>1</xdr:col>
      <xdr:colOff>753261</xdr:colOff>
      <xdr:row>460</xdr:row>
      <xdr:rowOff>18075</xdr:rowOff>
    </xdr:to>
    <xdr:sp macro="" textlink="">
      <xdr:nvSpPr>
        <xdr:cNvPr id="10" name="TextovéPole 9"/>
        <xdr:cNvSpPr txBox="1">
          <a:spLocks noChangeAspect="1"/>
        </xdr:cNvSpPr>
      </xdr:nvSpPr>
      <xdr:spPr>
        <a:xfrm>
          <a:off x="781050" y="8315325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2</xdr:col>
      <xdr:colOff>392430</xdr:colOff>
      <xdr:row>0</xdr:row>
      <xdr:rowOff>144780</xdr:rowOff>
    </xdr:from>
    <xdr:to>
      <xdr:col>2</xdr:col>
      <xdr:colOff>1451610</xdr:colOff>
      <xdr:row>2</xdr:row>
      <xdr:rowOff>76200</xdr:rowOff>
    </xdr:to>
    <xdr:sp macro="" textlink="">
      <xdr:nvSpPr>
        <xdr:cNvPr id="27" name="TextovéPole 26">
          <a:hlinkClick xmlns:r="http://schemas.openxmlformats.org/officeDocument/2006/relationships" r:id="rId1"/>
        </xdr:cNvPr>
        <xdr:cNvSpPr txBox="1"/>
      </xdr:nvSpPr>
      <xdr:spPr bwMode="auto">
        <a:xfrm>
          <a:off x="14573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100">
              <a:latin typeface="Arial" pitchFamily="34" charset="0"/>
              <a:cs typeface="Arial" pitchFamily="34" charset="0"/>
            </a:rPr>
            <a:t>Úvod</a:t>
          </a:r>
        </a:p>
      </xdr:txBody>
    </xdr:sp>
    <xdr:clientData/>
  </xdr:twoCellAnchor>
  <xdr:twoCellAnchor>
    <xdr:from>
      <xdr:col>2</xdr:col>
      <xdr:colOff>2106930</xdr:colOff>
      <xdr:row>0</xdr:row>
      <xdr:rowOff>144780</xdr:rowOff>
    </xdr:from>
    <xdr:to>
      <xdr:col>6</xdr:col>
      <xdr:colOff>11430</xdr:colOff>
      <xdr:row>2</xdr:row>
      <xdr:rowOff>76200</xdr:rowOff>
    </xdr:to>
    <xdr:sp macro="" textlink="">
      <xdr:nvSpPr>
        <xdr:cNvPr id="28" name="TextovéPole 27">
          <a:hlinkClick xmlns:r="http://schemas.openxmlformats.org/officeDocument/2006/relationships" r:id="rId2"/>
        </xdr:cNvPr>
        <xdr:cNvSpPr txBox="1"/>
      </xdr:nvSpPr>
      <xdr:spPr bwMode="auto">
        <a:xfrm>
          <a:off x="33623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Výběr zásuvek</a:t>
          </a:r>
        </a:p>
      </xdr:txBody>
    </xdr:sp>
    <xdr:clientData/>
  </xdr:twoCellAnchor>
  <xdr:twoCellAnchor>
    <xdr:from>
      <xdr:col>6</xdr:col>
      <xdr:colOff>236220</xdr:colOff>
      <xdr:row>0</xdr:row>
      <xdr:rowOff>144780</xdr:rowOff>
    </xdr:from>
    <xdr:to>
      <xdr:col>8</xdr:col>
      <xdr:colOff>401982</xdr:colOff>
      <xdr:row>2</xdr:row>
      <xdr:rowOff>76200</xdr:rowOff>
    </xdr:to>
    <xdr:sp macro="" textlink="">
      <xdr:nvSpPr>
        <xdr:cNvPr id="29" name="TextovéPole 28">
          <a:hlinkClick xmlns:r="http://schemas.openxmlformats.org/officeDocument/2006/relationships" r:id="rId3"/>
        </xdr:cNvPr>
        <xdr:cNvSpPr txBox="1"/>
      </xdr:nvSpPr>
      <xdr:spPr bwMode="auto">
        <a:xfrm>
          <a:off x="479107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Výběr doplňků</a:t>
          </a:r>
        </a:p>
      </xdr:txBody>
    </xdr:sp>
    <xdr:clientData/>
  </xdr:twoCellAnchor>
  <xdr:twoCellAnchor>
    <xdr:from>
      <xdr:col>9</xdr:col>
      <xdr:colOff>9525</xdr:colOff>
      <xdr:row>0</xdr:row>
      <xdr:rowOff>144780</xdr:rowOff>
    </xdr:from>
    <xdr:to>
      <xdr:col>11</xdr:col>
      <xdr:colOff>148711</xdr:colOff>
      <xdr:row>2</xdr:row>
      <xdr:rowOff>76200</xdr:rowOff>
    </xdr:to>
    <xdr:sp macro="" textlink="">
      <xdr:nvSpPr>
        <xdr:cNvPr id="30" name="TextovéPole 29"/>
        <xdr:cNvSpPr txBox="1"/>
      </xdr:nvSpPr>
      <xdr:spPr bwMode="auto">
        <a:xfrm>
          <a:off x="62198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Výběr EASYS</a:t>
          </a:r>
        </a:p>
      </xdr:txBody>
    </xdr:sp>
    <xdr:clientData/>
  </xdr:twoCellAnchor>
  <xdr:twoCellAnchor>
    <xdr:from>
      <xdr:col>78</xdr:col>
      <xdr:colOff>80010</xdr:colOff>
      <xdr:row>0</xdr:row>
      <xdr:rowOff>144780</xdr:rowOff>
    </xdr:from>
    <xdr:to>
      <xdr:col>79</xdr:col>
      <xdr:colOff>420846</xdr:colOff>
      <xdr:row>2</xdr:row>
      <xdr:rowOff>76200</xdr:rowOff>
    </xdr:to>
    <xdr:sp macro="" textlink="">
      <xdr:nvSpPr>
        <xdr:cNvPr id="31" name="TextovéPole 30"/>
        <xdr:cNvSpPr txBox="1"/>
      </xdr:nvSpPr>
      <xdr:spPr bwMode="auto">
        <a:xfrm>
          <a:off x="8124825" y="152400"/>
          <a:ext cx="1181100" cy="285750"/>
        </a:xfrm>
        <a:prstGeom prst="rect">
          <a:avLst/>
        </a:prstGeom>
        <a:solidFill>
          <a:srgbClr val="C0C0C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25400" dir="13500000" algn="br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Objednávka</a:t>
          </a:r>
        </a:p>
      </xdr:txBody>
    </xdr:sp>
    <xdr:clientData/>
  </xdr:twoCellAnchor>
  <xdr:twoCellAnchor>
    <xdr:from>
      <xdr:col>1</xdr:col>
      <xdr:colOff>127635</xdr:colOff>
      <xdr:row>0</xdr:row>
      <xdr:rowOff>144780</xdr:rowOff>
    </xdr:from>
    <xdr:to>
      <xdr:col>2</xdr:col>
      <xdr:colOff>184785</xdr:colOff>
      <xdr:row>2</xdr:row>
      <xdr:rowOff>76200</xdr:rowOff>
    </xdr:to>
    <xdr:sp macro="" textlink="">
      <xdr:nvSpPr>
        <xdr:cNvPr id="32" name="TextovéPole 31">
          <a:hlinkClick xmlns:r="http://schemas.openxmlformats.org/officeDocument/2006/relationships" r:id="rId2"/>
        </xdr:cNvPr>
        <xdr:cNvSpPr txBox="1"/>
      </xdr:nvSpPr>
      <xdr:spPr bwMode="auto">
        <a:xfrm>
          <a:off x="266700" y="152400"/>
          <a:ext cx="952500" cy="2857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12700" dir="2700000" algn="tl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1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&lt;&lt;</a:t>
          </a:r>
          <a:r>
            <a:rPr lang="cs-CZ" sz="11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zpět</a:t>
          </a:r>
          <a:endParaRPr lang="cs-CZ" sz="11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80</xdr:col>
      <xdr:colOff>11430</xdr:colOff>
      <xdr:row>0</xdr:row>
      <xdr:rowOff>144780</xdr:rowOff>
    </xdr:from>
    <xdr:to>
      <xdr:col>81</xdr:col>
      <xdr:colOff>255270</xdr:colOff>
      <xdr:row>2</xdr:row>
      <xdr:rowOff>76200</xdr:rowOff>
    </xdr:to>
    <xdr:sp macro="" textlink="">
      <xdr:nvSpPr>
        <xdr:cNvPr id="33" name="TextovéPole 32"/>
        <xdr:cNvSpPr txBox="1"/>
      </xdr:nvSpPr>
      <xdr:spPr bwMode="auto">
        <a:xfrm>
          <a:off x="9544050" y="152400"/>
          <a:ext cx="952500" cy="2857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12700" dist="12700" dir="2700000" algn="tl" rotWithShape="0">
            <a:schemeClr val="tx1">
              <a:alpha val="40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100" b="1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vpřed  &gt;&gt;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601980</xdr:colOff>
          <xdr:row>463</xdr:row>
          <xdr:rowOff>0</xdr:rowOff>
        </xdr:from>
        <xdr:to>
          <xdr:col>12</xdr:col>
          <xdr:colOff>7620</xdr:colOff>
          <xdr:row>464</xdr:row>
          <xdr:rowOff>68580</xdr:rowOff>
        </xdr:to>
        <xdr:sp macro="" textlink="">
          <xdr:nvSpPr>
            <xdr:cNvPr id="83424" name="Button 1504" hidden="1">
              <a:extLst>
                <a:ext uri="{63B3BB69-23CF-44E3-9099-C40C66FF867C}">
                  <a14:compatExt spid="_x0000_s83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VYTVOŘIT  OBJEDNÁVKU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266700</xdr:colOff>
      <xdr:row>6</xdr:row>
      <xdr:rowOff>76200</xdr:rowOff>
    </xdr:from>
    <xdr:to>
      <xdr:col>80</xdr:col>
      <xdr:colOff>358140</xdr:colOff>
      <xdr:row>13</xdr:row>
      <xdr:rowOff>90638</xdr:rowOff>
    </xdr:to>
    <xdr:sp macro="" textlink="">
      <xdr:nvSpPr>
        <xdr:cNvPr id="11" name="Bublinový popisek ve tvaru obláčku 10"/>
        <xdr:cNvSpPr/>
      </xdr:nvSpPr>
      <xdr:spPr bwMode="auto">
        <a:xfrm>
          <a:off x="8991600" y="1082040"/>
          <a:ext cx="3078480" cy="1256498"/>
        </a:xfrm>
        <a:prstGeom prst="cloudCallout">
          <a:avLst>
            <a:gd name="adj1" fmla="val -16180"/>
            <a:gd name="adj2" fmla="val 104029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Odfiltrujte prázdne řádky :</a:t>
          </a:r>
        </a:p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  </a:t>
          </a:r>
        </a:p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zrušte zatržítko u poslední volby '(Prázné)'</a:t>
          </a:r>
        </a:p>
      </xdr:txBody>
    </xdr:sp>
    <xdr:clientData fPrintsWithSheet="0"/>
  </xdr:twoCellAnchor>
  <xdr:twoCellAnchor>
    <xdr:from>
      <xdr:col>2</xdr:col>
      <xdr:colOff>3429000</xdr:colOff>
      <xdr:row>9</xdr:row>
      <xdr:rowOff>22860</xdr:rowOff>
    </xdr:from>
    <xdr:to>
      <xdr:col>11</xdr:col>
      <xdr:colOff>403860</xdr:colOff>
      <xdr:row>21</xdr:row>
      <xdr:rowOff>312420</xdr:rowOff>
    </xdr:to>
    <xdr:sp macro="" textlink="">
      <xdr:nvSpPr>
        <xdr:cNvPr id="3" name="Oblouk 2"/>
        <xdr:cNvSpPr/>
      </xdr:nvSpPr>
      <xdr:spPr bwMode="auto">
        <a:xfrm flipV="1">
          <a:off x="4351020" y="1600200"/>
          <a:ext cx="5692140" cy="2514600"/>
        </a:xfrm>
        <a:prstGeom prst="arc">
          <a:avLst>
            <a:gd name="adj1" fmla="val 16200000"/>
            <a:gd name="adj2" fmla="val 21239849"/>
          </a:avLst>
        </a:prstGeom>
        <a:noFill/>
        <a:ln w="15875" cap="flat" cmpd="sng" algn="ctr">
          <a:solidFill>
            <a:srgbClr val="FF0000"/>
          </a:solidFill>
          <a:prstDash val="solid"/>
          <a:round/>
          <a:headEnd type="triangle" w="med" len="med"/>
          <a:tailEnd type="none" w="med" len="med"/>
        </a:ln>
        <a:effectLst/>
      </xdr:spPr>
      <xdr:txBody>
        <a:bodyPr vertOverflow="clip" horzOverflow="clip" rtlCol="0" anchor="t"/>
        <a:lstStyle/>
        <a:p>
          <a:endParaRPr lang="sk-SK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84</xdr:row>
      <xdr:rowOff>182880</xdr:rowOff>
    </xdr:from>
    <xdr:to>
      <xdr:col>13</xdr:col>
      <xdr:colOff>38100</xdr:colOff>
      <xdr:row>89</xdr:row>
      <xdr:rowOff>99060</xdr:rowOff>
    </xdr:to>
    <xdr:grpSp>
      <xdr:nvGrpSpPr>
        <xdr:cNvPr id="436075" name="Skupina 32"/>
        <xdr:cNvGrpSpPr>
          <a:grpSpLocks/>
        </xdr:cNvGrpSpPr>
      </xdr:nvGrpSpPr>
      <xdr:grpSpPr bwMode="auto">
        <a:xfrm>
          <a:off x="1988820" y="16152796"/>
          <a:ext cx="896754" cy="838601"/>
          <a:chOff x="5762624" y="1547487"/>
          <a:chExt cx="976394" cy="817667"/>
        </a:xfrm>
      </xdr:grpSpPr>
      <xdr:sp macro="" textlink="">
        <xdr:nvSpPr>
          <xdr:cNvPr id="439353" name="Obdélník 34"/>
          <xdr:cNvSpPr>
            <a:spLocks noChangeArrowheads="1"/>
          </xdr:cNvSpPr>
        </xdr:nvSpPr>
        <xdr:spPr bwMode="auto">
          <a:xfrm>
            <a:off x="5829299" y="1662453"/>
            <a:ext cx="771525" cy="58544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4" name="Obdélník 35"/>
          <xdr:cNvSpPr>
            <a:spLocks noChangeArrowheads="1"/>
          </xdr:cNvSpPr>
        </xdr:nvSpPr>
        <xdr:spPr bwMode="auto">
          <a:xfrm>
            <a:off x="5762624" y="1590675"/>
            <a:ext cx="85726" cy="73080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5" name="Volný tvar 36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77390 w 290593"/>
              <a:gd name="T5" fmla="*/ 99635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47</xdr:col>
      <xdr:colOff>91440</xdr:colOff>
      <xdr:row>77</xdr:row>
      <xdr:rowOff>22860</xdr:rowOff>
    </xdr:from>
    <xdr:to>
      <xdr:col>50</xdr:col>
      <xdr:colOff>45720</xdr:colOff>
      <xdr:row>80</xdr:row>
      <xdr:rowOff>129540</xdr:rowOff>
    </xdr:to>
    <xdr:sp macro="" textlink="">
      <xdr:nvSpPr>
        <xdr:cNvPr id="436076" name="Obdélník 23"/>
        <xdr:cNvSpPr>
          <a:spLocks noChangeArrowheads="1"/>
        </xdr:cNvSpPr>
      </xdr:nvSpPr>
      <xdr:spPr bwMode="auto">
        <a:xfrm>
          <a:off x="10157460" y="14485620"/>
          <a:ext cx="594360" cy="6553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91440</xdr:colOff>
      <xdr:row>77</xdr:row>
      <xdr:rowOff>22860</xdr:rowOff>
    </xdr:from>
    <xdr:to>
      <xdr:col>36</xdr:col>
      <xdr:colOff>45720</xdr:colOff>
      <xdr:row>80</xdr:row>
      <xdr:rowOff>129540</xdr:rowOff>
    </xdr:to>
    <xdr:grpSp>
      <xdr:nvGrpSpPr>
        <xdr:cNvPr id="436077" name="Skupina 214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7270282" y="14597113"/>
          <a:ext cx="603985" cy="660132"/>
          <a:chOff x="2202497" y="21642192"/>
          <a:chExt cx="655003" cy="660030"/>
        </a:xfrm>
      </xdr:grpSpPr>
      <xdr:sp macro="" textlink="">
        <xdr:nvSpPr>
          <xdr:cNvPr id="439349" name="Obdélník 23"/>
          <xdr:cNvSpPr>
            <a:spLocks noChangeArrowheads="1"/>
          </xdr:cNvSpPr>
        </xdr:nvSpPr>
        <xdr:spPr bwMode="auto">
          <a:xfrm>
            <a:off x="2202497" y="21642192"/>
            <a:ext cx="655003" cy="6600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50" name="Obdélník 23"/>
          <xdr:cNvSpPr>
            <a:spLocks noChangeArrowheads="1"/>
          </xdr:cNvSpPr>
        </xdr:nvSpPr>
        <xdr:spPr bwMode="auto">
          <a:xfrm>
            <a:off x="2278697" y="21720517"/>
            <a:ext cx="536765" cy="179843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1" name="Obdélník 23"/>
          <xdr:cNvSpPr>
            <a:spLocks noChangeArrowheads="1"/>
          </xdr:cNvSpPr>
        </xdr:nvSpPr>
        <xdr:spPr bwMode="auto">
          <a:xfrm>
            <a:off x="2280702" y="22062365"/>
            <a:ext cx="536755" cy="17764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52" name="Obdélník 24"/>
          <xdr:cNvSpPr>
            <a:spLocks noChangeArrowheads="1"/>
          </xdr:cNvSpPr>
        </xdr:nvSpPr>
        <xdr:spPr bwMode="auto">
          <a:xfrm>
            <a:off x="2227236" y="21664532"/>
            <a:ext cx="60577" cy="609115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18</xdr:col>
      <xdr:colOff>91440</xdr:colOff>
      <xdr:row>77</xdr:row>
      <xdr:rowOff>22860</xdr:rowOff>
    </xdr:from>
    <xdr:to>
      <xdr:col>21</xdr:col>
      <xdr:colOff>45720</xdr:colOff>
      <xdr:row>80</xdr:row>
      <xdr:rowOff>129540</xdr:rowOff>
    </xdr:to>
    <xdr:grpSp>
      <xdr:nvGrpSpPr>
        <xdr:cNvPr id="436078" name="Skupina 214">
          <a:hlinkClick xmlns:r="http://schemas.openxmlformats.org/officeDocument/2006/relationships" r:id="rId2"/>
        </xdr:cNvPr>
        <xdr:cNvGrpSpPr>
          <a:grpSpLocks/>
        </xdr:cNvGrpSpPr>
      </xdr:nvGrpSpPr>
      <xdr:grpSpPr bwMode="auto">
        <a:xfrm>
          <a:off x="4021756" y="14597113"/>
          <a:ext cx="603985" cy="660132"/>
          <a:chOff x="2202497" y="21642192"/>
          <a:chExt cx="655003" cy="660030"/>
        </a:xfrm>
      </xdr:grpSpPr>
      <xdr:sp macro="" textlink="">
        <xdr:nvSpPr>
          <xdr:cNvPr id="439345" name="Obdélník 23"/>
          <xdr:cNvSpPr>
            <a:spLocks noChangeArrowheads="1"/>
          </xdr:cNvSpPr>
        </xdr:nvSpPr>
        <xdr:spPr bwMode="auto">
          <a:xfrm>
            <a:off x="2202497" y="21642192"/>
            <a:ext cx="655003" cy="6600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46" name="Obdélník 23"/>
          <xdr:cNvSpPr>
            <a:spLocks noChangeArrowheads="1"/>
          </xdr:cNvSpPr>
        </xdr:nvSpPr>
        <xdr:spPr bwMode="auto">
          <a:xfrm>
            <a:off x="2278697" y="21754325"/>
            <a:ext cx="536765" cy="14603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7" name="Obdélník 23"/>
          <xdr:cNvSpPr>
            <a:spLocks noChangeArrowheads="1"/>
          </xdr:cNvSpPr>
        </xdr:nvSpPr>
        <xdr:spPr bwMode="auto">
          <a:xfrm>
            <a:off x="2280702" y="22062365"/>
            <a:ext cx="536755" cy="17764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8" name="Obdélník 24"/>
          <xdr:cNvSpPr>
            <a:spLocks noChangeArrowheads="1"/>
          </xdr:cNvSpPr>
        </xdr:nvSpPr>
        <xdr:spPr bwMode="auto">
          <a:xfrm>
            <a:off x="2227236" y="21664532"/>
            <a:ext cx="60577" cy="609115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39</xdr:col>
      <xdr:colOff>22860</xdr:colOff>
      <xdr:row>51</xdr:row>
      <xdr:rowOff>137160</xdr:rowOff>
    </xdr:from>
    <xdr:to>
      <xdr:col>43</xdr:col>
      <xdr:colOff>30480</xdr:colOff>
      <xdr:row>56</xdr:row>
      <xdr:rowOff>53340</xdr:rowOff>
    </xdr:to>
    <xdr:grpSp>
      <xdr:nvGrpSpPr>
        <xdr:cNvPr id="436079" name="Skupina 96">
          <a:hlinkClick xmlns:r="http://schemas.openxmlformats.org/officeDocument/2006/relationships" r:id="rId3"/>
        </xdr:cNvPr>
        <xdr:cNvGrpSpPr>
          <a:grpSpLocks/>
        </xdr:cNvGrpSpPr>
      </xdr:nvGrpSpPr>
      <xdr:grpSpPr bwMode="auto">
        <a:xfrm>
          <a:off x="8501113" y="9706276"/>
          <a:ext cx="873893" cy="838601"/>
          <a:chOff x="9129718" y="4391025"/>
          <a:chExt cx="950195" cy="805761"/>
        </a:xfrm>
      </xdr:grpSpPr>
      <xdr:sp macro="" textlink="">
        <xdr:nvSpPr>
          <xdr:cNvPr id="439341" name="Obdélník 98"/>
          <xdr:cNvSpPr>
            <a:spLocks noChangeArrowheads="1"/>
          </xdr:cNvSpPr>
        </xdr:nvSpPr>
        <xdr:spPr bwMode="auto">
          <a:xfrm>
            <a:off x="9170986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2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3" name="Obdélník 100"/>
          <xdr:cNvSpPr>
            <a:spLocks noChangeArrowheads="1"/>
          </xdr:cNvSpPr>
        </xdr:nvSpPr>
        <xdr:spPr bwMode="auto">
          <a:xfrm>
            <a:off x="9129718" y="4433584"/>
            <a:ext cx="54876" cy="72015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4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10</xdr:col>
      <xdr:colOff>76200</xdr:colOff>
      <xdr:row>7</xdr:row>
      <xdr:rowOff>91440</xdr:rowOff>
    </xdr:from>
    <xdr:to>
      <xdr:col>14</xdr:col>
      <xdr:colOff>91440</xdr:colOff>
      <xdr:row>12</xdr:row>
      <xdr:rowOff>7620</xdr:rowOff>
    </xdr:to>
    <xdr:grpSp>
      <xdr:nvGrpSpPr>
        <xdr:cNvPr id="436080" name="Skupina 21">
          <a:hlinkClick xmlns:r="http://schemas.openxmlformats.org/officeDocument/2006/relationships" r:id="rId4"/>
        </xdr:cNvPr>
        <xdr:cNvGrpSpPr>
          <a:grpSpLocks/>
        </xdr:cNvGrpSpPr>
      </xdr:nvGrpSpPr>
      <xdr:grpSpPr bwMode="auto">
        <a:xfrm>
          <a:off x="2273968" y="1543251"/>
          <a:ext cx="881514" cy="838601"/>
          <a:chOff x="1771649" y="3300087"/>
          <a:chExt cx="976394" cy="817667"/>
        </a:xfrm>
      </xdr:grpSpPr>
      <xdr:sp macro="" textlink="">
        <xdr:nvSpPr>
          <xdr:cNvPr id="439338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9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40" name="Volný tvar 20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24</xdr:col>
      <xdr:colOff>7620</xdr:colOff>
      <xdr:row>7</xdr:row>
      <xdr:rowOff>106680</xdr:rowOff>
    </xdr:from>
    <xdr:to>
      <xdr:col>28</xdr:col>
      <xdr:colOff>30480</xdr:colOff>
      <xdr:row>12</xdr:row>
      <xdr:rowOff>22860</xdr:rowOff>
    </xdr:to>
    <xdr:grpSp>
      <xdr:nvGrpSpPr>
        <xdr:cNvPr id="436081" name="Skupina 31">
          <a:hlinkClick xmlns:r="http://schemas.openxmlformats.org/officeDocument/2006/relationships" r:id="rId5"/>
        </xdr:cNvPr>
        <xdr:cNvGrpSpPr>
          <a:grpSpLocks/>
        </xdr:cNvGrpSpPr>
      </xdr:nvGrpSpPr>
      <xdr:grpSpPr bwMode="auto">
        <a:xfrm>
          <a:off x="5237346" y="1558491"/>
          <a:ext cx="889134" cy="838601"/>
          <a:chOff x="5762624" y="1547487"/>
          <a:chExt cx="976394" cy="817667"/>
        </a:xfrm>
      </xdr:grpSpPr>
      <xdr:sp macro="" textlink="">
        <xdr:nvSpPr>
          <xdr:cNvPr id="439335" name="Obdélník 23"/>
          <xdr:cNvSpPr>
            <a:spLocks noChangeArrowheads="1"/>
          </xdr:cNvSpPr>
        </xdr:nvSpPr>
        <xdr:spPr bwMode="auto">
          <a:xfrm>
            <a:off x="5829299" y="1842331"/>
            <a:ext cx="771525" cy="40557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6" name="Obdélník 24"/>
          <xdr:cNvSpPr>
            <a:spLocks noChangeArrowheads="1"/>
          </xdr:cNvSpPr>
        </xdr:nvSpPr>
        <xdr:spPr bwMode="auto">
          <a:xfrm>
            <a:off x="5762624" y="1666875"/>
            <a:ext cx="85726" cy="65880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7" name="Volný tvar 25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38</xdr:col>
      <xdr:colOff>15240</xdr:colOff>
      <xdr:row>7</xdr:row>
      <xdr:rowOff>106680</xdr:rowOff>
    </xdr:from>
    <xdr:to>
      <xdr:col>42</xdr:col>
      <xdr:colOff>45720</xdr:colOff>
      <xdr:row>12</xdr:row>
      <xdr:rowOff>22860</xdr:rowOff>
    </xdr:to>
    <xdr:grpSp>
      <xdr:nvGrpSpPr>
        <xdr:cNvPr id="436082" name="Skupina 32">
          <a:hlinkClick xmlns:r="http://schemas.openxmlformats.org/officeDocument/2006/relationships" r:id="rId6"/>
        </xdr:cNvPr>
        <xdr:cNvGrpSpPr>
          <a:grpSpLocks/>
        </xdr:cNvGrpSpPr>
      </xdr:nvGrpSpPr>
      <xdr:grpSpPr bwMode="auto">
        <a:xfrm>
          <a:off x="8276924" y="1558491"/>
          <a:ext cx="896754" cy="838601"/>
          <a:chOff x="5762624" y="1547487"/>
          <a:chExt cx="976394" cy="817667"/>
        </a:xfrm>
      </xdr:grpSpPr>
      <xdr:sp macro="" textlink="">
        <xdr:nvSpPr>
          <xdr:cNvPr id="439332" name="Obdélník 34"/>
          <xdr:cNvSpPr>
            <a:spLocks noChangeArrowheads="1"/>
          </xdr:cNvSpPr>
        </xdr:nvSpPr>
        <xdr:spPr bwMode="auto">
          <a:xfrm>
            <a:off x="5829299" y="1662453"/>
            <a:ext cx="771525" cy="58544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3" name="Obdélník 35"/>
          <xdr:cNvSpPr>
            <a:spLocks noChangeArrowheads="1"/>
          </xdr:cNvSpPr>
        </xdr:nvSpPr>
        <xdr:spPr bwMode="auto">
          <a:xfrm>
            <a:off x="5762624" y="1590675"/>
            <a:ext cx="85726" cy="73080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4" name="Volný tvar 36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77390 w 290593"/>
              <a:gd name="T5" fmla="*/ 99635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38</xdr:col>
      <xdr:colOff>30480</xdr:colOff>
      <xdr:row>15</xdr:row>
      <xdr:rowOff>175260</xdr:rowOff>
    </xdr:from>
    <xdr:to>
      <xdr:col>42</xdr:col>
      <xdr:colOff>60960</xdr:colOff>
      <xdr:row>20</xdr:row>
      <xdr:rowOff>91440</xdr:rowOff>
    </xdr:to>
    <xdr:grpSp>
      <xdr:nvGrpSpPr>
        <xdr:cNvPr id="436083" name="Skupina 96">
          <a:hlinkClick xmlns:r="http://schemas.openxmlformats.org/officeDocument/2006/relationships" r:id="rId7"/>
        </xdr:cNvPr>
        <xdr:cNvGrpSpPr>
          <a:grpSpLocks/>
        </xdr:cNvGrpSpPr>
      </xdr:nvGrpSpPr>
      <xdr:grpSpPr bwMode="auto">
        <a:xfrm>
          <a:off x="8292164" y="3102944"/>
          <a:ext cx="896754" cy="838601"/>
          <a:chOff x="9103519" y="4391025"/>
          <a:chExt cx="976394" cy="805761"/>
        </a:xfrm>
      </xdr:grpSpPr>
      <xdr:sp macro="" textlink="">
        <xdr:nvSpPr>
          <xdr:cNvPr id="439328" name="Obdélník 98"/>
          <xdr:cNvSpPr>
            <a:spLocks noChangeArrowheads="1"/>
          </xdr:cNvSpPr>
        </xdr:nvSpPr>
        <xdr:spPr bwMode="auto">
          <a:xfrm>
            <a:off x="9179719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9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0" name="Obdélník 100"/>
          <xdr:cNvSpPr>
            <a:spLocks noChangeArrowheads="1"/>
          </xdr:cNvSpPr>
        </xdr:nvSpPr>
        <xdr:spPr bwMode="auto">
          <a:xfrm>
            <a:off x="9103519" y="4433584"/>
            <a:ext cx="85726" cy="72015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31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10</xdr:col>
      <xdr:colOff>106680</xdr:colOff>
      <xdr:row>25</xdr:row>
      <xdr:rowOff>53340</xdr:rowOff>
    </xdr:from>
    <xdr:to>
      <xdr:col>14</xdr:col>
      <xdr:colOff>106680</xdr:colOff>
      <xdr:row>29</xdr:row>
      <xdr:rowOff>152400</xdr:rowOff>
    </xdr:to>
    <xdr:grpSp>
      <xdr:nvGrpSpPr>
        <xdr:cNvPr id="436084" name="Skupina 102">
          <a:hlinkClick xmlns:r="http://schemas.openxmlformats.org/officeDocument/2006/relationships" r:id="rId8"/>
        </xdr:cNvPr>
        <xdr:cNvGrpSpPr>
          <a:grpSpLocks/>
        </xdr:cNvGrpSpPr>
      </xdr:nvGrpSpPr>
      <xdr:grpSpPr bwMode="auto">
        <a:xfrm>
          <a:off x="2304448" y="4825866"/>
          <a:ext cx="866274" cy="836997"/>
          <a:chOff x="1800224" y="3300087"/>
          <a:chExt cx="947819" cy="817667"/>
        </a:xfrm>
      </xdr:grpSpPr>
      <xdr:sp macro="" textlink="">
        <xdr:nvSpPr>
          <xdr:cNvPr id="439325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6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7" name="Volný tvar 105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25</xdr:col>
      <xdr:colOff>114300</xdr:colOff>
      <xdr:row>25</xdr:row>
      <xdr:rowOff>53340</xdr:rowOff>
    </xdr:from>
    <xdr:to>
      <xdr:col>29</xdr:col>
      <xdr:colOff>121920</xdr:colOff>
      <xdr:row>29</xdr:row>
      <xdr:rowOff>152400</xdr:rowOff>
    </xdr:to>
    <xdr:grpSp>
      <xdr:nvGrpSpPr>
        <xdr:cNvPr id="436085" name="Skupina 106">
          <a:hlinkClick xmlns:r="http://schemas.openxmlformats.org/officeDocument/2006/relationships" r:id="rId9"/>
        </xdr:cNvPr>
        <xdr:cNvGrpSpPr>
          <a:grpSpLocks/>
        </xdr:cNvGrpSpPr>
      </xdr:nvGrpSpPr>
      <xdr:grpSpPr bwMode="auto">
        <a:xfrm>
          <a:off x="5560595" y="4825866"/>
          <a:ext cx="873893" cy="836997"/>
          <a:chOff x="5781674" y="1547487"/>
          <a:chExt cx="957344" cy="817667"/>
        </a:xfrm>
      </xdr:grpSpPr>
      <xdr:sp macro="" textlink="">
        <xdr:nvSpPr>
          <xdr:cNvPr id="439322" name="Obdélník 108"/>
          <xdr:cNvSpPr>
            <a:spLocks noChangeArrowheads="1"/>
          </xdr:cNvSpPr>
        </xdr:nvSpPr>
        <xdr:spPr bwMode="auto">
          <a:xfrm>
            <a:off x="5829299" y="1834512"/>
            <a:ext cx="771526" cy="41338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3" name="Obdélník 109"/>
          <xdr:cNvSpPr>
            <a:spLocks noChangeArrowheads="1"/>
          </xdr:cNvSpPr>
        </xdr:nvSpPr>
        <xdr:spPr bwMode="auto">
          <a:xfrm>
            <a:off x="5781674" y="1666875"/>
            <a:ext cx="54000" cy="622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4" name="Volný tvar 110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59</xdr:col>
      <xdr:colOff>137160</xdr:colOff>
      <xdr:row>1</xdr:row>
      <xdr:rowOff>7620</xdr:rowOff>
    </xdr:from>
    <xdr:to>
      <xdr:col>60</xdr:col>
      <xdr:colOff>480060</xdr:colOff>
      <xdr:row>4</xdr:row>
      <xdr:rowOff>68580</xdr:rowOff>
    </xdr:to>
    <xdr:pic>
      <xdr:nvPicPr>
        <xdr:cNvPr id="43608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67640"/>
          <a:ext cx="96012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64</xdr:row>
      <xdr:rowOff>38100</xdr:rowOff>
    </xdr:from>
    <xdr:to>
      <xdr:col>14</xdr:col>
      <xdr:colOff>83820</xdr:colOff>
      <xdr:row>67</xdr:row>
      <xdr:rowOff>15240</xdr:rowOff>
    </xdr:to>
    <xdr:grpSp>
      <xdr:nvGrpSpPr>
        <xdr:cNvPr id="436087" name="Skupina 21">
          <a:hlinkClick xmlns:r="http://schemas.openxmlformats.org/officeDocument/2006/relationships" r:id="rId11"/>
        </xdr:cNvPr>
        <xdr:cNvGrpSpPr>
          <a:grpSpLocks/>
        </xdr:cNvGrpSpPr>
      </xdr:nvGrpSpPr>
      <xdr:grpSpPr bwMode="auto">
        <a:xfrm>
          <a:off x="2266348" y="12109784"/>
          <a:ext cx="881514" cy="530593"/>
          <a:chOff x="1771649" y="3604335"/>
          <a:chExt cx="976394" cy="513419"/>
        </a:xfrm>
      </xdr:grpSpPr>
      <xdr:sp macro="" textlink="">
        <xdr:nvSpPr>
          <xdr:cNvPr id="439319" name="Obdélník 19"/>
          <xdr:cNvSpPr>
            <a:spLocks noChangeArrowheads="1"/>
          </xdr:cNvSpPr>
        </xdr:nvSpPr>
        <xdr:spPr bwMode="auto">
          <a:xfrm>
            <a:off x="1838324" y="3784983"/>
            <a:ext cx="771525" cy="21551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0" name="Obdélník 18"/>
          <xdr:cNvSpPr>
            <a:spLocks noChangeArrowheads="1"/>
          </xdr:cNvSpPr>
        </xdr:nvSpPr>
        <xdr:spPr bwMode="auto">
          <a:xfrm>
            <a:off x="1771649" y="3715173"/>
            <a:ext cx="85726" cy="35883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21" name="Volný tvar 20"/>
          <xdr:cNvSpPr>
            <a:spLocks/>
          </xdr:cNvSpPr>
        </xdr:nvSpPr>
        <xdr:spPr bwMode="auto">
          <a:xfrm>
            <a:off x="2457450" y="3604335"/>
            <a:ext cx="290593" cy="513419"/>
          </a:xfrm>
          <a:custGeom>
            <a:avLst/>
            <a:gdLst>
              <a:gd name="T0" fmla="*/ 76200 w 290593"/>
              <a:gd name="T1" fmla="*/ 1 h 817667"/>
              <a:gd name="T2" fmla="*/ 76200 w 290593"/>
              <a:gd name="T3" fmla="*/ 1 h 817667"/>
              <a:gd name="T4" fmla="*/ 95250 w 290593"/>
              <a:gd name="T5" fmla="*/ 1 h 817667"/>
              <a:gd name="T6" fmla="*/ 38100 w 290593"/>
              <a:gd name="T7" fmla="*/ 1 h 817667"/>
              <a:gd name="T8" fmla="*/ 85725 w 290593"/>
              <a:gd name="T9" fmla="*/ 1 h 817667"/>
              <a:gd name="T10" fmla="*/ 57150 w 290593"/>
              <a:gd name="T11" fmla="*/ 1 h 817667"/>
              <a:gd name="T12" fmla="*/ 28575 w 290593"/>
              <a:gd name="T13" fmla="*/ 1 h 817667"/>
              <a:gd name="T14" fmla="*/ 28575 w 290593"/>
              <a:gd name="T15" fmla="*/ 1 h 817667"/>
              <a:gd name="T16" fmla="*/ 47625 w 290593"/>
              <a:gd name="T17" fmla="*/ 1 h 817667"/>
              <a:gd name="T18" fmla="*/ 38100 w 290593"/>
              <a:gd name="T19" fmla="*/ 1 h 817667"/>
              <a:gd name="T20" fmla="*/ 9525 w 290593"/>
              <a:gd name="T21" fmla="*/ 1 h 817667"/>
              <a:gd name="T22" fmla="*/ 0 w 290593"/>
              <a:gd name="T23" fmla="*/ 1 h 817667"/>
              <a:gd name="T24" fmla="*/ 19050 w 290593"/>
              <a:gd name="T25" fmla="*/ 1 h 817667"/>
              <a:gd name="T26" fmla="*/ 57150 w 290593"/>
              <a:gd name="T27" fmla="*/ 1 h 817667"/>
              <a:gd name="T28" fmla="*/ 57150 w 290593"/>
              <a:gd name="T29" fmla="*/ 1 h 817667"/>
              <a:gd name="T30" fmla="*/ 266700 w 290593"/>
              <a:gd name="T31" fmla="*/ 1 h 817667"/>
              <a:gd name="T32" fmla="*/ 266700 w 290593"/>
              <a:gd name="T33" fmla="*/ 1 h 817667"/>
              <a:gd name="T34" fmla="*/ 285750 w 290593"/>
              <a:gd name="T35" fmla="*/ 1 h 817667"/>
              <a:gd name="T36" fmla="*/ 76200 w 290593"/>
              <a:gd name="T37" fmla="*/ 1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</xdr:col>
      <xdr:colOff>91440</xdr:colOff>
      <xdr:row>77</xdr:row>
      <xdr:rowOff>22860</xdr:rowOff>
    </xdr:from>
    <xdr:to>
      <xdr:col>7</xdr:col>
      <xdr:colOff>45720</xdr:colOff>
      <xdr:row>80</xdr:row>
      <xdr:rowOff>129540</xdr:rowOff>
    </xdr:to>
    <xdr:grpSp>
      <xdr:nvGrpSpPr>
        <xdr:cNvPr id="436088" name="Skupina 214">
          <a:hlinkClick xmlns:r="http://schemas.openxmlformats.org/officeDocument/2006/relationships" r:id="rId12"/>
        </xdr:cNvPr>
        <xdr:cNvGrpSpPr>
          <a:grpSpLocks/>
        </xdr:cNvGrpSpPr>
      </xdr:nvGrpSpPr>
      <xdr:grpSpPr bwMode="auto">
        <a:xfrm>
          <a:off x="989798" y="14597113"/>
          <a:ext cx="603985" cy="660132"/>
          <a:chOff x="2202497" y="21642192"/>
          <a:chExt cx="655003" cy="660030"/>
        </a:xfrm>
      </xdr:grpSpPr>
      <xdr:sp macro="" textlink="">
        <xdr:nvSpPr>
          <xdr:cNvPr id="439315" name="Obdélník 23"/>
          <xdr:cNvSpPr>
            <a:spLocks noChangeArrowheads="1"/>
          </xdr:cNvSpPr>
        </xdr:nvSpPr>
        <xdr:spPr bwMode="auto">
          <a:xfrm>
            <a:off x="2202497" y="21642192"/>
            <a:ext cx="655003" cy="6600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16" name="Obdélník 23"/>
          <xdr:cNvSpPr>
            <a:spLocks noChangeArrowheads="1"/>
          </xdr:cNvSpPr>
        </xdr:nvSpPr>
        <xdr:spPr bwMode="auto">
          <a:xfrm>
            <a:off x="2278697" y="21794325"/>
            <a:ext cx="536765" cy="10603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7" name="Obdélník 23"/>
          <xdr:cNvSpPr>
            <a:spLocks noChangeArrowheads="1"/>
          </xdr:cNvSpPr>
        </xdr:nvSpPr>
        <xdr:spPr bwMode="auto">
          <a:xfrm>
            <a:off x="2280702" y="22062365"/>
            <a:ext cx="536755" cy="17764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8" name="Obdélník 24"/>
          <xdr:cNvSpPr>
            <a:spLocks noChangeArrowheads="1"/>
          </xdr:cNvSpPr>
        </xdr:nvSpPr>
        <xdr:spPr bwMode="auto">
          <a:xfrm>
            <a:off x="2227236" y="21664532"/>
            <a:ext cx="60577" cy="609115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91440</xdr:colOff>
      <xdr:row>73</xdr:row>
      <xdr:rowOff>106680</xdr:rowOff>
    </xdr:from>
    <xdr:to>
      <xdr:col>14</xdr:col>
      <xdr:colOff>114300</xdr:colOff>
      <xdr:row>78</xdr:row>
      <xdr:rowOff>22860</xdr:rowOff>
    </xdr:to>
    <xdr:grpSp>
      <xdr:nvGrpSpPr>
        <xdr:cNvPr id="436089" name="Skupina 76">
          <a:hlinkClick xmlns:r="http://schemas.openxmlformats.org/officeDocument/2006/relationships" r:id="rId12"/>
        </xdr:cNvPr>
        <xdr:cNvGrpSpPr>
          <a:grpSpLocks/>
        </xdr:cNvGrpSpPr>
      </xdr:nvGrpSpPr>
      <xdr:grpSpPr bwMode="auto">
        <a:xfrm>
          <a:off x="2289208" y="13942996"/>
          <a:ext cx="889134" cy="838601"/>
          <a:chOff x="5762625" y="4438650"/>
          <a:chExt cx="976394" cy="817667"/>
        </a:xfrm>
      </xdr:grpSpPr>
      <xdr:sp macro="" textlink="">
        <xdr:nvSpPr>
          <xdr:cNvPr id="439312" name="Obdélník 79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3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14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</xdr:col>
      <xdr:colOff>182880</xdr:colOff>
      <xdr:row>86</xdr:row>
      <xdr:rowOff>45720</xdr:rowOff>
    </xdr:from>
    <xdr:to>
      <xdr:col>5</xdr:col>
      <xdr:colOff>175260</xdr:colOff>
      <xdr:row>91</xdr:row>
      <xdr:rowOff>129540</xdr:rowOff>
    </xdr:to>
    <xdr:grpSp>
      <xdr:nvGrpSpPr>
        <xdr:cNvPr id="436090" name="Skupina 842"/>
        <xdr:cNvGrpSpPr>
          <a:grpSpLocks/>
        </xdr:cNvGrpSpPr>
      </xdr:nvGrpSpPr>
      <xdr:grpSpPr bwMode="auto">
        <a:xfrm>
          <a:off x="864669" y="16384604"/>
          <a:ext cx="425517" cy="1006241"/>
          <a:chOff x="1123950" y="29319943"/>
          <a:chExt cx="467266" cy="988607"/>
        </a:xfrm>
      </xdr:grpSpPr>
      <xdr:sp macro="" textlink="">
        <xdr:nvSpPr>
          <xdr:cNvPr id="439302" name="Obdélník 23"/>
          <xdr:cNvSpPr>
            <a:spLocks noChangeArrowheads="1"/>
          </xdr:cNvSpPr>
        </xdr:nvSpPr>
        <xdr:spPr bwMode="auto">
          <a:xfrm>
            <a:off x="1132571" y="29319943"/>
            <a:ext cx="458104" cy="98860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9303" name="Obdélník 23"/>
          <xdr:cNvSpPr>
            <a:spLocks noChangeArrowheads="1"/>
          </xdr:cNvSpPr>
        </xdr:nvSpPr>
        <xdr:spPr bwMode="auto">
          <a:xfrm>
            <a:off x="1161146" y="29643793"/>
            <a:ext cx="386809" cy="7744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4" name="Obdélník 23"/>
          <xdr:cNvSpPr>
            <a:spLocks noChangeArrowheads="1"/>
          </xdr:cNvSpPr>
        </xdr:nvSpPr>
        <xdr:spPr bwMode="auto">
          <a:xfrm>
            <a:off x="1162599" y="30116555"/>
            <a:ext cx="386810" cy="15470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5" name="Obdélník 24"/>
          <xdr:cNvSpPr>
            <a:spLocks noChangeArrowheads="1"/>
          </xdr:cNvSpPr>
        </xdr:nvSpPr>
        <xdr:spPr bwMode="auto">
          <a:xfrm>
            <a:off x="1123950" y="29327475"/>
            <a:ext cx="43786" cy="9715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9306" name="Skupina 238"/>
          <xdr:cNvGrpSpPr>
            <a:grpSpLocks/>
          </xdr:cNvGrpSpPr>
        </xdr:nvGrpSpPr>
        <xdr:grpSpPr bwMode="auto">
          <a:xfrm>
            <a:off x="1197831" y="29383678"/>
            <a:ext cx="393385" cy="88091"/>
            <a:chOff x="5711920" y="21697458"/>
            <a:chExt cx="544182" cy="120565"/>
          </a:xfrm>
        </xdr:grpSpPr>
        <xdr:sp macro="" textlink="">
          <xdr:nvSpPr>
            <xdr:cNvPr id="439310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9311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9307" name="Skupina 239"/>
          <xdr:cNvGrpSpPr>
            <a:grpSpLocks/>
          </xdr:cNvGrpSpPr>
        </xdr:nvGrpSpPr>
        <xdr:grpSpPr bwMode="auto">
          <a:xfrm>
            <a:off x="1199286" y="29843133"/>
            <a:ext cx="390485" cy="171864"/>
            <a:chOff x="5713935" y="22326425"/>
            <a:chExt cx="540171" cy="235221"/>
          </a:xfrm>
        </xdr:grpSpPr>
        <xdr:sp macro="" textlink="">
          <xdr:nvSpPr>
            <xdr:cNvPr id="439308" name="Obdélník 23"/>
            <xdr:cNvSpPr>
              <a:spLocks noChangeArrowheads="1"/>
            </xdr:cNvSpPr>
          </xdr:nvSpPr>
          <xdr:spPr bwMode="auto">
            <a:xfrm>
              <a:off x="5719020" y="22343224"/>
              <a:ext cx="535086" cy="20786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9309" name="Obdélník 30"/>
            <xdr:cNvSpPr>
              <a:spLocks noChangeArrowheads="1"/>
            </xdr:cNvSpPr>
          </xdr:nvSpPr>
          <xdr:spPr bwMode="auto">
            <a:xfrm rot="5400000">
              <a:off x="5619724" y="22420636"/>
              <a:ext cx="235221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52</xdr:col>
      <xdr:colOff>15240</xdr:colOff>
      <xdr:row>7</xdr:row>
      <xdr:rowOff>76200</xdr:rowOff>
    </xdr:from>
    <xdr:to>
      <xdr:col>56</xdr:col>
      <xdr:colOff>45720</xdr:colOff>
      <xdr:row>12</xdr:row>
      <xdr:rowOff>121920</xdr:rowOff>
    </xdr:to>
    <xdr:grpSp>
      <xdr:nvGrpSpPr>
        <xdr:cNvPr id="436091" name="Skupina 32">
          <a:hlinkClick xmlns:r="http://schemas.openxmlformats.org/officeDocument/2006/relationships" r:id="rId13"/>
        </xdr:cNvPr>
        <xdr:cNvGrpSpPr>
          <a:grpSpLocks/>
        </xdr:cNvGrpSpPr>
      </xdr:nvGrpSpPr>
      <xdr:grpSpPr bwMode="auto">
        <a:xfrm>
          <a:off x="11308882" y="1528011"/>
          <a:ext cx="896754" cy="968141"/>
          <a:chOff x="5762624" y="1520288"/>
          <a:chExt cx="976394" cy="940714"/>
        </a:xfrm>
      </xdr:grpSpPr>
      <xdr:sp macro="" textlink="">
        <xdr:nvSpPr>
          <xdr:cNvPr id="439299" name="Obdélník 34"/>
          <xdr:cNvSpPr>
            <a:spLocks noChangeArrowheads="1"/>
          </xdr:cNvSpPr>
        </xdr:nvSpPr>
        <xdr:spPr bwMode="auto">
          <a:xfrm>
            <a:off x="5829299" y="1623348"/>
            <a:ext cx="771525" cy="76644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0" name="Obdélník 35"/>
          <xdr:cNvSpPr>
            <a:spLocks noChangeArrowheads="1"/>
          </xdr:cNvSpPr>
        </xdr:nvSpPr>
        <xdr:spPr bwMode="auto">
          <a:xfrm>
            <a:off x="5762624" y="1520288"/>
            <a:ext cx="85726" cy="940714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301" name="Volný tvar 36"/>
          <xdr:cNvSpPr>
            <a:spLocks/>
          </xdr:cNvSpPr>
        </xdr:nvSpPr>
        <xdr:spPr bwMode="auto">
          <a:xfrm>
            <a:off x="6448425" y="1547487"/>
            <a:ext cx="290593" cy="873581"/>
          </a:xfrm>
          <a:custGeom>
            <a:avLst/>
            <a:gdLst>
              <a:gd name="T0" fmla="*/ 76200 w 290593"/>
              <a:gd name="T1" fmla="*/ 48065 h 817667"/>
              <a:gd name="T2" fmla="*/ 76200 w 290593"/>
              <a:gd name="T3" fmla="*/ 48065 h 817667"/>
              <a:gd name="T4" fmla="*/ 77390 w 290593"/>
              <a:gd name="T5" fmla="*/ 327710 h 817667"/>
              <a:gd name="T6" fmla="*/ 38100 w 290593"/>
              <a:gd name="T7" fmla="*/ 549330 h 817667"/>
              <a:gd name="T8" fmla="*/ 85725 w 290593"/>
              <a:gd name="T9" fmla="*/ 705970 h 817667"/>
              <a:gd name="T10" fmla="*/ 57150 w 290593"/>
              <a:gd name="T11" fmla="*/ 1238564 h 817667"/>
              <a:gd name="T12" fmla="*/ 28575 w 290593"/>
              <a:gd name="T13" fmla="*/ 1269896 h 817667"/>
              <a:gd name="T14" fmla="*/ 28575 w 290593"/>
              <a:gd name="T15" fmla="*/ 1614511 h 817667"/>
              <a:gd name="T16" fmla="*/ 47625 w 290593"/>
              <a:gd name="T17" fmla="*/ 1708496 h 817667"/>
              <a:gd name="T18" fmla="*/ 38100 w 290593"/>
              <a:gd name="T19" fmla="*/ 1896472 h 817667"/>
              <a:gd name="T20" fmla="*/ 9525 w 290593"/>
              <a:gd name="T21" fmla="*/ 1927801 h 817667"/>
              <a:gd name="T22" fmla="*/ 0 w 290593"/>
              <a:gd name="T23" fmla="*/ 2021785 h 817667"/>
              <a:gd name="T24" fmla="*/ 19050 w 290593"/>
              <a:gd name="T25" fmla="*/ 2209759 h 817667"/>
              <a:gd name="T26" fmla="*/ 57150 w 290593"/>
              <a:gd name="T27" fmla="*/ 2397737 h 817667"/>
              <a:gd name="T28" fmla="*/ 57150 w 290593"/>
              <a:gd name="T29" fmla="*/ 2679698 h 817667"/>
              <a:gd name="T30" fmla="*/ 266700 w 290593"/>
              <a:gd name="T31" fmla="*/ 2554377 h 817667"/>
              <a:gd name="T32" fmla="*/ 266700 w 290593"/>
              <a:gd name="T33" fmla="*/ 1677168 h 817667"/>
              <a:gd name="T34" fmla="*/ 285750 w 290593"/>
              <a:gd name="T35" fmla="*/ 142048 h 817667"/>
              <a:gd name="T36" fmla="*/ 76200 w 290593"/>
              <a:gd name="T37" fmla="*/ 48065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50</xdr:col>
      <xdr:colOff>0</xdr:colOff>
      <xdr:row>101</xdr:row>
      <xdr:rowOff>91440</xdr:rowOff>
    </xdr:from>
    <xdr:to>
      <xdr:col>58</xdr:col>
      <xdr:colOff>213360</xdr:colOff>
      <xdr:row>110</xdr:row>
      <xdr:rowOff>38100</xdr:rowOff>
    </xdr:to>
    <xdr:pic>
      <xdr:nvPicPr>
        <xdr:cNvPr id="43609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9050000"/>
          <a:ext cx="192024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106680</xdr:colOff>
      <xdr:row>25</xdr:row>
      <xdr:rowOff>129540</xdr:rowOff>
    </xdr:from>
    <xdr:to>
      <xdr:col>43</xdr:col>
      <xdr:colOff>114300</xdr:colOff>
      <xdr:row>29</xdr:row>
      <xdr:rowOff>152400</xdr:rowOff>
    </xdr:to>
    <xdr:grpSp>
      <xdr:nvGrpSpPr>
        <xdr:cNvPr id="436093" name="Skupina 106">
          <a:hlinkClick xmlns:r="http://schemas.openxmlformats.org/officeDocument/2006/relationships" r:id="rId15"/>
        </xdr:cNvPr>
        <xdr:cNvGrpSpPr>
          <a:grpSpLocks/>
        </xdr:cNvGrpSpPr>
      </xdr:nvGrpSpPr>
      <xdr:grpSpPr bwMode="auto">
        <a:xfrm>
          <a:off x="8584933" y="4902066"/>
          <a:ext cx="873893" cy="760797"/>
          <a:chOff x="5781674" y="1627771"/>
          <a:chExt cx="957344" cy="737383"/>
        </a:xfrm>
      </xdr:grpSpPr>
      <xdr:sp macro="" textlink="">
        <xdr:nvSpPr>
          <xdr:cNvPr id="439296" name="Obdélník 108"/>
          <xdr:cNvSpPr>
            <a:spLocks noChangeArrowheads="1"/>
          </xdr:cNvSpPr>
        </xdr:nvSpPr>
        <xdr:spPr bwMode="auto">
          <a:xfrm>
            <a:off x="5829299" y="1680441"/>
            <a:ext cx="771526" cy="5674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297" name="Obdélník 109"/>
          <xdr:cNvSpPr>
            <a:spLocks noChangeArrowheads="1"/>
          </xdr:cNvSpPr>
        </xdr:nvSpPr>
        <xdr:spPr bwMode="auto">
          <a:xfrm>
            <a:off x="5781674" y="1627771"/>
            <a:ext cx="54000" cy="65639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9298" name="Volný tvar 110"/>
          <xdr:cNvSpPr>
            <a:spLocks/>
          </xdr:cNvSpPr>
        </xdr:nvSpPr>
        <xdr:spPr bwMode="auto">
          <a:xfrm>
            <a:off x="6448424" y="1633515"/>
            <a:ext cx="290594" cy="731639"/>
          </a:xfrm>
          <a:custGeom>
            <a:avLst/>
            <a:gdLst>
              <a:gd name="T0" fmla="*/ 76200 w 290593"/>
              <a:gd name="T1" fmla="*/ 1416 h 817667"/>
              <a:gd name="T2" fmla="*/ 76200 w 290593"/>
              <a:gd name="T3" fmla="*/ 1416 h 817667"/>
              <a:gd name="T4" fmla="*/ 95250 w 290593"/>
              <a:gd name="T5" fmla="*/ 14331 h 817667"/>
              <a:gd name="T6" fmla="*/ 38100 w 290593"/>
              <a:gd name="T7" fmla="*/ 16175 h 817667"/>
              <a:gd name="T8" fmla="*/ 85725 w 290593"/>
              <a:gd name="T9" fmla="*/ 20789 h 817667"/>
              <a:gd name="T10" fmla="*/ 57150 w 290593"/>
              <a:gd name="T11" fmla="*/ 36473 h 817667"/>
              <a:gd name="T12" fmla="*/ 28575 w 290593"/>
              <a:gd name="T13" fmla="*/ 37395 h 817667"/>
              <a:gd name="T14" fmla="*/ 28575 w 290593"/>
              <a:gd name="T15" fmla="*/ 47543 h 817667"/>
              <a:gd name="T16" fmla="*/ 47625 w 290593"/>
              <a:gd name="T17" fmla="*/ 50311 h 817667"/>
              <a:gd name="T18" fmla="*/ 38100 w 290593"/>
              <a:gd name="T19" fmla="*/ 55846 h 817667"/>
              <a:gd name="T20" fmla="*/ 9525 w 290593"/>
              <a:gd name="T21" fmla="*/ 56768 h 817667"/>
              <a:gd name="T22" fmla="*/ 0 w 290593"/>
              <a:gd name="T23" fmla="*/ 59536 h 817667"/>
              <a:gd name="T24" fmla="*/ 19050 w 290593"/>
              <a:gd name="T25" fmla="*/ 65072 h 817667"/>
              <a:gd name="T26" fmla="*/ 57150 w 290593"/>
              <a:gd name="T27" fmla="*/ 70608 h 817667"/>
              <a:gd name="T28" fmla="*/ 57150 w 290593"/>
              <a:gd name="T29" fmla="*/ 78910 h 817667"/>
              <a:gd name="T30" fmla="*/ 266721 w 290593"/>
              <a:gd name="T31" fmla="*/ 75219 h 817667"/>
              <a:gd name="T32" fmla="*/ 266721 w 290593"/>
              <a:gd name="T33" fmla="*/ 49388 h 817667"/>
              <a:gd name="T34" fmla="*/ 285771 w 290593"/>
              <a:gd name="T35" fmla="*/ 4183 h 817667"/>
              <a:gd name="T36" fmla="*/ 76200 w 290593"/>
              <a:gd name="T37" fmla="*/ 14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39</xdr:col>
      <xdr:colOff>22860</xdr:colOff>
      <xdr:row>44</xdr:row>
      <xdr:rowOff>0</xdr:rowOff>
    </xdr:from>
    <xdr:to>
      <xdr:col>43</xdr:col>
      <xdr:colOff>30480</xdr:colOff>
      <xdr:row>48</xdr:row>
      <xdr:rowOff>22860</xdr:rowOff>
    </xdr:to>
    <xdr:grpSp>
      <xdr:nvGrpSpPr>
        <xdr:cNvPr id="436094" name="Skupina 106">
          <a:hlinkClick xmlns:r="http://schemas.openxmlformats.org/officeDocument/2006/relationships" r:id="rId16"/>
        </xdr:cNvPr>
        <xdr:cNvGrpSpPr>
          <a:grpSpLocks/>
        </xdr:cNvGrpSpPr>
      </xdr:nvGrpSpPr>
      <xdr:grpSpPr bwMode="auto">
        <a:xfrm>
          <a:off x="8501113" y="8277726"/>
          <a:ext cx="873893" cy="760797"/>
          <a:chOff x="5781674" y="1627771"/>
          <a:chExt cx="957344" cy="737383"/>
        </a:xfrm>
      </xdr:grpSpPr>
      <xdr:sp macro="" textlink="">
        <xdr:nvSpPr>
          <xdr:cNvPr id="436221" name="Obdélník 108"/>
          <xdr:cNvSpPr>
            <a:spLocks noChangeArrowheads="1"/>
          </xdr:cNvSpPr>
        </xdr:nvSpPr>
        <xdr:spPr bwMode="auto">
          <a:xfrm>
            <a:off x="5829299" y="1680441"/>
            <a:ext cx="771526" cy="56746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22" name="Obdélník 109"/>
          <xdr:cNvSpPr>
            <a:spLocks noChangeArrowheads="1"/>
          </xdr:cNvSpPr>
        </xdr:nvSpPr>
        <xdr:spPr bwMode="auto">
          <a:xfrm>
            <a:off x="5781674" y="1627771"/>
            <a:ext cx="54000" cy="656395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23" name="Volný tvar 110"/>
          <xdr:cNvSpPr>
            <a:spLocks/>
          </xdr:cNvSpPr>
        </xdr:nvSpPr>
        <xdr:spPr bwMode="auto">
          <a:xfrm>
            <a:off x="6448424" y="1633515"/>
            <a:ext cx="290594" cy="731639"/>
          </a:xfrm>
          <a:custGeom>
            <a:avLst/>
            <a:gdLst>
              <a:gd name="T0" fmla="*/ 76200 w 290593"/>
              <a:gd name="T1" fmla="*/ 1416 h 817667"/>
              <a:gd name="T2" fmla="*/ 76200 w 290593"/>
              <a:gd name="T3" fmla="*/ 1416 h 817667"/>
              <a:gd name="T4" fmla="*/ 95250 w 290593"/>
              <a:gd name="T5" fmla="*/ 14331 h 817667"/>
              <a:gd name="T6" fmla="*/ 38100 w 290593"/>
              <a:gd name="T7" fmla="*/ 16175 h 817667"/>
              <a:gd name="T8" fmla="*/ 85725 w 290593"/>
              <a:gd name="T9" fmla="*/ 20789 h 817667"/>
              <a:gd name="T10" fmla="*/ 57150 w 290593"/>
              <a:gd name="T11" fmla="*/ 36473 h 817667"/>
              <a:gd name="T12" fmla="*/ 28575 w 290593"/>
              <a:gd name="T13" fmla="*/ 37395 h 817667"/>
              <a:gd name="T14" fmla="*/ 28575 w 290593"/>
              <a:gd name="T15" fmla="*/ 47543 h 817667"/>
              <a:gd name="T16" fmla="*/ 47625 w 290593"/>
              <a:gd name="T17" fmla="*/ 50311 h 817667"/>
              <a:gd name="T18" fmla="*/ 38100 w 290593"/>
              <a:gd name="T19" fmla="*/ 55846 h 817667"/>
              <a:gd name="T20" fmla="*/ 9525 w 290593"/>
              <a:gd name="T21" fmla="*/ 56768 h 817667"/>
              <a:gd name="T22" fmla="*/ 0 w 290593"/>
              <a:gd name="T23" fmla="*/ 59536 h 817667"/>
              <a:gd name="T24" fmla="*/ 19050 w 290593"/>
              <a:gd name="T25" fmla="*/ 65072 h 817667"/>
              <a:gd name="T26" fmla="*/ 57150 w 290593"/>
              <a:gd name="T27" fmla="*/ 70608 h 817667"/>
              <a:gd name="T28" fmla="*/ 57150 w 290593"/>
              <a:gd name="T29" fmla="*/ 78910 h 817667"/>
              <a:gd name="T30" fmla="*/ 266721 w 290593"/>
              <a:gd name="T31" fmla="*/ 75219 h 817667"/>
              <a:gd name="T32" fmla="*/ 266721 w 290593"/>
              <a:gd name="T33" fmla="*/ 49388 h 817667"/>
              <a:gd name="T34" fmla="*/ 285771 w 290593"/>
              <a:gd name="T35" fmla="*/ 4183 h 817667"/>
              <a:gd name="T36" fmla="*/ 76200 w 290593"/>
              <a:gd name="T37" fmla="*/ 14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39</xdr:col>
      <xdr:colOff>106680</xdr:colOff>
      <xdr:row>34</xdr:row>
      <xdr:rowOff>7620</xdr:rowOff>
    </xdr:from>
    <xdr:to>
      <xdr:col>43</xdr:col>
      <xdr:colOff>114300</xdr:colOff>
      <xdr:row>38</xdr:row>
      <xdr:rowOff>114300</xdr:rowOff>
    </xdr:to>
    <xdr:grpSp>
      <xdr:nvGrpSpPr>
        <xdr:cNvPr id="436095" name="Skupina 96">
          <a:hlinkClick xmlns:r="http://schemas.openxmlformats.org/officeDocument/2006/relationships" r:id="rId17"/>
        </xdr:cNvPr>
        <xdr:cNvGrpSpPr>
          <a:grpSpLocks/>
        </xdr:cNvGrpSpPr>
      </xdr:nvGrpSpPr>
      <xdr:grpSpPr bwMode="auto">
        <a:xfrm>
          <a:off x="8584933" y="6440504"/>
          <a:ext cx="873893" cy="844617"/>
          <a:chOff x="9129718" y="4391025"/>
          <a:chExt cx="950195" cy="805761"/>
        </a:xfrm>
      </xdr:grpSpPr>
      <xdr:sp macro="" textlink="">
        <xdr:nvSpPr>
          <xdr:cNvPr id="436217" name="Obdélník 98"/>
          <xdr:cNvSpPr>
            <a:spLocks noChangeArrowheads="1"/>
          </xdr:cNvSpPr>
        </xdr:nvSpPr>
        <xdr:spPr bwMode="auto">
          <a:xfrm>
            <a:off x="9170986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8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9" name="Obdélník 100"/>
          <xdr:cNvSpPr>
            <a:spLocks noChangeArrowheads="1"/>
          </xdr:cNvSpPr>
        </xdr:nvSpPr>
        <xdr:spPr bwMode="auto">
          <a:xfrm>
            <a:off x="9129718" y="4433584"/>
            <a:ext cx="50886" cy="72015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20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39</xdr:col>
      <xdr:colOff>68580</xdr:colOff>
      <xdr:row>73</xdr:row>
      <xdr:rowOff>106680</xdr:rowOff>
    </xdr:from>
    <xdr:to>
      <xdr:col>43</xdr:col>
      <xdr:colOff>91440</xdr:colOff>
      <xdr:row>78</xdr:row>
      <xdr:rowOff>22860</xdr:rowOff>
    </xdr:to>
    <xdr:grpSp>
      <xdr:nvGrpSpPr>
        <xdr:cNvPr id="436096" name="Skupina 76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8546833" y="13942996"/>
          <a:ext cx="889133" cy="838601"/>
          <a:chOff x="5762625" y="4438650"/>
          <a:chExt cx="976394" cy="817667"/>
        </a:xfrm>
      </xdr:grpSpPr>
      <xdr:sp macro="" textlink="">
        <xdr:nvSpPr>
          <xdr:cNvPr id="436214" name="Obdélník 79"/>
          <xdr:cNvSpPr>
            <a:spLocks noChangeArrowheads="1"/>
          </xdr:cNvSpPr>
        </xdr:nvSpPr>
        <xdr:spPr bwMode="auto">
          <a:xfrm>
            <a:off x="5829300" y="4608363"/>
            <a:ext cx="771525" cy="53002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5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6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53</xdr:col>
      <xdr:colOff>68580</xdr:colOff>
      <xdr:row>74</xdr:row>
      <xdr:rowOff>68580</xdr:rowOff>
    </xdr:from>
    <xdr:to>
      <xdr:col>57</xdr:col>
      <xdr:colOff>91440</xdr:colOff>
      <xdr:row>78</xdr:row>
      <xdr:rowOff>167640</xdr:rowOff>
    </xdr:to>
    <xdr:grpSp>
      <xdr:nvGrpSpPr>
        <xdr:cNvPr id="436097" name="Skupina 76">
          <a:hlinkClick xmlns:r="http://schemas.openxmlformats.org/officeDocument/2006/relationships" r:id="rId18"/>
        </xdr:cNvPr>
        <xdr:cNvGrpSpPr>
          <a:grpSpLocks/>
        </xdr:cNvGrpSpPr>
      </xdr:nvGrpSpPr>
      <xdr:grpSpPr bwMode="auto">
        <a:xfrm>
          <a:off x="11578791" y="14089380"/>
          <a:ext cx="889133" cy="836997"/>
          <a:chOff x="5762625" y="4438650"/>
          <a:chExt cx="976394" cy="817667"/>
        </a:xfrm>
      </xdr:grpSpPr>
      <xdr:sp macro="" textlink="">
        <xdr:nvSpPr>
          <xdr:cNvPr id="436210" name="Obdélník 78"/>
          <xdr:cNvSpPr>
            <a:spLocks noChangeArrowheads="1"/>
          </xdr:cNvSpPr>
        </xdr:nvSpPr>
        <xdr:spPr bwMode="auto">
          <a:xfrm>
            <a:off x="5838825" y="4638264"/>
            <a:ext cx="771525" cy="376780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1" name="Obdélník 79"/>
          <xdr:cNvSpPr>
            <a:spLocks noChangeArrowheads="1"/>
          </xdr:cNvSpPr>
        </xdr:nvSpPr>
        <xdr:spPr bwMode="auto">
          <a:xfrm>
            <a:off x="5829300" y="5030686"/>
            <a:ext cx="771525" cy="10770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2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13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25</xdr:col>
      <xdr:colOff>91440</xdr:colOff>
      <xdr:row>73</xdr:row>
      <xdr:rowOff>106680</xdr:rowOff>
    </xdr:from>
    <xdr:to>
      <xdr:col>29</xdr:col>
      <xdr:colOff>114300</xdr:colOff>
      <xdr:row>78</xdr:row>
      <xdr:rowOff>22860</xdr:rowOff>
    </xdr:to>
    <xdr:grpSp>
      <xdr:nvGrpSpPr>
        <xdr:cNvPr id="436098" name="Skupina 76">
          <a:hlinkClick xmlns:r="http://schemas.openxmlformats.org/officeDocument/2006/relationships" r:id="rId2"/>
        </xdr:cNvPr>
        <xdr:cNvGrpSpPr>
          <a:grpSpLocks/>
        </xdr:cNvGrpSpPr>
      </xdr:nvGrpSpPr>
      <xdr:grpSpPr bwMode="auto">
        <a:xfrm>
          <a:off x="5537735" y="13942996"/>
          <a:ext cx="889133" cy="838601"/>
          <a:chOff x="5762625" y="4438650"/>
          <a:chExt cx="976394" cy="817667"/>
        </a:xfrm>
      </xdr:grpSpPr>
      <xdr:sp macro="" textlink="">
        <xdr:nvSpPr>
          <xdr:cNvPr id="436207" name="Obdélník 79"/>
          <xdr:cNvSpPr>
            <a:spLocks noChangeArrowheads="1"/>
          </xdr:cNvSpPr>
        </xdr:nvSpPr>
        <xdr:spPr bwMode="auto">
          <a:xfrm>
            <a:off x="5829300" y="4741317"/>
            <a:ext cx="771525" cy="397074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8" name="Obdélník 80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9" name="Volný tvar 81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47</xdr:col>
      <xdr:colOff>114300</xdr:colOff>
      <xdr:row>77</xdr:row>
      <xdr:rowOff>45720</xdr:rowOff>
    </xdr:from>
    <xdr:to>
      <xdr:col>50</xdr:col>
      <xdr:colOff>15240</xdr:colOff>
      <xdr:row>80</xdr:row>
      <xdr:rowOff>99060</xdr:rowOff>
    </xdr:to>
    <xdr:grpSp>
      <xdr:nvGrpSpPr>
        <xdr:cNvPr id="436099" name="Skupina 2">
          <a:hlinkClick xmlns:r="http://schemas.openxmlformats.org/officeDocument/2006/relationships" r:id="rId18"/>
        </xdr:cNvPr>
        <xdr:cNvGrpSpPr>
          <a:grpSpLocks/>
        </xdr:cNvGrpSpPr>
      </xdr:nvGrpSpPr>
      <xdr:grpSpPr bwMode="auto">
        <a:xfrm>
          <a:off x="10325100" y="14619973"/>
          <a:ext cx="550645" cy="606792"/>
          <a:chOff x="10116367" y="14456058"/>
          <a:chExt cx="533476" cy="602709"/>
        </a:xfrm>
      </xdr:grpSpPr>
      <xdr:sp macro="" textlink="">
        <xdr:nvSpPr>
          <xdr:cNvPr id="436202" name="Obdélník 23"/>
          <xdr:cNvSpPr>
            <a:spLocks noChangeArrowheads="1"/>
          </xdr:cNvSpPr>
        </xdr:nvSpPr>
        <xdr:spPr bwMode="auto">
          <a:xfrm>
            <a:off x="10162713" y="14643686"/>
            <a:ext cx="483414" cy="4571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3" name="Obdélník 23"/>
          <xdr:cNvSpPr>
            <a:spLocks noChangeArrowheads="1"/>
          </xdr:cNvSpPr>
        </xdr:nvSpPr>
        <xdr:spPr bwMode="auto">
          <a:xfrm>
            <a:off x="10164519" y="14979759"/>
            <a:ext cx="483405" cy="4571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4" name="Obdélník 23"/>
          <xdr:cNvSpPr>
            <a:spLocks noChangeArrowheads="1"/>
          </xdr:cNvSpPr>
        </xdr:nvSpPr>
        <xdr:spPr bwMode="auto">
          <a:xfrm>
            <a:off x="10162713" y="14503524"/>
            <a:ext cx="483414" cy="1189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5" name="Obdélník 23"/>
          <xdr:cNvSpPr>
            <a:spLocks noChangeArrowheads="1"/>
          </xdr:cNvSpPr>
        </xdr:nvSpPr>
        <xdr:spPr bwMode="auto">
          <a:xfrm>
            <a:off x="10166429" y="14838023"/>
            <a:ext cx="483414" cy="118947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6" name="Obdélník 24"/>
          <xdr:cNvSpPr>
            <a:spLocks noChangeArrowheads="1"/>
          </xdr:cNvSpPr>
        </xdr:nvSpPr>
        <xdr:spPr bwMode="auto">
          <a:xfrm>
            <a:off x="10116367" y="14456058"/>
            <a:ext cx="54556" cy="60270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83820</xdr:colOff>
      <xdr:row>84</xdr:row>
      <xdr:rowOff>106680</xdr:rowOff>
    </xdr:from>
    <xdr:to>
      <xdr:col>14</xdr:col>
      <xdr:colOff>99060</xdr:colOff>
      <xdr:row>88</xdr:row>
      <xdr:rowOff>60960</xdr:rowOff>
    </xdr:to>
    <xdr:grpSp>
      <xdr:nvGrpSpPr>
        <xdr:cNvPr id="436100" name="Skupina 21"/>
        <xdr:cNvGrpSpPr>
          <a:grpSpLocks/>
        </xdr:cNvGrpSpPr>
      </xdr:nvGrpSpPr>
      <xdr:grpSpPr bwMode="auto">
        <a:xfrm>
          <a:off x="2281588" y="16076596"/>
          <a:ext cx="881514" cy="692217"/>
          <a:chOff x="1771649" y="3440863"/>
          <a:chExt cx="976394" cy="676891"/>
        </a:xfrm>
      </xdr:grpSpPr>
      <xdr:sp macro="" textlink="">
        <xdr:nvSpPr>
          <xdr:cNvPr id="436199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0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201" name="Volný tvar 20"/>
          <xdr:cNvSpPr>
            <a:spLocks/>
          </xdr:cNvSpPr>
        </xdr:nvSpPr>
        <xdr:spPr bwMode="auto">
          <a:xfrm>
            <a:off x="2457450" y="3440863"/>
            <a:ext cx="290593" cy="676891"/>
          </a:xfrm>
          <a:custGeom>
            <a:avLst/>
            <a:gdLst>
              <a:gd name="T0" fmla="*/ 76200 w 290593"/>
              <a:gd name="T1" fmla="*/ 1037 h 817667"/>
              <a:gd name="T2" fmla="*/ 76200 w 290593"/>
              <a:gd name="T3" fmla="*/ 1037 h 817667"/>
              <a:gd name="T4" fmla="*/ 95250 w 290593"/>
              <a:gd name="T5" fmla="*/ 10504 h 817667"/>
              <a:gd name="T6" fmla="*/ 38100 w 290593"/>
              <a:gd name="T7" fmla="*/ 11856 h 817667"/>
              <a:gd name="T8" fmla="*/ 85725 w 290593"/>
              <a:gd name="T9" fmla="*/ 15236 h 817667"/>
              <a:gd name="T10" fmla="*/ 57150 w 290593"/>
              <a:gd name="T11" fmla="*/ 26732 h 817667"/>
              <a:gd name="T12" fmla="*/ 28575 w 290593"/>
              <a:gd name="T13" fmla="*/ 27407 h 817667"/>
              <a:gd name="T14" fmla="*/ 28575 w 290593"/>
              <a:gd name="T15" fmla="*/ 34846 h 817667"/>
              <a:gd name="T16" fmla="*/ 47625 w 290593"/>
              <a:gd name="T17" fmla="*/ 36874 h 817667"/>
              <a:gd name="T18" fmla="*/ 38100 w 290593"/>
              <a:gd name="T19" fmla="*/ 40931 h 817667"/>
              <a:gd name="T20" fmla="*/ 9525 w 290593"/>
              <a:gd name="T21" fmla="*/ 41608 h 817667"/>
              <a:gd name="T22" fmla="*/ 0 w 290593"/>
              <a:gd name="T23" fmla="*/ 43636 h 817667"/>
              <a:gd name="T24" fmla="*/ 19050 w 290593"/>
              <a:gd name="T25" fmla="*/ 47692 h 817667"/>
              <a:gd name="T26" fmla="*/ 57150 w 290593"/>
              <a:gd name="T27" fmla="*/ 51750 h 817667"/>
              <a:gd name="T28" fmla="*/ 57150 w 290593"/>
              <a:gd name="T29" fmla="*/ 57836 h 817667"/>
              <a:gd name="T30" fmla="*/ 266700 w 290593"/>
              <a:gd name="T31" fmla="*/ 55131 h 817667"/>
              <a:gd name="T32" fmla="*/ 266700 w 290593"/>
              <a:gd name="T33" fmla="*/ 36198 h 817667"/>
              <a:gd name="T34" fmla="*/ 285750 w 290593"/>
              <a:gd name="T35" fmla="*/ 3066 h 817667"/>
              <a:gd name="T36" fmla="*/ 76200 w 290593"/>
              <a:gd name="T37" fmla="*/ 1037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22</xdr:col>
      <xdr:colOff>144780</xdr:colOff>
      <xdr:row>85</xdr:row>
      <xdr:rowOff>129540</xdr:rowOff>
    </xdr:from>
    <xdr:to>
      <xdr:col>26</xdr:col>
      <xdr:colOff>175260</xdr:colOff>
      <xdr:row>90</xdr:row>
      <xdr:rowOff>45720</xdr:rowOff>
    </xdr:to>
    <xdr:grpSp>
      <xdr:nvGrpSpPr>
        <xdr:cNvPr id="436101" name="Skupina 96"/>
        <xdr:cNvGrpSpPr>
          <a:grpSpLocks/>
        </xdr:cNvGrpSpPr>
      </xdr:nvGrpSpPr>
      <xdr:grpSpPr bwMode="auto">
        <a:xfrm>
          <a:off x="4941369" y="16283940"/>
          <a:ext cx="896754" cy="838601"/>
          <a:chOff x="9103519" y="4391025"/>
          <a:chExt cx="976394" cy="805761"/>
        </a:xfrm>
      </xdr:grpSpPr>
      <xdr:sp macro="" textlink="">
        <xdr:nvSpPr>
          <xdr:cNvPr id="436195" name="Obdélník 98"/>
          <xdr:cNvSpPr>
            <a:spLocks noChangeArrowheads="1"/>
          </xdr:cNvSpPr>
        </xdr:nvSpPr>
        <xdr:spPr bwMode="auto">
          <a:xfrm>
            <a:off x="9179719" y="4484886"/>
            <a:ext cx="771525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6" name="Obdélník 99"/>
          <xdr:cNvSpPr>
            <a:spLocks noChangeArrowheads="1"/>
          </xdr:cNvSpPr>
        </xdr:nvSpPr>
        <xdr:spPr bwMode="auto">
          <a:xfrm>
            <a:off x="9170194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7" name="Obdélník 100"/>
          <xdr:cNvSpPr>
            <a:spLocks noChangeArrowheads="1"/>
          </xdr:cNvSpPr>
        </xdr:nvSpPr>
        <xdr:spPr bwMode="auto">
          <a:xfrm>
            <a:off x="9103519" y="4433584"/>
            <a:ext cx="85726" cy="72015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8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24</xdr:col>
      <xdr:colOff>0</xdr:colOff>
      <xdr:row>84</xdr:row>
      <xdr:rowOff>91440</xdr:rowOff>
    </xdr:from>
    <xdr:to>
      <xdr:col>28</xdr:col>
      <xdr:colOff>15240</xdr:colOff>
      <xdr:row>89</xdr:row>
      <xdr:rowOff>7620</xdr:rowOff>
    </xdr:to>
    <xdr:grpSp>
      <xdr:nvGrpSpPr>
        <xdr:cNvPr id="436102" name="Skupina 21"/>
        <xdr:cNvGrpSpPr>
          <a:grpSpLocks/>
        </xdr:cNvGrpSpPr>
      </xdr:nvGrpSpPr>
      <xdr:grpSpPr bwMode="auto">
        <a:xfrm>
          <a:off x="5229726" y="16061356"/>
          <a:ext cx="881514" cy="838601"/>
          <a:chOff x="1771649" y="3300087"/>
          <a:chExt cx="976394" cy="817667"/>
        </a:xfrm>
      </xdr:grpSpPr>
      <xdr:sp macro="" textlink="">
        <xdr:nvSpPr>
          <xdr:cNvPr id="436192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3" name="Obdélník 18"/>
          <xdr:cNvSpPr>
            <a:spLocks noChangeArrowheads="1"/>
          </xdr:cNvSpPr>
        </xdr:nvSpPr>
        <xdr:spPr bwMode="auto">
          <a:xfrm>
            <a:off x="1771649" y="3562350"/>
            <a:ext cx="85726" cy="48040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94" name="Volný tvar 20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17</xdr:col>
      <xdr:colOff>182880</xdr:colOff>
      <xdr:row>86</xdr:row>
      <xdr:rowOff>45720</xdr:rowOff>
    </xdr:from>
    <xdr:to>
      <xdr:col>19</xdr:col>
      <xdr:colOff>198120</xdr:colOff>
      <xdr:row>91</xdr:row>
      <xdr:rowOff>129540</xdr:rowOff>
    </xdr:to>
    <xdr:grpSp>
      <xdr:nvGrpSpPr>
        <xdr:cNvPr id="436103" name="Skupina 3"/>
        <xdr:cNvGrpSpPr>
          <a:grpSpLocks/>
        </xdr:cNvGrpSpPr>
      </xdr:nvGrpSpPr>
      <xdr:grpSpPr bwMode="auto">
        <a:xfrm>
          <a:off x="3896627" y="16384604"/>
          <a:ext cx="448377" cy="1006241"/>
          <a:chOff x="3821835" y="16187420"/>
          <a:chExt cx="436899" cy="993987"/>
        </a:xfrm>
      </xdr:grpSpPr>
      <xdr:sp macro="" textlink="">
        <xdr:nvSpPr>
          <xdr:cNvPr id="436179" name="Obdélník 23"/>
          <xdr:cNvSpPr>
            <a:spLocks noChangeArrowheads="1"/>
          </xdr:cNvSpPr>
        </xdr:nvSpPr>
        <xdr:spPr bwMode="auto">
          <a:xfrm>
            <a:off x="3829494" y="16187420"/>
            <a:ext cx="429240" cy="99398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grpSp>
        <xdr:nvGrpSpPr>
          <xdr:cNvPr id="436180" name="Skupina 2"/>
          <xdr:cNvGrpSpPr>
            <a:grpSpLocks/>
          </xdr:cNvGrpSpPr>
        </xdr:nvGrpSpPr>
        <xdr:grpSpPr bwMode="auto">
          <a:xfrm>
            <a:off x="3849694" y="16984133"/>
            <a:ext cx="352800" cy="155686"/>
            <a:chOff x="3849694" y="16984133"/>
            <a:chExt cx="352800" cy="155686"/>
          </a:xfrm>
        </xdr:grpSpPr>
        <xdr:sp macro="" textlink="">
          <xdr:nvSpPr>
            <xdr:cNvPr id="436190" name="Obdélník 23"/>
            <xdr:cNvSpPr>
              <a:spLocks noChangeArrowheads="1"/>
            </xdr:cNvSpPr>
          </xdr:nvSpPr>
          <xdr:spPr bwMode="auto">
            <a:xfrm>
              <a:off x="3849694" y="17103819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91" name="Obdélník 23"/>
            <xdr:cNvSpPr>
              <a:spLocks noChangeArrowheads="1"/>
            </xdr:cNvSpPr>
          </xdr:nvSpPr>
          <xdr:spPr bwMode="auto">
            <a:xfrm>
              <a:off x="3849694" y="16984133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81" name="Obdélník 23"/>
          <xdr:cNvSpPr>
            <a:spLocks noChangeArrowheads="1"/>
          </xdr:cNvSpPr>
        </xdr:nvSpPr>
        <xdr:spPr bwMode="auto">
          <a:xfrm>
            <a:off x="3854880" y="16513032"/>
            <a:ext cx="343644" cy="7786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82" name="Skupina 238"/>
          <xdr:cNvGrpSpPr>
            <a:grpSpLocks/>
          </xdr:cNvGrpSpPr>
        </xdr:nvGrpSpPr>
        <xdr:grpSpPr bwMode="auto">
          <a:xfrm>
            <a:off x="3887471" y="16251502"/>
            <a:ext cx="349486" cy="88570"/>
            <a:chOff x="5711920" y="21697458"/>
            <a:chExt cx="544182" cy="120565"/>
          </a:xfrm>
        </xdr:grpSpPr>
        <xdr:sp macro="" textlink="">
          <xdr:nvSpPr>
            <xdr:cNvPr id="436188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89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83" name="Skupina 1"/>
          <xdr:cNvGrpSpPr>
            <a:grpSpLocks/>
          </xdr:cNvGrpSpPr>
        </xdr:nvGrpSpPr>
        <xdr:grpSpPr bwMode="auto">
          <a:xfrm>
            <a:off x="3888762" y="16713561"/>
            <a:ext cx="356068" cy="172800"/>
            <a:chOff x="3888762" y="16713561"/>
            <a:chExt cx="356068" cy="172800"/>
          </a:xfrm>
        </xdr:grpSpPr>
        <xdr:sp macro="" textlink="">
          <xdr:nvSpPr>
            <xdr:cNvPr id="436185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86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87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84" name="Obdélník 24"/>
          <xdr:cNvSpPr>
            <a:spLocks noChangeArrowheads="1"/>
          </xdr:cNvSpPr>
        </xdr:nvSpPr>
        <xdr:spPr bwMode="auto">
          <a:xfrm>
            <a:off x="3821835" y="16194993"/>
            <a:ext cx="38900" cy="97683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22</xdr:col>
      <xdr:colOff>144780</xdr:colOff>
      <xdr:row>94</xdr:row>
      <xdr:rowOff>129540</xdr:rowOff>
    </xdr:from>
    <xdr:to>
      <xdr:col>26</xdr:col>
      <xdr:colOff>175260</xdr:colOff>
      <xdr:row>99</xdr:row>
      <xdr:rowOff>45720</xdr:rowOff>
    </xdr:to>
    <xdr:grpSp>
      <xdr:nvGrpSpPr>
        <xdr:cNvPr id="436104" name="Skupina 96"/>
        <xdr:cNvGrpSpPr>
          <a:grpSpLocks/>
        </xdr:cNvGrpSpPr>
      </xdr:nvGrpSpPr>
      <xdr:grpSpPr bwMode="auto">
        <a:xfrm>
          <a:off x="4941369" y="17944298"/>
          <a:ext cx="896754" cy="838601"/>
          <a:chOff x="9103519" y="4391025"/>
          <a:chExt cx="976394" cy="805761"/>
        </a:xfrm>
      </xdr:grpSpPr>
      <xdr:sp macro="" textlink="">
        <xdr:nvSpPr>
          <xdr:cNvPr id="436175" name="Obdélník 98"/>
          <xdr:cNvSpPr>
            <a:spLocks noChangeArrowheads="1"/>
          </xdr:cNvSpPr>
        </xdr:nvSpPr>
        <xdr:spPr bwMode="auto">
          <a:xfrm>
            <a:off x="9150142" y="4484886"/>
            <a:ext cx="801101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6" name="Obdélník 99"/>
          <xdr:cNvSpPr>
            <a:spLocks noChangeArrowheads="1"/>
          </xdr:cNvSpPr>
        </xdr:nvSpPr>
        <xdr:spPr bwMode="auto">
          <a:xfrm>
            <a:off x="9146635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7" name="Obdélník 100"/>
          <xdr:cNvSpPr>
            <a:spLocks noChangeArrowheads="1"/>
          </xdr:cNvSpPr>
        </xdr:nvSpPr>
        <xdr:spPr bwMode="auto">
          <a:xfrm>
            <a:off x="9103519" y="4433584"/>
            <a:ext cx="52095" cy="72015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8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24</xdr:col>
      <xdr:colOff>0</xdr:colOff>
      <xdr:row>93</xdr:row>
      <xdr:rowOff>91440</xdr:rowOff>
    </xdr:from>
    <xdr:to>
      <xdr:col>28</xdr:col>
      <xdr:colOff>15240</xdr:colOff>
      <xdr:row>98</xdr:row>
      <xdr:rowOff>7620</xdr:rowOff>
    </xdr:to>
    <xdr:grpSp>
      <xdr:nvGrpSpPr>
        <xdr:cNvPr id="436105" name="Skupina 21"/>
        <xdr:cNvGrpSpPr>
          <a:grpSpLocks/>
        </xdr:cNvGrpSpPr>
      </xdr:nvGrpSpPr>
      <xdr:grpSpPr bwMode="auto">
        <a:xfrm>
          <a:off x="5229726" y="17721714"/>
          <a:ext cx="881514" cy="838601"/>
          <a:chOff x="1771649" y="3300087"/>
          <a:chExt cx="976394" cy="817667"/>
        </a:xfrm>
      </xdr:grpSpPr>
      <xdr:sp macro="" textlink="">
        <xdr:nvSpPr>
          <xdr:cNvPr id="436172" name="Obdélník 19"/>
          <xdr:cNvSpPr>
            <a:spLocks noChangeArrowheads="1"/>
          </xdr:cNvSpPr>
        </xdr:nvSpPr>
        <xdr:spPr bwMode="auto">
          <a:xfrm>
            <a:off x="1819603" y="3695700"/>
            <a:ext cx="790246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3" name="Obdélník 18"/>
          <xdr:cNvSpPr>
            <a:spLocks noChangeArrowheads="1"/>
          </xdr:cNvSpPr>
        </xdr:nvSpPr>
        <xdr:spPr bwMode="auto">
          <a:xfrm>
            <a:off x="1771649" y="3562350"/>
            <a:ext cx="53016" cy="480409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4" name="Volný tvar 20"/>
          <xdr:cNvSpPr>
            <a:spLocks/>
          </xdr:cNvSpPr>
        </xdr:nvSpPr>
        <xdr:spPr bwMode="auto">
          <a:xfrm>
            <a:off x="2457450" y="33000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9</xdr:col>
      <xdr:colOff>7620</xdr:colOff>
      <xdr:row>93</xdr:row>
      <xdr:rowOff>167640</xdr:rowOff>
    </xdr:from>
    <xdr:to>
      <xdr:col>13</xdr:col>
      <xdr:colOff>38100</xdr:colOff>
      <xdr:row>98</xdr:row>
      <xdr:rowOff>83820</xdr:rowOff>
    </xdr:to>
    <xdr:grpSp>
      <xdr:nvGrpSpPr>
        <xdr:cNvPr id="436106" name="Skupina 32"/>
        <xdr:cNvGrpSpPr>
          <a:grpSpLocks/>
        </xdr:cNvGrpSpPr>
      </xdr:nvGrpSpPr>
      <xdr:grpSpPr bwMode="auto">
        <a:xfrm>
          <a:off x="1988820" y="17797914"/>
          <a:ext cx="896754" cy="838601"/>
          <a:chOff x="5762624" y="1547487"/>
          <a:chExt cx="976394" cy="817667"/>
        </a:xfrm>
      </xdr:grpSpPr>
      <xdr:sp macro="" textlink="">
        <xdr:nvSpPr>
          <xdr:cNvPr id="436169" name="Obdélník 34"/>
          <xdr:cNvSpPr>
            <a:spLocks noChangeArrowheads="1"/>
          </xdr:cNvSpPr>
        </xdr:nvSpPr>
        <xdr:spPr bwMode="auto">
          <a:xfrm>
            <a:off x="5805531" y="1662453"/>
            <a:ext cx="795293" cy="58544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0" name="Obdélník 35"/>
          <xdr:cNvSpPr>
            <a:spLocks noChangeArrowheads="1"/>
          </xdr:cNvSpPr>
        </xdr:nvSpPr>
        <xdr:spPr bwMode="auto">
          <a:xfrm>
            <a:off x="5762624" y="1590675"/>
            <a:ext cx="52095" cy="730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71" name="Volný tvar 36"/>
          <xdr:cNvSpPr>
            <a:spLocks/>
          </xdr:cNvSpPr>
        </xdr:nvSpPr>
        <xdr:spPr bwMode="auto">
          <a:xfrm>
            <a:off x="6448425" y="1547487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77390 w 290593"/>
              <a:gd name="T5" fmla="*/ 99635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10</xdr:col>
      <xdr:colOff>83820</xdr:colOff>
      <xdr:row>93</xdr:row>
      <xdr:rowOff>91440</xdr:rowOff>
    </xdr:from>
    <xdr:to>
      <xdr:col>14</xdr:col>
      <xdr:colOff>99060</xdr:colOff>
      <xdr:row>97</xdr:row>
      <xdr:rowOff>45720</xdr:rowOff>
    </xdr:to>
    <xdr:grpSp>
      <xdr:nvGrpSpPr>
        <xdr:cNvPr id="436107" name="Skupina 21"/>
        <xdr:cNvGrpSpPr>
          <a:grpSpLocks/>
        </xdr:cNvGrpSpPr>
      </xdr:nvGrpSpPr>
      <xdr:grpSpPr bwMode="auto">
        <a:xfrm>
          <a:off x="2281588" y="17721714"/>
          <a:ext cx="881514" cy="692217"/>
          <a:chOff x="1771649" y="3440863"/>
          <a:chExt cx="976394" cy="676891"/>
        </a:xfrm>
      </xdr:grpSpPr>
      <xdr:sp macro="" textlink="">
        <xdr:nvSpPr>
          <xdr:cNvPr id="436166" name="Obdélník 19"/>
          <xdr:cNvSpPr>
            <a:spLocks noChangeArrowheads="1"/>
          </xdr:cNvSpPr>
        </xdr:nvSpPr>
        <xdr:spPr bwMode="auto">
          <a:xfrm>
            <a:off x="1815062" y="3695700"/>
            <a:ext cx="794788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67" name="Obdélník 18"/>
          <xdr:cNvSpPr>
            <a:spLocks noChangeArrowheads="1"/>
          </xdr:cNvSpPr>
        </xdr:nvSpPr>
        <xdr:spPr bwMode="auto">
          <a:xfrm>
            <a:off x="1771649" y="3562350"/>
            <a:ext cx="53016" cy="51435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68" name="Volný tvar 20"/>
          <xdr:cNvSpPr>
            <a:spLocks/>
          </xdr:cNvSpPr>
        </xdr:nvSpPr>
        <xdr:spPr bwMode="auto">
          <a:xfrm>
            <a:off x="2457450" y="3440863"/>
            <a:ext cx="290593" cy="676891"/>
          </a:xfrm>
          <a:custGeom>
            <a:avLst/>
            <a:gdLst>
              <a:gd name="T0" fmla="*/ 76200 w 290593"/>
              <a:gd name="T1" fmla="*/ 1037 h 817667"/>
              <a:gd name="T2" fmla="*/ 76200 w 290593"/>
              <a:gd name="T3" fmla="*/ 1037 h 817667"/>
              <a:gd name="T4" fmla="*/ 95250 w 290593"/>
              <a:gd name="T5" fmla="*/ 10504 h 817667"/>
              <a:gd name="T6" fmla="*/ 38100 w 290593"/>
              <a:gd name="T7" fmla="*/ 11856 h 817667"/>
              <a:gd name="T8" fmla="*/ 85725 w 290593"/>
              <a:gd name="T9" fmla="*/ 15236 h 817667"/>
              <a:gd name="T10" fmla="*/ 57150 w 290593"/>
              <a:gd name="T11" fmla="*/ 26732 h 817667"/>
              <a:gd name="T12" fmla="*/ 28575 w 290593"/>
              <a:gd name="T13" fmla="*/ 27407 h 817667"/>
              <a:gd name="T14" fmla="*/ 28575 w 290593"/>
              <a:gd name="T15" fmla="*/ 34846 h 817667"/>
              <a:gd name="T16" fmla="*/ 47625 w 290593"/>
              <a:gd name="T17" fmla="*/ 36874 h 817667"/>
              <a:gd name="T18" fmla="*/ 38100 w 290593"/>
              <a:gd name="T19" fmla="*/ 40931 h 817667"/>
              <a:gd name="T20" fmla="*/ 9525 w 290593"/>
              <a:gd name="T21" fmla="*/ 41608 h 817667"/>
              <a:gd name="T22" fmla="*/ 0 w 290593"/>
              <a:gd name="T23" fmla="*/ 43636 h 817667"/>
              <a:gd name="T24" fmla="*/ 19050 w 290593"/>
              <a:gd name="T25" fmla="*/ 47692 h 817667"/>
              <a:gd name="T26" fmla="*/ 57150 w 290593"/>
              <a:gd name="T27" fmla="*/ 51750 h 817667"/>
              <a:gd name="T28" fmla="*/ 57150 w 290593"/>
              <a:gd name="T29" fmla="*/ 57836 h 817667"/>
              <a:gd name="T30" fmla="*/ 266700 w 290593"/>
              <a:gd name="T31" fmla="*/ 55131 h 817667"/>
              <a:gd name="T32" fmla="*/ 266700 w 290593"/>
              <a:gd name="T33" fmla="*/ 36198 h 817667"/>
              <a:gd name="T34" fmla="*/ 285750 w 290593"/>
              <a:gd name="T35" fmla="*/ 3066 h 817667"/>
              <a:gd name="T36" fmla="*/ 76200 w 290593"/>
              <a:gd name="T37" fmla="*/ 1037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3</xdr:col>
      <xdr:colOff>182880</xdr:colOff>
      <xdr:row>95</xdr:row>
      <xdr:rowOff>30480</xdr:rowOff>
    </xdr:from>
    <xdr:to>
      <xdr:col>5</xdr:col>
      <xdr:colOff>175260</xdr:colOff>
      <xdr:row>100</xdr:row>
      <xdr:rowOff>114300</xdr:rowOff>
    </xdr:to>
    <xdr:grpSp>
      <xdr:nvGrpSpPr>
        <xdr:cNvPr id="436108" name="Skupina 6"/>
        <xdr:cNvGrpSpPr>
          <a:grpSpLocks/>
        </xdr:cNvGrpSpPr>
      </xdr:nvGrpSpPr>
      <xdr:grpSpPr bwMode="auto">
        <a:xfrm>
          <a:off x="864669" y="18029722"/>
          <a:ext cx="425517" cy="1006241"/>
          <a:chOff x="854290" y="17809673"/>
          <a:chExt cx="415122" cy="993987"/>
        </a:xfrm>
      </xdr:grpSpPr>
      <xdr:sp macro="" textlink="">
        <xdr:nvSpPr>
          <xdr:cNvPr id="436152" name="Obdélník 23"/>
          <xdr:cNvSpPr>
            <a:spLocks noChangeArrowheads="1"/>
          </xdr:cNvSpPr>
        </xdr:nvSpPr>
        <xdr:spPr bwMode="auto">
          <a:xfrm>
            <a:off x="861949" y="17809673"/>
            <a:ext cx="406982" cy="99398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6153" name="Obdélník 24"/>
          <xdr:cNvSpPr>
            <a:spLocks noChangeArrowheads="1"/>
          </xdr:cNvSpPr>
        </xdr:nvSpPr>
        <xdr:spPr bwMode="auto">
          <a:xfrm>
            <a:off x="854290" y="17817246"/>
            <a:ext cx="38900" cy="97683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54" name="Skupina 238"/>
          <xdr:cNvGrpSpPr>
            <a:grpSpLocks/>
          </xdr:cNvGrpSpPr>
        </xdr:nvGrpSpPr>
        <xdr:grpSpPr bwMode="auto">
          <a:xfrm>
            <a:off x="919926" y="17873755"/>
            <a:ext cx="349486" cy="88570"/>
            <a:chOff x="5711920" y="21697458"/>
            <a:chExt cx="544182" cy="120565"/>
          </a:xfrm>
        </xdr:grpSpPr>
        <xdr:sp macro="" textlink="">
          <xdr:nvSpPr>
            <xdr:cNvPr id="436164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65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55" name="Skupina 239"/>
          <xdr:cNvGrpSpPr>
            <a:grpSpLocks/>
          </xdr:cNvGrpSpPr>
        </xdr:nvGrpSpPr>
        <xdr:grpSpPr bwMode="auto">
          <a:xfrm>
            <a:off x="921219" y="18335710"/>
            <a:ext cx="346909" cy="172799"/>
            <a:chOff x="5713935" y="22326425"/>
            <a:chExt cx="540171" cy="235221"/>
          </a:xfrm>
        </xdr:grpSpPr>
        <xdr:sp macro="" textlink="">
          <xdr:nvSpPr>
            <xdr:cNvPr id="436162" name="Obdélník 23"/>
            <xdr:cNvSpPr>
              <a:spLocks noChangeArrowheads="1"/>
            </xdr:cNvSpPr>
          </xdr:nvSpPr>
          <xdr:spPr bwMode="auto">
            <a:xfrm>
              <a:off x="5719020" y="22343224"/>
              <a:ext cx="535086" cy="20786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63" name="Obdélník 30"/>
            <xdr:cNvSpPr>
              <a:spLocks noChangeArrowheads="1"/>
            </xdr:cNvSpPr>
          </xdr:nvSpPr>
          <xdr:spPr bwMode="auto">
            <a:xfrm rot="5400000">
              <a:off x="5619724" y="22420636"/>
              <a:ext cx="235221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56" name="Skupina 238"/>
          <xdr:cNvGrpSpPr>
            <a:grpSpLocks/>
          </xdr:cNvGrpSpPr>
        </xdr:nvGrpSpPr>
        <xdr:grpSpPr bwMode="auto">
          <a:xfrm>
            <a:off x="919926" y="18123519"/>
            <a:ext cx="349486" cy="88570"/>
            <a:chOff x="5711920" y="21697458"/>
            <a:chExt cx="544182" cy="120565"/>
          </a:xfrm>
        </xdr:grpSpPr>
        <xdr:sp macro="" textlink="">
          <xdr:nvSpPr>
            <xdr:cNvPr id="436160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61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57" name="Skupina 239"/>
          <xdr:cNvGrpSpPr>
            <a:grpSpLocks/>
          </xdr:cNvGrpSpPr>
        </xdr:nvGrpSpPr>
        <xdr:grpSpPr bwMode="auto">
          <a:xfrm>
            <a:off x="921219" y="18598174"/>
            <a:ext cx="346909" cy="172799"/>
            <a:chOff x="5713935" y="22326425"/>
            <a:chExt cx="540171" cy="235221"/>
          </a:xfrm>
        </xdr:grpSpPr>
        <xdr:sp macro="" textlink="">
          <xdr:nvSpPr>
            <xdr:cNvPr id="436158" name="Obdélník 23"/>
            <xdr:cNvSpPr>
              <a:spLocks noChangeArrowheads="1"/>
            </xdr:cNvSpPr>
          </xdr:nvSpPr>
          <xdr:spPr bwMode="auto">
            <a:xfrm>
              <a:off x="5719020" y="22343224"/>
              <a:ext cx="535086" cy="20786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59" name="Obdélník 30"/>
            <xdr:cNvSpPr>
              <a:spLocks noChangeArrowheads="1"/>
            </xdr:cNvSpPr>
          </xdr:nvSpPr>
          <xdr:spPr bwMode="auto">
            <a:xfrm rot="5400000">
              <a:off x="5619724" y="22420636"/>
              <a:ext cx="235221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17</xdr:col>
      <xdr:colOff>182880</xdr:colOff>
      <xdr:row>95</xdr:row>
      <xdr:rowOff>45720</xdr:rowOff>
    </xdr:from>
    <xdr:to>
      <xdr:col>19</xdr:col>
      <xdr:colOff>198120</xdr:colOff>
      <xdr:row>100</xdr:row>
      <xdr:rowOff>129540</xdr:rowOff>
    </xdr:to>
    <xdr:grpSp>
      <xdr:nvGrpSpPr>
        <xdr:cNvPr id="436109" name="Skupina 7"/>
        <xdr:cNvGrpSpPr>
          <a:grpSpLocks/>
        </xdr:cNvGrpSpPr>
      </xdr:nvGrpSpPr>
      <xdr:grpSpPr bwMode="auto">
        <a:xfrm>
          <a:off x="3896627" y="18044962"/>
          <a:ext cx="448377" cy="1006241"/>
          <a:chOff x="3817602" y="17825720"/>
          <a:chExt cx="436899" cy="993987"/>
        </a:xfrm>
      </xdr:grpSpPr>
      <xdr:sp macro="" textlink="">
        <xdr:nvSpPr>
          <xdr:cNvPr id="436136" name="Obdélník 23"/>
          <xdr:cNvSpPr>
            <a:spLocks noChangeArrowheads="1"/>
          </xdr:cNvSpPr>
        </xdr:nvSpPr>
        <xdr:spPr bwMode="auto">
          <a:xfrm>
            <a:off x="3825261" y="17825720"/>
            <a:ext cx="429240" cy="99398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grpSp>
        <xdr:nvGrpSpPr>
          <xdr:cNvPr id="436137" name="Skupina 238"/>
          <xdr:cNvGrpSpPr>
            <a:grpSpLocks/>
          </xdr:cNvGrpSpPr>
        </xdr:nvGrpSpPr>
        <xdr:grpSpPr bwMode="auto">
          <a:xfrm>
            <a:off x="3883238" y="17889802"/>
            <a:ext cx="349486" cy="88570"/>
            <a:chOff x="5711920" y="21697458"/>
            <a:chExt cx="544182" cy="120565"/>
          </a:xfrm>
        </xdr:grpSpPr>
        <xdr:sp macro="" textlink="">
          <xdr:nvSpPr>
            <xdr:cNvPr id="436150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51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38" name="Skupina 299"/>
          <xdr:cNvGrpSpPr>
            <a:grpSpLocks/>
          </xdr:cNvGrpSpPr>
        </xdr:nvGrpSpPr>
        <xdr:grpSpPr bwMode="auto">
          <a:xfrm>
            <a:off x="3884529" y="18351861"/>
            <a:ext cx="356068" cy="172800"/>
            <a:chOff x="3888762" y="16713561"/>
            <a:chExt cx="356068" cy="172800"/>
          </a:xfrm>
        </xdr:grpSpPr>
        <xdr:sp macro="" textlink="">
          <xdr:nvSpPr>
            <xdr:cNvPr id="436147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8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9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39" name="Obdélník 24"/>
          <xdr:cNvSpPr>
            <a:spLocks noChangeArrowheads="1"/>
          </xdr:cNvSpPr>
        </xdr:nvSpPr>
        <xdr:spPr bwMode="auto">
          <a:xfrm>
            <a:off x="3817602" y="17833293"/>
            <a:ext cx="38900" cy="97683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40" name="Skupina 238"/>
          <xdr:cNvGrpSpPr>
            <a:grpSpLocks/>
          </xdr:cNvGrpSpPr>
        </xdr:nvGrpSpPr>
        <xdr:grpSpPr bwMode="auto">
          <a:xfrm>
            <a:off x="3883238" y="18139563"/>
            <a:ext cx="349486" cy="88570"/>
            <a:chOff x="5711920" y="21697458"/>
            <a:chExt cx="544182" cy="120565"/>
          </a:xfrm>
        </xdr:grpSpPr>
        <xdr:sp macro="" textlink="">
          <xdr:nvSpPr>
            <xdr:cNvPr id="436145" name="Obdélník 23"/>
            <xdr:cNvSpPr>
              <a:spLocks noChangeArrowheads="1"/>
            </xdr:cNvSpPr>
          </xdr:nvSpPr>
          <xdr:spPr bwMode="auto">
            <a:xfrm>
              <a:off x="5721017" y="21712035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6" name="Obdélník 30"/>
            <xdr:cNvSpPr>
              <a:spLocks noChangeArrowheads="1"/>
            </xdr:cNvSpPr>
          </xdr:nvSpPr>
          <xdr:spPr bwMode="auto">
            <a:xfrm rot="5400000">
              <a:off x="5675491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41" name="Skupina 342"/>
          <xdr:cNvGrpSpPr>
            <a:grpSpLocks/>
          </xdr:cNvGrpSpPr>
        </xdr:nvGrpSpPr>
        <xdr:grpSpPr bwMode="auto">
          <a:xfrm>
            <a:off x="3884528" y="18614324"/>
            <a:ext cx="356068" cy="172800"/>
            <a:chOff x="3888762" y="16713561"/>
            <a:chExt cx="356068" cy="172800"/>
          </a:xfrm>
        </xdr:grpSpPr>
        <xdr:sp macro="" textlink="">
          <xdr:nvSpPr>
            <xdr:cNvPr id="436142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3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44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51</xdr:col>
      <xdr:colOff>137160</xdr:colOff>
      <xdr:row>94</xdr:row>
      <xdr:rowOff>137160</xdr:rowOff>
    </xdr:from>
    <xdr:to>
      <xdr:col>55</xdr:col>
      <xdr:colOff>167640</xdr:colOff>
      <xdr:row>99</xdr:row>
      <xdr:rowOff>53340</xdr:rowOff>
    </xdr:to>
    <xdr:grpSp>
      <xdr:nvGrpSpPr>
        <xdr:cNvPr id="436110" name="Skupina 96"/>
        <xdr:cNvGrpSpPr>
          <a:grpSpLocks/>
        </xdr:cNvGrpSpPr>
      </xdr:nvGrpSpPr>
      <xdr:grpSpPr bwMode="auto">
        <a:xfrm>
          <a:off x="11214234" y="17951918"/>
          <a:ext cx="896753" cy="838601"/>
          <a:chOff x="9103519" y="4391025"/>
          <a:chExt cx="976394" cy="805761"/>
        </a:xfrm>
      </xdr:grpSpPr>
      <xdr:sp macro="" textlink="">
        <xdr:nvSpPr>
          <xdr:cNvPr id="436132" name="Obdélník 98"/>
          <xdr:cNvSpPr>
            <a:spLocks noChangeArrowheads="1"/>
          </xdr:cNvSpPr>
        </xdr:nvSpPr>
        <xdr:spPr bwMode="auto">
          <a:xfrm>
            <a:off x="9150142" y="4484886"/>
            <a:ext cx="801101" cy="45448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33" name="Obdélník 99"/>
          <xdr:cNvSpPr>
            <a:spLocks noChangeArrowheads="1"/>
          </xdr:cNvSpPr>
        </xdr:nvSpPr>
        <xdr:spPr bwMode="auto">
          <a:xfrm>
            <a:off x="9146635" y="4954788"/>
            <a:ext cx="771525" cy="12645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34" name="Obdélník 100"/>
          <xdr:cNvSpPr>
            <a:spLocks noChangeArrowheads="1"/>
          </xdr:cNvSpPr>
        </xdr:nvSpPr>
        <xdr:spPr bwMode="auto">
          <a:xfrm>
            <a:off x="9103519" y="4433584"/>
            <a:ext cx="52095" cy="720159"/>
          </a:xfrm>
          <a:prstGeom prst="rect">
            <a:avLst/>
          </a:prstGeom>
          <a:solidFill>
            <a:srgbClr val="C6D9F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35" name="Volný tvar 101"/>
          <xdr:cNvSpPr>
            <a:spLocks/>
          </xdr:cNvSpPr>
        </xdr:nvSpPr>
        <xdr:spPr bwMode="auto">
          <a:xfrm>
            <a:off x="9789320" y="4391025"/>
            <a:ext cx="290593" cy="805761"/>
          </a:xfrm>
          <a:custGeom>
            <a:avLst/>
            <a:gdLst>
              <a:gd name="T0" fmla="*/ 76200 w 290593"/>
              <a:gd name="T1" fmla="*/ 5010 h 817667"/>
              <a:gd name="T2" fmla="*/ 76200 w 290593"/>
              <a:gd name="T3" fmla="*/ 5010 h 817667"/>
              <a:gd name="T4" fmla="*/ 77390 w 290593"/>
              <a:gd name="T5" fmla="*/ 34148 h 817667"/>
              <a:gd name="T6" fmla="*/ 38100 w 290593"/>
              <a:gd name="T7" fmla="*/ 57244 h 817667"/>
              <a:gd name="T8" fmla="*/ 85725 w 290593"/>
              <a:gd name="T9" fmla="*/ 73568 h 817667"/>
              <a:gd name="T10" fmla="*/ 57150 w 290593"/>
              <a:gd name="T11" fmla="*/ 129068 h 817667"/>
              <a:gd name="T12" fmla="*/ 28575 w 290593"/>
              <a:gd name="T13" fmla="*/ 132332 h 817667"/>
              <a:gd name="T14" fmla="*/ 28575 w 290593"/>
              <a:gd name="T15" fmla="*/ 168242 h 817667"/>
              <a:gd name="T16" fmla="*/ 47625 w 290593"/>
              <a:gd name="T17" fmla="*/ 178034 h 817667"/>
              <a:gd name="T18" fmla="*/ 38100 w 290593"/>
              <a:gd name="T19" fmla="*/ 197624 h 817667"/>
              <a:gd name="T20" fmla="*/ 9525 w 290593"/>
              <a:gd name="T21" fmla="*/ 200890 h 817667"/>
              <a:gd name="T22" fmla="*/ 0 w 290593"/>
              <a:gd name="T23" fmla="*/ 210682 h 817667"/>
              <a:gd name="T24" fmla="*/ 19050 w 290593"/>
              <a:gd name="T25" fmla="*/ 230271 h 817667"/>
              <a:gd name="T26" fmla="*/ 57150 w 290593"/>
              <a:gd name="T27" fmla="*/ 249858 h 817667"/>
              <a:gd name="T28" fmla="*/ 57150 w 290593"/>
              <a:gd name="T29" fmla="*/ 279239 h 817667"/>
              <a:gd name="T30" fmla="*/ 266700 w 290593"/>
              <a:gd name="T31" fmla="*/ 266183 h 817667"/>
              <a:gd name="T32" fmla="*/ 266700 w 290593"/>
              <a:gd name="T33" fmla="*/ 174772 h 817667"/>
              <a:gd name="T34" fmla="*/ 285750 w 290593"/>
              <a:gd name="T35" fmla="*/ 14801 h 817667"/>
              <a:gd name="T36" fmla="*/ 76200 w 290593"/>
              <a:gd name="T37" fmla="*/ 5010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09205" y="63275"/>
                  <a:pt x="77390" y="99635"/>
                </a:cubicBezTo>
                <a:cubicBezTo>
                  <a:pt x="64167" y="114747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>
    <xdr:from>
      <xdr:col>46</xdr:col>
      <xdr:colOff>175260</xdr:colOff>
      <xdr:row>95</xdr:row>
      <xdr:rowOff>53340</xdr:rowOff>
    </xdr:from>
    <xdr:to>
      <xdr:col>48</xdr:col>
      <xdr:colOff>190500</xdr:colOff>
      <xdr:row>100</xdr:row>
      <xdr:rowOff>137160</xdr:rowOff>
    </xdr:to>
    <xdr:grpSp>
      <xdr:nvGrpSpPr>
        <xdr:cNvPr id="436111" name="Skupina 395"/>
        <xdr:cNvGrpSpPr>
          <a:grpSpLocks/>
        </xdr:cNvGrpSpPr>
      </xdr:nvGrpSpPr>
      <xdr:grpSpPr bwMode="auto">
        <a:xfrm>
          <a:off x="10169492" y="18052582"/>
          <a:ext cx="448376" cy="1006241"/>
          <a:chOff x="6717422" y="18053431"/>
          <a:chExt cx="438682" cy="1006241"/>
        </a:xfrm>
      </xdr:grpSpPr>
      <xdr:sp macro="" textlink="">
        <xdr:nvSpPr>
          <xdr:cNvPr id="436114" name="Obdélník 23"/>
          <xdr:cNvSpPr>
            <a:spLocks noChangeArrowheads="1"/>
          </xdr:cNvSpPr>
        </xdr:nvSpPr>
        <xdr:spPr bwMode="auto">
          <a:xfrm>
            <a:off x="6725081" y="18053431"/>
            <a:ext cx="431023" cy="100624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grpSp>
        <xdr:nvGrpSpPr>
          <xdr:cNvPr id="436115" name="Skupina 397"/>
          <xdr:cNvGrpSpPr>
            <a:grpSpLocks/>
          </xdr:cNvGrpSpPr>
        </xdr:nvGrpSpPr>
        <xdr:grpSpPr bwMode="auto">
          <a:xfrm>
            <a:off x="6784349" y="18595391"/>
            <a:ext cx="357851" cy="175251"/>
            <a:chOff x="3888762" y="16713561"/>
            <a:chExt cx="356068" cy="172800"/>
          </a:xfrm>
        </xdr:grpSpPr>
        <xdr:sp macro="" textlink="">
          <xdr:nvSpPr>
            <xdr:cNvPr id="436129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30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31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6116" name="Obdélník 24"/>
          <xdr:cNvSpPr>
            <a:spLocks noChangeArrowheads="1"/>
          </xdr:cNvSpPr>
        </xdr:nvSpPr>
        <xdr:spPr bwMode="auto">
          <a:xfrm>
            <a:off x="6717422" y="18061004"/>
            <a:ext cx="38900" cy="98909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117" name="Skupina 399"/>
          <xdr:cNvGrpSpPr>
            <a:grpSpLocks/>
          </xdr:cNvGrpSpPr>
        </xdr:nvGrpSpPr>
        <xdr:grpSpPr bwMode="auto">
          <a:xfrm>
            <a:off x="6784348" y="18851839"/>
            <a:ext cx="357851" cy="175250"/>
            <a:chOff x="3888762" y="16713561"/>
            <a:chExt cx="356068" cy="172800"/>
          </a:xfrm>
        </xdr:grpSpPr>
        <xdr:sp macro="" textlink="">
          <xdr:nvSpPr>
            <xdr:cNvPr id="436126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7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8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18" name="Skupina 400"/>
          <xdr:cNvGrpSpPr>
            <a:grpSpLocks/>
          </xdr:cNvGrpSpPr>
        </xdr:nvGrpSpPr>
        <xdr:grpSpPr bwMode="auto">
          <a:xfrm>
            <a:off x="6784354" y="18336488"/>
            <a:ext cx="357851" cy="175251"/>
            <a:chOff x="3888762" y="16713561"/>
            <a:chExt cx="356068" cy="172800"/>
          </a:xfrm>
        </xdr:grpSpPr>
        <xdr:sp macro="" textlink="">
          <xdr:nvSpPr>
            <xdr:cNvPr id="436123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4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5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6119" name="Skupina 401"/>
          <xdr:cNvGrpSpPr>
            <a:grpSpLocks/>
          </xdr:cNvGrpSpPr>
        </xdr:nvGrpSpPr>
        <xdr:grpSpPr bwMode="auto">
          <a:xfrm>
            <a:off x="6784349" y="18080037"/>
            <a:ext cx="357851" cy="175251"/>
            <a:chOff x="3888762" y="16713561"/>
            <a:chExt cx="356068" cy="172800"/>
          </a:xfrm>
        </xdr:grpSpPr>
        <xdr:sp macro="" textlink="">
          <xdr:nvSpPr>
            <xdr:cNvPr id="436120" name="Obdélník 23"/>
            <xdr:cNvSpPr>
              <a:spLocks noChangeArrowheads="1"/>
            </xdr:cNvSpPr>
          </xdr:nvSpPr>
          <xdr:spPr bwMode="auto">
            <a:xfrm>
              <a:off x="3892030" y="16841353"/>
              <a:ext cx="352800" cy="360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1" name="Obdélník 23"/>
            <xdr:cNvSpPr>
              <a:spLocks noChangeArrowheads="1"/>
            </xdr:cNvSpPr>
          </xdr:nvSpPr>
          <xdr:spPr bwMode="auto">
            <a:xfrm>
              <a:off x="3892030" y="16721667"/>
              <a:ext cx="352800" cy="10488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6122" name="Obdélník 30"/>
            <xdr:cNvSpPr>
              <a:spLocks noChangeArrowheads="1"/>
            </xdr:cNvSpPr>
          </xdr:nvSpPr>
          <xdr:spPr bwMode="auto">
            <a:xfrm rot="5400000">
              <a:off x="3817390" y="16784933"/>
              <a:ext cx="172800" cy="30056"/>
            </a:xfrm>
            <a:prstGeom prst="rect">
              <a:avLst/>
            </a:prstGeom>
            <a:solidFill>
              <a:srgbClr val="C6D9F1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198120</xdr:colOff>
      <xdr:row>83</xdr:row>
      <xdr:rowOff>152400</xdr:rowOff>
    </xdr:from>
    <xdr:to>
      <xdr:col>58</xdr:col>
      <xdr:colOff>30480</xdr:colOff>
      <xdr:row>101</xdr:row>
      <xdr:rowOff>30480</xdr:rowOff>
    </xdr:to>
    <xdr:sp macro="" textlink="">
      <xdr:nvSpPr>
        <xdr:cNvPr id="436112" name="Obdélník 1"/>
        <xdr:cNvSpPr>
          <a:spLocks noChangeArrowheads="1"/>
        </xdr:cNvSpPr>
      </xdr:nvSpPr>
      <xdr:spPr bwMode="auto">
        <a:xfrm>
          <a:off x="198120" y="15819120"/>
          <a:ext cx="12245340" cy="3169920"/>
        </a:xfrm>
        <a:prstGeom prst="rect">
          <a:avLst/>
        </a:prstGeom>
        <a:solidFill>
          <a:srgbClr val="FFFFE1">
            <a:alpha val="96077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152400</xdr:colOff>
      <xdr:row>15</xdr:row>
      <xdr:rowOff>152400</xdr:rowOff>
    </xdr:from>
    <xdr:to>
      <xdr:col>20</xdr:col>
      <xdr:colOff>48126</xdr:colOff>
      <xdr:row>20</xdr:row>
      <xdr:rowOff>128337</xdr:rowOff>
    </xdr:to>
    <xdr:sp macro="" textlink="">
      <xdr:nvSpPr>
        <xdr:cNvPr id="3" name="Bublinový popisek ve tvaru obláčku 2"/>
        <xdr:cNvSpPr/>
      </xdr:nvSpPr>
      <xdr:spPr bwMode="auto">
        <a:xfrm>
          <a:off x="1483895" y="3080084"/>
          <a:ext cx="2927684" cy="898358"/>
        </a:xfrm>
        <a:prstGeom prst="cloudCallout">
          <a:avLst>
            <a:gd name="adj1" fmla="val -42208"/>
            <a:gd name="adj2" fmla="val 77735"/>
          </a:avLst>
        </a:prstGeom>
        <a:solidFill>
          <a:schemeClr val="bg1">
            <a:lumMod val="9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sk-SK" sz="10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Výběr</a:t>
          </a:r>
          <a:r>
            <a:rPr lang="sk-SK" sz="1000" b="1" baseline="0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 udělejte kliknutím na požadovaný obrázek</a:t>
          </a:r>
          <a:endParaRPr lang="sk-SK" sz="1000" b="1">
            <a:solidFill>
              <a:srgbClr val="FF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106680</xdr:colOff>
          <xdr:row>16</xdr:row>
          <xdr:rowOff>99060</xdr:rowOff>
        </xdr:from>
        <xdr:to>
          <xdr:col>54</xdr:col>
          <xdr:colOff>106680</xdr:colOff>
          <xdr:row>18</xdr:row>
          <xdr:rowOff>144780</xdr:rowOff>
        </xdr:to>
        <xdr:sp macro="" textlink="">
          <xdr:nvSpPr>
            <xdr:cNvPr id="425562" name="Button 147034" hidden="1">
              <a:extLst>
                <a:ext uri="{63B3BB69-23CF-44E3-9099-C40C66FF867C}">
                  <a14:compatExt spid="_x0000_s425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53640926-AAD7-44D8-BBD7-CCE9431645EC}">
                <a14:shadowObscured val="1"/>
              </a:ext>
            </a:extLst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FF0000"/>
                  </a:solidFill>
                  <a:latin typeface="Verdana"/>
                  <a:ea typeface="Verdana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42</xdr:row>
      <xdr:rowOff>91440</xdr:rowOff>
    </xdr:from>
    <xdr:to>
      <xdr:col>44</xdr:col>
      <xdr:colOff>213360</xdr:colOff>
      <xdr:row>51</xdr:row>
      <xdr:rowOff>38100</xdr:rowOff>
    </xdr:to>
    <xdr:pic>
      <xdr:nvPicPr>
        <xdr:cNvPr id="12796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060" y="8046720"/>
          <a:ext cx="192024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144780</xdr:colOff>
      <xdr:row>1</xdr:row>
      <xdr:rowOff>91440</xdr:rowOff>
    </xdr:from>
    <xdr:to>
      <xdr:col>57</xdr:col>
      <xdr:colOff>342900</xdr:colOff>
      <xdr:row>4</xdr:row>
      <xdr:rowOff>152400</xdr:rowOff>
    </xdr:to>
    <xdr:pic>
      <xdr:nvPicPr>
        <xdr:cNvPr id="12796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51460"/>
          <a:ext cx="96012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91440</xdr:colOff>
      <xdr:row>7</xdr:row>
      <xdr:rowOff>83820</xdr:rowOff>
    </xdr:from>
    <xdr:to>
      <xdr:col>14</xdr:col>
      <xdr:colOff>144780</xdr:colOff>
      <xdr:row>12</xdr:row>
      <xdr:rowOff>30480</xdr:rowOff>
    </xdr:to>
    <xdr:pic>
      <xdr:nvPicPr>
        <xdr:cNvPr id="127964" name="Picture 2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" y="1531620"/>
          <a:ext cx="1120140" cy="861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36722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7</xdr:row>
      <xdr:rowOff>91440</xdr:rowOff>
    </xdr:from>
    <xdr:to>
      <xdr:col>23</xdr:col>
      <xdr:colOff>76200</xdr:colOff>
      <xdr:row>14</xdr:row>
      <xdr:rowOff>15240</xdr:rowOff>
    </xdr:to>
    <xdr:grpSp>
      <xdr:nvGrpSpPr>
        <xdr:cNvPr id="367225" name="Skupina 21"/>
        <xdr:cNvGrpSpPr>
          <a:grpSpLocks noChangeAspect="1"/>
        </xdr:cNvGrpSpPr>
      </xdr:nvGrpSpPr>
      <xdr:grpSpPr bwMode="auto">
        <a:xfrm>
          <a:off x="3376863" y="1543251"/>
          <a:ext cx="2025316" cy="1215189"/>
          <a:chOff x="1771649" y="3604335"/>
          <a:chExt cx="976394" cy="513419"/>
        </a:xfrm>
      </xdr:grpSpPr>
      <xdr:sp macro="" textlink="">
        <xdr:nvSpPr>
          <xdr:cNvPr id="367227" name="Obdélník 19"/>
          <xdr:cNvSpPr>
            <a:spLocks noChangeArrowheads="1"/>
          </xdr:cNvSpPr>
        </xdr:nvSpPr>
        <xdr:spPr bwMode="auto">
          <a:xfrm>
            <a:off x="1838324" y="3784983"/>
            <a:ext cx="771525" cy="21551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7228" name="Obdélník 18"/>
          <xdr:cNvSpPr>
            <a:spLocks noChangeArrowheads="1"/>
          </xdr:cNvSpPr>
        </xdr:nvSpPr>
        <xdr:spPr bwMode="auto">
          <a:xfrm>
            <a:off x="1771649" y="3715173"/>
            <a:ext cx="85726" cy="35883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7229" name="Volný tvar 20"/>
          <xdr:cNvSpPr>
            <a:spLocks/>
          </xdr:cNvSpPr>
        </xdr:nvSpPr>
        <xdr:spPr bwMode="auto">
          <a:xfrm>
            <a:off x="2457450" y="3604335"/>
            <a:ext cx="290593" cy="513419"/>
          </a:xfrm>
          <a:custGeom>
            <a:avLst/>
            <a:gdLst>
              <a:gd name="T0" fmla="*/ 76200 w 290593"/>
              <a:gd name="T1" fmla="*/ 1 h 817667"/>
              <a:gd name="T2" fmla="*/ 76200 w 290593"/>
              <a:gd name="T3" fmla="*/ 1 h 817667"/>
              <a:gd name="T4" fmla="*/ 95250 w 290593"/>
              <a:gd name="T5" fmla="*/ 1 h 817667"/>
              <a:gd name="T6" fmla="*/ 38100 w 290593"/>
              <a:gd name="T7" fmla="*/ 1 h 817667"/>
              <a:gd name="T8" fmla="*/ 85725 w 290593"/>
              <a:gd name="T9" fmla="*/ 1 h 817667"/>
              <a:gd name="T10" fmla="*/ 57150 w 290593"/>
              <a:gd name="T11" fmla="*/ 1 h 817667"/>
              <a:gd name="T12" fmla="*/ 28575 w 290593"/>
              <a:gd name="T13" fmla="*/ 1 h 817667"/>
              <a:gd name="T14" fmla="*/ 28575 w 290593"/>
              <a:gd name="T15" fmla="*/ 1 h 817667"/>
              <a:gd name="T16" fmla="*/ 47625 w 290593"/>
              <a:gd name="T17" fmla="*/ 1 h 817667"/>
              <a:gd name="T18" fmla="*/ 38100 w 290593"/>
              <a:gd name="T19" fmla="*/ 1 h 817667"/>
              <a:gd name="T20" fmla="*/ 9525 w 290593"/>
              <a:gd name="T21" fmla="*/ 1 h 817667"/>
              <a:gd name="T22" fmla="*/ 0 w 290593"/>
              <a:gd name="T23" fmla="*/ 1 h 817667"/>
              <a:gd name="T24" fmla="*/ 19050 w 290593"/>
              <a:gd name="T25" fmla="*/ 1 h 817667"/>
              <a:gd name="T26" fmla="*/ 57150 w 290593"/>
              <a:gd name="T27" fmla="*/ 1 h 817667"/>
              <a:gd name="T28" fmla="*/ 57150 w 290593"/>
              <a:gd name="T29" fmla="*/ 1 h 817667"/>
              <a:gd name="T30" fmla="*/ 266700 w 290593"/>
              <a:gd name="T31" fmla="*/ 1 h 817667"/>
              <a:gd name="T32" fmla="*/ 266700 w 290593"/>
              <a:gd name="T33" fmla="*/ 1 h 817667"/>
              <a:gd name="T34" fmla="*/ 285750 w 290593"/>
              <a:gd name="T35" fmla="*/ 1 h 817667"/>
              <a:gd name="T36" fmla="*/ 76200 w 290593"/>
              <a:gd name="T37" fmla="*/ 1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367226" name="Obrázek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99060</xdr:rowOff>
    </xdr:from>
    <xdr:to>
      <xdr:col>29</xdr:col>
      <xdr:colOff>175260</xdr:colOff>
      <xdr:row>15</xdr:row>
      <xdr:rowOff>99060</xdr:rowOff>
    </xdr:to>
    <xdr:pic>
      <xdr:nvPicPr>
        <xdr:cNvPr id="431378" name="Obrázek 3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998220"/>
          <a:ext cx="1242060" cy="201168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31379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31409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10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11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12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18</xdr:col>
      <xdr:colOff>0</xdr:colOff>
      <xdr:row>84</xdr:row>
      <xdr:rowOff>38100</xdr:rowOff>
    </xdr:from>
    <xdr:to>
      <xdr:col>28</xdr:col>
      <xdr:colOff>0</xdr:colOff>
      <xdr:row>95</xdr:row>
      <xdr:rowOff>76200</xdr:rowOff>
    </xdr:to>
    <xdr:pic>
      <xdr:nvPicPr>
        <xdr:cNvPr id="431380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15735300"/>
          <a:ext cx="2133600" cy="204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3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31382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31405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06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07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408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3138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11431</xdr:colOff>
      <xdr:row>23</xdr:row>
      <xdr:rowOff>9525</xdr:rowOff>
    </xdr:from>
    <xdr:to>
      <xdr:col>20</xdr:col>
      <xdr:colOff>183605</xdr:colOff>
      <xdr:row>24</xdr:row>
      <xdr:rowOff>8550</xdr:rowOff>
    </xdr:to>
    <xdr:sp macro="" textlink="">
      <xdr:nvSpPr>
        <xdr:cNvPr id="16" name="TextovéPole 15"/>
        <xdr:cNvSpPr txBox="1">
          <a:spLocks noChangeAspect="1"/>
        </xdr:cNvSpPr>
      </xdr:nvSpPr>
      <xdr:spPr>
        <a:xfrm>
          <a:off x="4819651" y="4343400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35</xdr:col>
      <xdr:colOff>7620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31385" name="Skupina 242"/>
        <xdr:cNvGrpSpPr>
          <a:grpSpLocks noChangeAspect="1"/>
        </xdr:cNvGrpSpPr>
      </xdr:nvGrpSpPr>
      <xdr:grpSpPr bwMode="auto">
        <a:xfrm>
          <a:off x="7513320" y="967740"/>
          <a:ext cx="845820" cy="2019300"/>
          <a:chOff x="5609723" y="21620536"/>
          <a:chExt cx="633590" cy="1329699"/>
        </a:xfrm>
      </xdr:grpSpPr>
      <xdr:sp macro="" textlink="">
        <xdr:nvSpPr>
          <xdr:cNvPr id="431391" name="Obdélník 23"/>
          <xdr:cNvSpPr>
            <a:spLocks noChangeArrowheads="1"/>
          </xdr:cNvSpPr>
        </xdr:nvSpPr>
        <xdr:spPr bwMode="auto">
          <a:xfrm>
            <a:off x="5661178" y="22053460"/>
            <a:ext cx="535085" cy="105988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1392" name="Skupina 241"/>
          <xdr:cNvGrpSpPr>
            <a:grpSpLocks/>
          </xdr:cNvGrpSpPr>
        </xdr:nvGrpSpPr>
        <xdr:grpSpPr bwMode="auto">
          <a:xfrm>
            <a:off x="5661725" y="22732579"/>
            <a:ext cx="539862" cy="179558"/>
            <a:chOff x="5661725" y="22732579"/>
            <a:chExt cx="539862" cy="179558"/>
          </a:xfrm>
        </xdr:grpSpPr>
        <xdr:sp macro="" textlink="">
          <xdr:nvSpPr>
            <xdr:cNvPr id="431402" name="Obdélník 30"/>
            <xdr:cNvSpPr>
              <a:spLocks noChangeArrowheads="1"/>
            </xdr:cNvSpPr>
          </xdr:nvSpPr>
          <xdr:spPr bwMode="auto">
            <a:xfrm rot="5400000">
              <a:off x="6107987" y="22782979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403" name="Obdélník 23"/>
            <xdr:cNvSpPr>
              <a:spLocks noChangeArrowheads="1"/>
            </xdr:cNvSpPr>
          </xdr:nvSpPr>
          <xdr:spPr bwMode="auto">
            <a:xfrm>
              <a:off x="5663183" y="22806149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404" name="Obdélník 30"/>
            <xdr:cNvSpPr>
              <a:spLocks noChangeArrowheads="1"/>
            </xdr:cNvSpPr>
          </xdr:nvSpPr>
          <xdr:spPr bwMode="auto">
            <a:xfrm>
              <a:off x="5661725" y="22735516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31393" name="Obdélník 24"/>
          <xdr:cNvSpPr>
            <a:spLocks noChangeArrowheads="1"/>
          </xdr:cNvSpPr>
        </xdr:nvSpPr>
        <xdr:spPr bwMode="auto">
          <a:xfrm>
            <a:off x="5609723" y="21620536"/>
            <a:ext cx="60570" cy="1329699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1394" name="Skupina 238"/>
          <xdr:cNvGrpSpPr>
            <a:grpSpLocks/>
          </xdr:cNvGrpSpPr>
        </xdr:nvGrpSpPr>
        <xdr:grpSpPr bwMode="auto">
          <a:xfrm>
            <a:off x="5698206" y="21697458"/>
            <a:ext cx="544177" cy="120565"/>
            <a:chOff x="5698206" y="21697458"/>
            <a:chExt cx="544177" cy="120565"/>
          </a:xfrm>
        </xdr:grpSpPr>
        <xdr:sp macro="" textlink="">
          <xdr:nvSpPr>
            <xdr:cNvPr id="431400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401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31395" name="Skupina 239"/>
          <xdr:cNvGrpSpPr>
            <a:grpSpLocks/>
          </xdr:cNvGrpSpPr>
        </xdr:nvGrpSpPr>
        <xdr:grpSpPr bwMode="auto">
          <a:xfrm>
            <a:off x="5700216" y="22372523"/>
            <a:ext cx="543097" cy="183600"/>
            <a:chOff x="5700216" y="22372523"/>
            <a:chExt cx="543097" cy="183600"/>
          </a:xfrm>
        </xdr:grpSpPr>
        <xdr:sp macro="" textlink="">
          <xdr:nvSpPr>
            <xdr:cNvPr id="431396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397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398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1399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15</xdr:col>
      <xdr:colOff>68580</xdr:colOff>
      <xdr:row>88</xdr:row>
      <xdr:rowOff>76200</xdr:rowOff>
    </xdr:from>
    <xdr:to>
      <xdr:col>25</xdr:col>
      <xdr:colOff>129540</xdr:colOff>
      <xdr:row>97</xdr:row>
      <xdr:rowOff>160020</xdr:rowOff>
    </xdr:to>
    <xdr:pic>
      <xdr:nvPicPr>
        <xdr:cNvPr id="431386" name="Obrázek 43" descr="Schránka 02.gif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080" y="16504920"/>
          <a:ext cx="219456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243840</xdr:colOff>
      <xdr:row>70</xdr:row>
      <xdr:rowOff>68580</xdr:rowOff>
    </xdr:from>
    <xdr:to>
      <xdr:col>10</xdr:col>
      <xdr:colOff>68580</xdr:colOff>
      <xdr:row>79</xdr:row>
      <xdr:rowOff>91440</xdr:rowOff>
    </xdr:to>
    <xdr:grpSp>
      <xdr:nvGrpSpPr>
        <xdr:cNvPr id="431387" name="Skupina 102"/>
        <xdr:cNvGrpSpPr>
          <a:grpSpLocks noChangeAspect="1"/>
        </xdr:cNvGrpSpPr>
      </xdr:nvGrpSpPr>
      <xdr:grpSpPr bwMode="auto">
        <a:xfrm>
          <a:off x="243840" y="13205460"/>
          <a:ext cx="1996440" cy="1668780"/>
          <a:chOff x="1800224" y="3409923"/>
          <a:chExt cx="947819" cy="707831"/>
        </a:xfrm>
      </xdr:grpSpPr>
      <xdr:sp macro="" textlink="">
        <xdr:nvSpPr>
          <xdr:cNvPr id="431388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389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390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99060</xdr:rowOff>
    </xdr:from>
    <xdr:to>
      <xdr:col>29</xdr:col>
      <xdr:colOff>114300</xdr:colOff>
      <xdr:row>15</xdr:row>
      <xdr:rowOff>83820</xdr:rowOff>
    </xdr:to>
    <xdr:pic>
      <xdr:nvPicPr>
        <xdr:cNvPr id="423727" name="Obrázek 4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998220"/>
          <a:ext cx="1181100" cy="199644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3</xdr:row>
      <xdr:rowOff>266700</xdr:rowOff>
    </xdr:from>
    <xdr:to>
      <xdr:col>23</xdr:col>
      <xdr:colOff>137160</xdr:colOff>
      <xdr:row>14</xdr:row>
      <xdr:rowOff>7620</xdr:rowOff>
    </xdr:to>
    <xdr:grpSp>
      <xdr:nvGrpSpPr>
        <xdr:cNvPr id="423728" name="Skupina 75"/>
        <xdr:cNvGrpSpPr>
          <a:grpSpLocks noChangeAspect="1"/>
        </xdr:cNvGrpSpPr>
      </xdr:nvGrpSpPr>
      <xdr:grpSpPr bwMode="auto">
        <a:xfrm>
          <a:off x="3017520" y="876300"/>
          <a:ext cx="2065020" cy="1859280"/>
          <a:chOff x="5762625" y="4438650"/>
          <a:chExt cx="976394" cy="817667"/>
        </a:xfrm>
      </xdr:grpSpPr>
      <xdr:sp macro="" textlink="">
        <xdr:nvSpPr>
          <xdr:cNvPr id="423761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2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3" name="Obdélník 57"/>
          <xdr:cNvSpPr>
            <a:spLocks noChangeArrowheads="1"/>
          </xdr:cNvSpPr>
        </xdr:nvSpPr>
        <xdr:spPr bwMode="auto">
          <a:xfrm>
            <a:off x="5762625" y="4558681"/>
            <a:ext cx="85726" cy="656351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4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18</xdr:col>
      <xdr:colOff>0</xdr:colOff>
      <xdr:row>84</xdr:row>
      <xdr:rowOff>38100</xdr:rowOff>
    </xdr:from>
    <xdr:to>
      <xdr:col>28</xdr:col>
      <xdr:colOff>0</xdr:colOff>
      <xdr:row>95</xdr:row>
      <xdr:rowOff>76200</xdr:rowOff>
    </xdr:to>
    <xdr:pic>
      <xdr:nvPicPr>
        <xdr:cNvPr id="423729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15735300"/>
          <a:ext cx="2133600" cy="204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15240</xdr:colOff>
      <xdr:row>69</xdr:row>
      <xdr:rowOff>83820</xdr:rowOff>
    </xdr:from>
    <xdr:to>
      <xdr:col>33</xdr:col>
      <xdr:colOff>205740</xdr:colOff>
      <xdr:row>78</xdr:row>
      <xdr:rowOff>60960</xdr:rowOff>
    </xdr:to>
    <xdr:pic>
      <xdr:nvPicPr>
        <xdr:cNvPr id="423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3037820"/>
          <a:ext cx="21107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68</xdr:row>
      <xdr:rowOff>266700</xdr:rowOff>
    </xdr:from>
    <xdr:to>
      <xdr:col>23</xdr:col>
      <xdr:colOff>68580</xdr:colOff>
      <xdr:row>79</xdr:row>
      <xdr:rowOff>7620</xdr:rowOff>
    </xdr:to>
    <xdr:grpSp>
      <xdr:nvGrpSpPr>
        <xdr:cNvPr id="423731" name="Skupina 75"/>
        <xdr:cNvGrpSpPr>
          <a:grpSpLocks noChangeAspect="1"/>
        </xdr:cNvGrpSpPr>
      </xdr:nvGrpSpPr>
      <xdr:grpSpPr bwMode="auto">
        <a:xfrm>
          <a:off x="3017520" y="12931140"/>
          <a:ext cx="1996440" cy="1859280"/>
          <a:chOff x="5794902" y="4438650"/>
          <a:chExt cx="944117" cy="817667"/>
        </a:xfrm>
      </xdr:grpSpPr>
      <xdr:sp macro="" textlink="">
        <xdr:nvSpPr>
          <xdr:cNvPr id="423757" name="Obdélník 55"/>
          <xdr:cNvSpPr>
            <a:spLocks noChangeArrowheads="1"/>
          </xdr:cNvSpPr>
        </xdr:nvSpPr>
        <xdr:spPr bwMode="auto">
          <a:xfrm>
            <a:off x="5838825" y="4628757"/>
            <a:ext cx="771525" cy="61332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58" name="Obdélník 56"/>
          <xdr:cNvSpPr>
            <a:spLocks noChangeArrowheads="1"/>
          </xdr:cNvSpPr>
        </xdr:nvSpPr>
        <xdr:spPr bwMode="auto">
          <a:xfrm>
            <a:off x="5829300" y="4833265"/>
            <a:ext cx="771525" cy="30512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59" name="Obdélník 57"/>
          <xdr:cNvSpPr>
            <a:spLocks noChangeArrowheads="1"/>
          </xdr:cNvSpPr>
        </xdr:nvSpPr>
        <xdr:spPr bwMode="auto">
          <a:xfrm>
            <a:off x="5794902" y="4558681"/>
            <a:ext cx="53372" cy="656351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60" name="Volný tvar 58"/>
          <xdr:cNvSpPr>
            <a:spLocks/>
          </xdr:cNvSpPr>
        </xdr:nvSpPr>
        <xdr:spPr bwMode="auto">
          <a:xfrm>
            <a:off x="6448426" y="4438650"/>
            <a:ext cx="290593" cy="817667"/>
          </a:xfrm>
          <a:custGeom>
            <a:avLst/>
            <a:gdLst>
              <a:gd name="T0" fmla="*/ 76200 w 290593"/>
              <a:gd name="T1" fmla="*/ 14613 h 817667"/>
              <a:gd name="T2" fmla="*/ 76200 w 290593"/>
              <a:gd name="T3" fmla="*/ 14613 h 817667"/>
              <a:gd name="T4" fmla="*/ 95250 w 290593"/>
              <a:gd name="T5" fmla="*/ 147963 h 817667"/>
              <a:gd name="T6" fmla="*/ 38100 w 290593"/>
              <a:gd name="T7" fmla="*/ 167013 h 817667"/>
              <a:gd name="T8" fmla="*/ 85725 w 290593"/>
              <a:gd name="T9" fmla="*/ 214638 h 817667"/>
              <a:gd name="T10" fmla="*/ 57150 w 290593"/>
              <a:gd name="T11" fmla="*/ 376563 h 817667"/>
              <a:gd name="T12" fmla="*/ 28575 w 290593"/>
              <a:gd name="T13" fmla="*/ 386088 h 817667"/>
              <a:gd name="T14" fmla="*/ 28575 w 290593"/>
              <a:gd name="T15" fmla="*/ 490863 h 817667"/>
              <a:gd name="T16" fmla="*/ 47625 w 290593"/>
              <a:gd name="T17" fmla="*/ 519438 h 817667"/>
              <a:gd name="T18" fmla="*/ 38100 w 290593"/>
              <a:gd name="T19" fmla="*/ 576588 h 817667"/>
              <a:gd name="T20" fmla="*/ 9525 w 290593"/>
              <a:gd name="T21" fmla="*/ 586113 h 817667"/>
              <a:gd name="T22" fmla="*/ 0 w 290593"/>
              <a:gd name="T23" fmla="*/ 614688 h 817667"/>
              <a:gd name="T24" fmla="*/ 19050 w 290593"/>
              <a:gd name="T25" fmla="*/ 671838 h 817667"/>
              <a:gd name="T26" fmla="*/ 57150 w 290593"/>
              <a:gd name="T27" fmla="*/ 728988 h 817667"/>
              <a:gd name="T28" fmla="*/ 57150 w 290593"/>
              <a:gd name="T29" fmla="*/ 814713 h 817667"/>
              <a:gd name="T30" fmla="*/ 266700 w 290593"/>
              <a:gd name="T31" fmla="*/ 776613 h 817667"/>
              <a:gd name="T32" fmla="*/ 266700 w 290593"/>
              <a:gd name="T33" fmla="*/ 509913 h 817667"/>
              <a:gd name="T34" fmla="*/ 285750 w 290593"/>
              <a:gd name="T35" fmla="*/ 43188 h 817667"/>
              <a:gd name="T36" fmla="*/ 76200 w 290593"/>
              <a:gd name="T37" fmla="*/ 14613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98014" y="343872"/>
                  <a:pt x="57150" y="376563"/>
                </a:cubicBezTo>
                <a:cubicBezTo>
                  <a:pt x="49310" y="382835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61</xdr:col>
      <xdr:colOff>487680</xdr:colOff>
      <xdr:row>4</xdr:row>
      <xdr:rowOff>144780</xdr:rowOff>
    </xdr:to>
    <xdr:pic>
      <xdr:nvPicPr>
        <xdr:cNvPr id="42373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11431</xdr:colOff>
      <xdr:row>29</xdr:row>
      <xdr:rowOff>0</xdr:rowOff>
    </xdr:from>
    <xdr:to>
      <xdr:col>20</xdr:col>
      <xdr:colOff>175779</xdr:colOff>
      <xdr:row>29</xdr:row>
      <xdr:rowOff>180000</xdr:rowOff>
    </xdr:to>
    <xdr:sp macro="" textlink="">
      <xdr:nvSpPr>
        <xdr:cNvPr id="15" name="TextovéPole 14"/>
        <xdr:cNvSpPr txBox="1">
          <a:spLocks noChangeAspect="1"/>
        </xdr:cNvSpPr>
      </xdr:nvSpPr>
      <xdr:spPr>
        <a:xfrm>
          <a:off x="4819651" y="5419725"/>
          <a:ext cx="180000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xdr:twoCellAnchor>
    <xdr:from>
      <xdr:col>34</xdr:col>
      <xdr:colOff>182880</xdr:colOff>
      <xdr:row>4</xdr:row>
      <xdr:rowOff>68580</xdr:rowOff>
    </xdr:from>
    <xdr:to>
      <xdr:col>39</xdr:col>
      <xdr:colOff>0</xdr:colOff>
      <xdr:row>15</xdr:row>
      <xdr:rowOff>76200</xdr:rowOff>
    </xdr:to>
    <xdr:grpSp>
      <xdr:nvGrpSpPr>
        <xdr:cNvPr id="423734" name="Skupina 46"/>
        <xdr:cNvGrpSpPr>
          <a:grpSpLocks/>
        </xdr:cNvGrpSpPr>
      </xdr:nvGrpSpPr>
      <xdr:grpSpPr bwMode="auto">
        <a:xfrm>
          <a:off x="7475220" y="967740"/>
          <a:ext cx="883920" cy="2019300"/>
          <a:chOff x="8334375" y="962025"/>
          <a:chExt cx="990600" cy="2000250"/>
        </a:xfrm>
      </xdr:grpSpPr>
      <xdr:grpSp>
        <xdr:nvGrpSpPr>
          <xdr:cNvPr id="423740" name="Skupina 239"/>
          <xdr:cNvGrpSpPr>
            <a:grpSpLocks/>
          </xdr:cNvGrpSpPr>
        </xdr:nvGrpSpPr>
        <xdr:grpSpPr bwMode="auto">
          <a:xfrm>
            <a:off x="8516681" y="2636155"/>
            <a:ext cx="808294" cy="276187"/>
            <a:chOff x="5700216" y="22372523"/>
            <a:chExt cx="543097" cy="183600"/>
          </a:xfrm>
        </xdr:grpSpPr>
        <xdr:sp macro="" textlink="">
          <xdr:nvSpPr>
            <xdr:cNvPr id="423753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4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5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6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23741" name="Skupina 238"/>
          <xdr:cNvGrpSpPr>
            <a:grpSpLocks/>
          </xdr:cNvGrpSpPr>
        </xdr:nvGrpSpPr>
        <xdr:grpSpPr bwMode="auto">
          <a:xfrm>
            <a:off x="8513690" y="1592088"/>
            <a:ext cx="809901" cy="181364"/>
            <a:chOff x="5698206" y="21697458"/>
            <a:chExt cx="544177" cy="120565"/>
          </a:xfrm>
        </xdr:grpSpPr>
        <xdr:sp macro="" textlink="">
          <xdr:nvSpPr>
            <xdr:cNvPr id="423751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2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23742" name="Obdélník 24"/>
          <xdr:cNvSpPr>
            <a:spLocks noChangeArrowheads="1"/>
          </xdr:cNvSpPr>
        </xdr:nvSpPr>
        <xdr:spPr bwMode="auto">
          <a:xfrm>
            <a:off x="8334375" y="962025"/>
            <a:ext cx="90147" cy="20002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23743" name="Skupina 238"/>
          <xdr:cNvGrpSpPr>
            <a:grpSpLocks/>
          </xdr:cNvGrpSpPr>
        </xdr:nvGrpSpPr>
        <xdr:grpSpPr bwMode="auto">
          <a:xfrm>
            <a:off x="8513690" y="1077738"/>
            <a:ext cx="809901" cy="181364"/>
            <a:chOff x="5698206" y="21697458"/>
            <a:chExt cx="544177" cy="120565"/>
          </a:xfrm>
        </xdr:grpSpPr>
        <xdr:sp macro="" textlink="">
          <xdr:nvSpPr>
            <xdr:cNvPr id="423749" name="Obdélník 23"/>
            <xdr:cNvSpPr>
              <a:spLocks noChangeArrowheads="1"/>
            </xdr:cNvSpPr>
          </xdr:nvSpPr>
          <xdr:spPr bwMode="auto">
            <a:xfrm>
              <a:off x="5707298" y="21712036"/>
              <a:ext cx="535085" cy="105987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50" name="Obdélník 30"/>
            <xdr:cNvSpPr>
              <a:spLocks noChangeArrowheads="1"/>
            </xdr:cNvSpPr>
          </xdr:nvSpPr>
          <xdr:spPr bwMode="auto">
            <a:xfrm rot="5400000">
              <a:off x="5661777" y="21733887"/>
              <a:ext cx="119658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23744" name="Skupina 239"/>
          <xdr:cNvGrpSpPr>
            <a:grpSpLocks/>
          </xdr:cNvGrpSpPr>
        </xdr:nvGrpSpPr>
        <xdr:grpSpPr bwMode="auto">
          <a:xfrm>
            <a:off x="8516681" y="2093230"/>
            <a:ext cx="808294" cy="276187"/>
            <a:chOff x="5700216" y="22372523"/>
            <a:chExt cx="543097" cy="183600"/>
          </a:xfrm>
        </xdr:grpSpPr>
        <xdr:sp macro="" textlink="">
          <xdr:nvSpPr>
            <xdr:cNvPr id="423745" name="Obdélník 30"/>
            <xdr:cNvSpPr>
              <a:spLocks noChangeArrowheads="1"/>
            </xdr:cNvSpPr>
          </xdr:nvSpPr>
          <xdr:spPr bwMode="auto">
            <a:xfrm rot="5400000">
              <a:off x="6149713" y="22434280"/>
              <a:ext cx="144000" cy="43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46" name="Obdélník 23"/>
            <xdr:cNvSpPr>
              <a:spLocks noChangeArrowheads="1"/>
            </xdr:cNvSpPr>
          </xdr:nvSpPr>
          <xdr:spPr bwMode="auto">
            <a:xfrm>
              <a:off x="5705292" y="22445103"/>
              <a:ext cx="535085" cy="105988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47" name="Obdélník 30"/>
            <xdr:cNvSpPr>
              <a:spLocks noChangeArrowheads="1"/>
            </xdr:cNvSpPr>
          </xdr:nvSpPr>
          <xdr:spPr bwMode="auto">
            <a:xfrm>
              <a:off x="5704836" y="22375472"/>
              <a:ext cx="536400" cy="252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3748" name="Obdélník 30"/>
            <xdr:cNvSpPr>
              <a:spLocks noChangeArrowheads="1"/>
            </xdr:cNvSpPr>
          </xdr:nvSpPr>
          <xdr:spPr bwMode="auto">
            <a:xfrm rot="5400000">
              <a:off x="5631816" y="22440923"/>
              <a:ext cx="183600" cy="46800"/>
            </a:xfrm>
            <a:prstGeom prst="rect">
              <a:avLst/>
            </a:prstGeom>
            <a:solidFill>
              <a:srgbClr val="7F7F7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 editAs="oneCell">
    <xdr:from>
      <xdr:col>15</xdr:col>
      <xdr:colOff>68580</xdr:colOff>
      <xdr:row>88</xdr:row>
      <xdr:rowOff>76200</xdr:rowOff>
    </xdr:from>
    <xdr:to>
      <xdr:col>25</xdr:col>
      <xdr:colOff>129540</xdr:colOff>
      <xdr:row>97</xdr:row>
      <xdr:rowOff>160020</xdr:rowOff>
    </xdr:to>
    <xdr:pic>
      <xdr:nvPicPr>
        <xdr:cNvPr id="423735" name="Obrázek 43" descr="Schránka 02.gif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080" y="16504920"/>
          <a:ext cx="219456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243840</xdr:colOff>
      <xdr:row>70</xdr:row>
      <xdr:rowOff>68580</xdr:rowOff>
    </xdr:from>
    <xdr:to>
      <xdr:col>10</xdr:col>
      <xdr:colOff>68580</xdr:colOff>
      <xdr:row>79</xdr:row>
      <xdr:rowOff>91440</xdr:rowOff>
    </xdr:to>
    <xdr:grpSp>
      <xdr:nvGrpSpPr>
        <xdr:cNvPr id="423736" name="Skupina 102"/>
        <xdr:cNvGrpSpPr>
          <a:grpSpLocks noChangeAspect="1"/>
        </xdr:cNvGrpSpPr>
      </xdr:nvGrpSpPr>
      <xdr:grpSpPr bwMode="auto">
        <a:xfrm>
          <a:off x="243840" y="13205460"/>
          <a:ext cx="1996440" cy="1668780"/>
          <a:chOff x="1800224" y="3409923"/>
          <a:chExt cx="947819" cy="707831"/>
        </a:xfrm>
      </xdr:grpSpPr>
      <xdr:sp macro="" textlink="">
        <xdr:nvSpPr>
          <xdr:cNvPr id="423737" name="Obdélník 103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38" name="Obdélník 104"/>
          <xdr:cNvSpPr>
            <a:spLocks noChangeArrowheads="1"/>
          </xdr:cNvSpPr>
        </xdr:nvSpPr>
        <xdr:spPr bwMode="auto">
          <a:xfrm>
            <a:off x="1800224" y="3562350"/>
            <a:ext cx="54000" cy="478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3739" name="Volný tvar 105"/>
          <xdr:cNvSpPr>
            <a:spLocks/>
          </xdr:cNvSpPr>
        </xdr:nvSpPr>
        <xdr:spPr bwMode="auto">
          <a:xfrm>
            <a:off x="2457450" y="3409923"/>
            <a:ext cx="290593" cy="707831"/>
          </a:xfrm>
          <a:custGeom>
            <a:avLst/>
            <a:gdLst>
              <a:gd name="T0" fmla="*/ 177463 w 290593"/>
              <a:gd name="T1" fmla="*/ 34953 h 707831"/>
              <a:gd name="T2" fmla="*/ 95250 w 290593"/>
              <a:gd name="T3" fmla="*/ 38127 h 707831"/>
              <a:gd name="T4" fmla="*/ 38100 w 290593"/>
              <a:gd name="T5" fmla="*/ 57177 h 707831"/>
              <a:gd name="T6" fmla="*/ 85725 w 290593"/>
              <a:gd name="T7" fmla="*/ 104802 h 707831"/>
              <a:gd name="T8" fmla="*/ 57150 w 290593"/>
              <a:gd name="T9" fmla="*/ 266727 h 707831"/>
              <a:gd name="T10" fmla="*/ 28575 w 290593"/>
              <a:gd name="T11" fmla="*/ 276252 h 707831"/>
              <a:gd name="T12" fmla="*/ 28575 w 290593"/>
              <a:gd name="T13" fmla="*/ 381027 h 707831"/>
              <a:gd name="T14" fmla="*/ 47625 w 290593"/>
              <a:gd name="T15" fmla="*/ 409602 h 707831"/>
              <a:gd name="T16" fmla="*/ 38100 w 290593"/>
              <a:gd name="T17" fmla="*/ 466752 h 707831"/>
              <a:gd name="T18" fmla="*/ 9525 w 290593"/>
              <a:gd name="T19" fmla="*/ 476277 h 707831"/>
              <a:gd name="T20" fmla="*/ 0 w 290593"/>
              <a:gd name="T21" fmla="*/ 504852 h 707831"/>
              <a:gd name="T22" fmla="*/ 19050 w 290593"/>
              <a:gd name="T23" fmla="*/ 562002 h 707831"/>
              <a:gd name="T24" fmla="*/ 57150 w 290593"/>
              <a:gd name="T25" fmla="*/ 619152 h 707831"/>
              <a:gd name="T26" fmla="*/ 57150 w 290593"/>
              <a:gd name="T27" fmla="*/ 704877 h 707831"/>
              <a:gd name="T28" fmla="*/ 266700 w 290593"/>
              <a:gd name="T29" fmla="*/ 666777 h 707831"/>
              <a:gd name="T30" fmla="*/ 266700 w 290593"/>
              <a:gd name="T31" fmla="*/ 400077 h 707831"/>
              <a:gd name="T32" fmla="*/ 277649 w 290593"/>
              <a:gd name="T33" fmla="*/ 43188 h 707831"/>
              <a:gd name="T34" fmla="*/ 177463 w 290593"/>
              <a:gd name="T35" fmla="*/ 34953 h 70783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0593"/>
              <a:gd name="T55" fmla="*/ 0 h 707831"/>
              <a:gd name="T56" fmla="*/ 290593 w 290593"/>
              <a:gd name="T57" fmla="*/ 707831 h 70783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0593" h="707831">
                <a:moveTo>
                  <a:pt x="177463" y="34953"/>
                </a:moveTo>
                <a:lnTo>
                  <a:pt x="95250" y="38127"/>
                </a:lnTo>
                <a:cubicBezTo>
                  <a:pt x="82027" y="53239"/>
                  <a:pt x="38100" y="57177"/>
                  <a:pt x="38100" y="57177"/>
                </a:cubicBezTo>
                <a:cubicBezTo>
                  <a:pt x="52096" y="66508"/>
                  <a:pt x="84429" y="82771"/>
                  <a:pt x="85725" y="104802"/>
                </a:cubicBezTo>
                <a:cubicBezTo>
                  <a:pt x="86693" y="121255"/>
                  <a:pt x="98014" y="234036"/>
                  <a:pt x="57150" y="266727"/>
                </a:cubicBezTo>
                <a:cubicBezTo>
                  <a:pt x="49310" y="272999"/>
                  <a:pt x="38100" y="273077"/>
                  <a:pt x="28575" y="276252"/>
                </a:cubicBezTo>
                <a:cubicBezTo>
                  <a:pt x="13701" y="320873"/>
                  <a:pt x="10804" y="315866"/>
                  <a:pt x="28575" y="381027"/>
                </a:cubicBezTo>
                <a:cubicBezTo>
                  <a:pt x="31587" y="392071"/>
                  <a:pt x="41275" y="400077"/>
                  <a:pt x="47625" y="409602"/>
                </a:cubicBezTo>
                <a:cubicBezTo>
                  <a:pt x="44450" y="428652"/>
                  <a:pt x="47682" y="449984"/>
                  <a:pt x="38100" y="466752"/>
                </a:cubicBezTo>
                <a:cubicBezTo>
                  <a:pt x="33119" y="475469"/>
                  <a:pt x="16625" y="469177"/>
                  <a:pt x="9525" y="476277"/>
                </a:cubicBezTo>
                <a:cubicBezTo>
                  <a:pt x="2425" y="483377"/>
                  <a:pt x="3175" y="495327"/>
                  <a:pt x="0" y="504852"/>
                </a:cubicBezTo>
                <a:cubicBezTo>
                  <a:pt x="6350" y="523902"/>
                  <a:pt x="7911" y="545294"/>
                  <a:pt x="19050" y="562002"/>
                </a:cubicBezTo>
                <a:lnTo>
                  <a:pt x="57150" y="619152"/>
                </a:lnTo>
                <a:cubicBezTo>
                  <a:pt x="51516" y="636053"/>
                  <a:pt x="26742" y="695521"/>
                  <a:pt x="57150" y="704877"/>
                </a:cubicBezTo>
                <a:cubicBezTo>
                  <a:pt x="66751" y="707831"/>
                  <a:pt x="248114" y="670494"/>
                  <a:pt x="266700" y="666777"/>
                </a:cubicBezTo>
                <a:cubicBezTo>
                  <a:pt x="290593" y="523418"/>
                  <a:pt x="266700" y="691332"/>
                  <a:pt x="266700" y="400077"/>
                </a:cubicBezTo>
                <a:cubicBezTo>
                  <a:pt x="266700" y="173325"/>
                  <a:pt x="264532" y="226829"/>
                  <a:pt x="277649" y="43188"/>
                </a:cubicBezTo>
                <a:cubicBezTo>
                  <a:pt x="191272" y="0"/>
                  <a:pt x="212388" y="39716"/>
                  <a:pt x="177463" y="3495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2099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205740</xdr:colOff>
      <xdr:row>4</xdr:row>
      <xdr:rowOff>76200</xdr:rowOff>
    </xdr:from>
    <xdr:to>
      <xdr:col>23</xdr:col>
      <xdr:colOff>137160</xdr:colOff>
      <xdr:row>14</xdr:row>
      <xdr:rowOff>7620</xdr:rowOff>
    </xdr:to>
    <xdr:grpSp>
      <xdr:nvGrpSpPr>
        <xdr:cNvPr id="420998" name="Skupina 21"/>
        <xdr:cNvGrpSpPr>
          <a:grpSpLocks noChangeAspect="1"/>
        </xdr:cNvGrpSpPr>
      </xdr:nvGrpSpPr>
      <xdr:grpSpPr bwMode="auto">
        <a:xfrm>
          <a:off x="3366035" y="974558"/>
          <a:ext cx="2097104" cy="1776262"/>
          <a:chOff x="1771649" y="3377086"/>
          <a:chExt cx="976394" cy="740669"/>
        </a:xfrm>
      </xdr:grpSpPr>
      <xdr:sp macro="" textlink="">
        <xdr:nvSpPr>
          <xdr:cNvPr id="421000" name="Obdélník 19"/>
          <xdr:cNvSpPr>
            <a:spLocks noChangeArrowheads="1"/>
          </xdr:cNvSpPr>
        </xdr:nvSpPr>
        <xdr:spPr bwMode="auto">
          <a:xfrm>
            <a:off x="1838324" y="3695700"/>
            <a:ext cx="771525" cy="304800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1001" name="Obdélník 18"/>
          <xdr:cNvSpPr>
            <a:spLocks noChangeArrowheads="1"/>
          </xdr:cNvSpPr>
        </xdr:nvSpPr>
        <xdr:spPr bwMode="auto">
          <a:xfrm>
            <a:off x="1771649" y="3562350"/>
            <a:ext cx="85726" cy="514350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1002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20999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4</xdr:row>
      <xdr:rowOff>91440</xdr:rowOff>
    </xdr:from>
    <xdr:to>
      <xdr:col>23</xdr:col>
      <xdr:colOff>137160</xdr:colOff>
      <xdr:row>14</xdr:row>
      <xdr:rowOff>22860</xdr:rowOff>
    </xdr:to>
    <xdr:grpSp>
      <xdr:nvGrpSpPr>
        <xdr:cNvPr id="426088" name="Skupina 21"/>
        <xdr:cNvGrpSpPr>
          <a:grpSpLocks noChangeAspect="1"/>
        </xdr:cNvGrpSpPr>
      </xdr:nvGrpSpPr>
      <xdr:grpSpPr bwMode="auto">
        <a:xfrm>
          <a:off x="3366035" y="989798"/>
          <a:ext cx="2097104" cy="1776262"/>
          <a:chOff x="1771649" y="3377086"/>
          <a:chExt cx="976394" cy="740669"/>
        </a:xfrm>
      </xdr:grpSpPr>
      <xdr:sp macro="" textlink="">
        <xdr:nvSpPr>
          <xdr:cNvPr id="426091" name="Obdélník 19"/>
          <xdr:cNvSpPr>
            <a:spLocks noChangeArrowheads="1"/>
          </xdr:cNvSpPr>
        </xdr:nvSpPr>
        <xdr:spPr bwMode="auto">
          <a:xfrm>
            <a:off x="1838324" y="3607867"/>
            <a:ext cx="771525" cy="392635"/>
          </a:xfrm>
          <a:prstGeom prst="rect">
            <a:avLst/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6092" name="Obdélník 18"/>
          <xdr:cNvSpPr>
            <a:spLocks noChangeArrowheads="1"/>
          </xdr:cNvSpPr>
        </xdr:nvSpPr>
        <xdr:spPr bwMode="auto">
          <a:xfrm>
            <a:off x="1771649" y="3378382"/>
            <a:ext cx="85726" cy="695027"/>
          </a:xfrm>
          <a:prstGeom prst="rect">
            <a:avLst/>
          </a:prstGeom>
          <a:solidFill>
            <a:srgbClr val="FFFFE1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6093" name="Volný tvar 20"/>
          <xdr:cNvSpPr>
            <a:spLocks/>
          </xdr:cNvSpPr>
        </xdr:nvSpPr>
        <xdr:spPr bwMode="auto">
          <a:xfrm>
            <a:off x="2457450" y="3377086"/>
            <a:ext cx="290593" cy="740669"/>
          </a:xfrm>
          <a:custGeom>
            <a:avLst/>
            <a:gdLst>
              <a:gd name="T0" fmla="*/ 76200 w 290593"/>
              <a:gd name="T1" fmla="*/ 16 h 817667"/>
              <a:gd name="T2" fmla="*/ 76200 w 290593"/>
              <a:gd name="T3" fmla="*/ 16 h 817667"/>
              <a:gd name="T4" fmla="*/ 95250 w 290593"/>
              <a:gd name="T5" fmla="*/ 161 h 817667"/>
              <a:gd name="T6" fmla="*/ 38100 w 290593"/>
              <a:gd name="T7" fmla="*/ 181 h 817667"/>
              <a:gd name="T8" fmla="*/ 85725 w 290593"/>
              <a:gd name="T9" fmla="*/ 233 h 817667"/>
              <a:gd name="T10" fmla="*/ 65211 w 290593"/>
              <a:gd name="T11" fmla="*/ 318 h 817667"/>
              <a:gd name="T12" fmla="*/ 28575 w 290593"/>
              <a:gd name="T13" fmla="*/ 421 h 817667"/>
              <a:gd name="T14" fmla="*/ 28575 w 290593"/>
              <a:gd name="T15" fmla="*/ 534 h 817667"/>
              <a:gd name="T16" fmla="*/ 47625 w 290593"/>
              <a:gd name="T17" fmla="*/ 566 h 817667"/>
              <a:gd name="T18" fmla="*/ 38100 w 290593"/>
              <a:gd name="T19" fmla="*/ 627 h 817667"/>
              <a:gd name="T20" fmla="*/ 9525 w 290593"/>
              <a:gd name="T21" fmla="*/ 637 h 817667"/>
              <a:gd name="T22" fmla="*/ 0 w 290593"/>
              <a:gd name="T23" fmla="*/ 668 h 817667"/>
              <a:gd name="T24" fmla="*/ 19050 w 290593"/>
              <a:gd name="T25" fmla="*/ 730 h 817667"/>
              <a:gd name="T26" fmla="*/ 57150 w 290593"/>
              <a:gd name="T27" fmla="*/ 793 h 817667"/>
              <a:gd name="T28" fmla="*/ 57150 w 290593"/>
              <a:gd name="T29" fmla="*/ 885 h 817667"/>
              <a:gd name="T30" fmla="*/ 266700 w 290593"/>
              <a:gd name="T31" fmla="*/ 844 h 817667"/>
              <a:gd name="T32" fmla="*/ 266700 w 290593"/>
              <a:gd name="T33" fmla="*/ 554 h 817667"/>
              <a:gd name="T34" fmla="*/ 285750 w 290593"/>
              <a:gd name="T35" fmla="*/ 47 h 817667"/>
              <a:gd name="T36" fmla="*/ 76200 w 290593"/>
              <a:gd name="T37" fmla="*/ 16 h 817667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290593"/>
              <a:gd name="T58" fmla="*/ 0 h 817667"/>
              <a:gd name="T59" fmla="*/ 290593 w 290593"/>
              <a:gd name="T60" fmla="*/ 817667 h 817667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290593" h="817667">
                <a:moveTo>
                  <a:pt x="76200" y="14613"/>
                </a:moveTo>
                <a:lnTo>
                  <a:pt x="76200" y="14613"/>
                </a:lnTo>
                <a:cubicBezTo>
                  <a:pt x="86511" y="42109"/>
                  <a:pt x="127065" y="111603"/>
                  <a:pt x="95250" y="147963"/>
                </a:cubicBezTo>
                <a:cubicBezTo>
                  <a:pt x="82027" y="163075"/>
                  <a:pt x="38100" y="167013"/>
                  <a:pt x="38100" y="167013"/>
                </a:cubicBezTo>
                <a:cubicBezTo>
                  <a:pt x="52096" y="176344"/>
                  <a:pt x="84429" y="192607"/>
                  <a:pt x="85725" y="214638"/>
                </a:cubicBezTo>
                <a:cubicBezTo>
                  <a:pt x="86693" y="231091"/>
                  <a:pt x="106075" y="259086"/>
                  <a:pt x="65211" y="291777"/>
                </a:cubicBezTo>
                <a:cubicBezTo>
                  <a:pt x="57371" y="298049"/>
                  <a:pt x="38100" y="382913"/>
                  <a:pt x="28575" y="386088"/>
                </a:cubicBezTo>
                <a:cubicBezTo>
                  <a:pt x="13701" y="430709"/>
                  <a:pt x="10804" y="425702"/>
                  <a:pt x="28575" y="490863"/>
                </a:cubicBezTo>
                <a:cubicBezTo>
                  <a:pt x="31587" y="501907"/>
                  <a:pt x="41275" y="509913"/>
                  <a:pt x="47625" y="519438"/>
                </a:cubicBezTo>
                <a:cubicBezTo>
                  <a:pt x="44450" y="538488"/>
                  <a:pt x="47682" y="559820"/>
                  <a:pt x="38100" y="576588"/>
                </a:cubicBezTo>
                <a:cubicBezTo>
                  <a:pt x="33119" y="585305"/>
                  <a:pt x="16625" y="579013"/>
                  <a:pt x="9525" y="586113"/>
                </a:cubicBezTo>
                <a:cubicBezTo>
                  <a:pt x="2425" y="593213"/>
                  <a:pt x="3175" y="605163"/>
                  <a:pt x="0" y="614688"/>
                </a:cubicBezTo>
                <a:cubicBezTo>
                  <a:pt x="6350" y="633738"/>
                  <a:pt x="7911" y="655130"/>
                  <a:pt x="19050" y="671838"/>
                </a:cubicBezTo>
                <a:lnTo>
                  <a:pt x="57150" y="728988"/>
                </a:lnTo>
                <a:cubicBezTo>
                  <a:pt x="51516" y="745889"/>
                  <a:pt x="26742" y="805357"/>
                  <a:pt x="57150" y="814713"/>
                </a:cubicBezTo>
                <a:cubicBezTo>
                  <a:pt x="66751" y="817667"/>
                  <a:pt x="248114" y="780330"/>
                  <a:pt x="266700" y="776613"/>
                </a:cubicBezTo>
                <a:cubicBezTo>
                  <a:pt x="290593" y="633254"/>
                  <a:pt x="266700" y="801168"/>
                  <a:pt x="266700" y="509913"/>
                </a:cubicBezTo>
                <a:cubicBezTo>
                  <a:pt x="266700" y="283161"/>
                  <a:pt x="272633" y="226829"/>
                  <a:pt x="285750" y="43188"/>
                </a:cubicBezTo>
                <a:cubicBezTo>
                  <a:pt x="199373" y="0"/>
                  <a:pt x="111125" y="19376"/>
                  <a:pt x="76200" y="14613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</xdr:grpSp>
    <xdr:clientData/>
  </xdr:twoCellAnchor>
  <xdr:twoCellAnchor editAs="oneCell">
    <xdr:from>
      <xdr:col>45</xdr:col>
      <xdr:colOff>144780</xdr:colOff>
      <xdr:row>1</xdr:row>
      <xdr:rowOff>106680</xdr:rowOff>
    </xdr:from>
    <xdr:to>
      <xdr:col>63</xdr:col>
      <xdr:colOff>487680</xdr:colOff>
      <xdr:row>4</xdr:row>
      <xdr:rowOff>144780</xdr:rowOff>
    </xdr:to>
    <xdr:pic>
      <xdr:nvPicPr>
        <xdr:cNvPr id="42608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6700"/>
          <a:ext cx="960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5</xdr:row>
      <xdr:rowOff>0</xdr:rowOff>
    </xdr:from>
    <xdr:to>
      <xdr:col>35</xdr:col>
      <xdr:colOff>30480</xdr:colOff>
      <xdr:row>13</xdr:row>
      <xdr:rowOff>160020</xdr:rowOff>
    </xdr:to>
    <xdr:pic>
      <xdr:nvPicPr>
        <xdr:cNvPr id="426090" name="Obráze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1082040"/>
          <a:ext cx="2377440" cy="1623060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solidFill>
          <a:srgbClr val="FFFFE1"/>
        </a:solidFill>
        <a:ln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17.xml"/><Relationship Id="rId4" Type="http://schemas.openxmlformats.org/officeDocument/2006/relationships/ctrlProp" Target="../ctrlProps/ctrlProp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T31"/>
  <sheetViews>
    <sheetView showGridLines="0" showRowColHeaders="0" zoomScale="95" zoomScaleNormal="95" workbookViewId="0">
      <selection activeCell="G2" sqref="G2:K2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16384" width="9" style="97"/>
  </cols>
  <sheetData>
    <row r="1" spans="1:46" ht="12.9" customHeight="1" thickBot="1">
      <c r="AT1" s="4"/>
    </row>
    <row r="2" spans="1:46" ht="23.1" customHeight="1" thickBot="1">
      <c r="B2" s="513" t="str">
        <f>verze!E13</f>
        <v>&lt;&lt;  zpět</v>
      </c>
      <c r="C2" s="514"/>
      <c r="D2" s="514"/>
      <c r="E2" s="515"/>
      <c r="G2" s="516" t="str">
        <f>verze!E6</f>
        <v xml:space="preserve"> Úvod</v>
      </c>
      <c r="H2" s="517"/>
      <c r="I2" s="517"/>
      <c r="J2" s="517"/>
      <c r="K2" s="518"/>
      <c r="O2" s="519" t="str">
        <f>verze!E7</f>
        <v xml:space="preserve"> Výběr zásuvek</v>
      </c>
      <c r="P2" s="520"/>
      <c r="Q2" s="520"/>
      <c r="R2" s="520"/>
      <c r="S2" s="521"/>
      <c r="U2" s="519" t="str">
        <f>verze!E8</f>
        <v xml:space="preserve"> </v>
      </c>
      <c r="V2" s="520"/>
      <c r="W2" s="520"/>
      <c r="X2" s="520"/>
      <c r="Y2" s="521"/>
      <c r="AA2" s="519" t="str">
        <f>verze!E9</f>
        <v xml:space="preserve"> </v>
      </c>
      <c r="AB2" s="520"/>
      <c r="AC2" s="520"/>
      <c r="AD2" s="520"/>
      <c r="AE2" s="521"/>
      <c r="AI2" s="519" t="str">
        <f>verze!E10</f>
        <v xml:space="preserve"> Objednávka</v>
      </c>
      <c r="AJ2" s="520"/>
      <c r="AK2" s="520"/>
      <c r="AL2" s="520"/>
      <c r="AM2" s="521"/>
      <c r="AO2" s="510" t="str">
        <f>verze!E14</f>
        <v>vpřed  &gt;&gt;</v>
      </c>
      <c r="AP2" s="511"/>
      <c r="AQ2" s="511"/>
      <c r="AR2" s="512"/>
      <c r="AT2" s="4"/>
    </row>
    <row r="3" spans="1:46" ht="12.9" customHeight="1">
      <c r="AT3" s="4"/>
    </row>
    <row r="4" spans="1:46" ht="23.1" customHeight="1">
      <c r="A4" s="100"/>
      <c r="B4" s="102" t="str">
        <f>verze!E15</f>
        <v xml:space="preserve"> Základní údaje // Nápověda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4"/>
    </row>
    <row r="5" spans="1:46" ht="14.4" customHeight="1">
      <c r="AT5" s="4"/>
    </row>
    <row r="6" spans="1:46" ht="14.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14.4" customHeight="1">
      <c r="A7" s="4"/>
      <c r="B7" s="509" t="str">
        <f>verze!E94</f>
        <v>Formulář pro identifikační údaje</v>
      </c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4"/>
      <c r="O7" s="4"/>
      <c r="P7" s="509" t="str">
        <f>verze!E37</f>
        <v xml:space="preserve">Sleva od prodejce [%]: </v>
      </c>
      <c r="Q7" s="509"/>
      <c r="R7" s="509"/>
      <c r="S7" s="509"/>
      <c r="T7" s="509"/>
      <c r="U7" s="509"/>
      <c r="V7" s="509"/>
      <c r="W7" s="509"/>
      <c r="X7" s="98"/>
      <c r="Y7" s="98"/>
      <c r="Z7" s="98"/>
      <c r="AA7" s="509" t="str">
        <f>"      "&amp;verze!E16</f>
        <v xml:space="preserve">       Nápověda</v>
      </c>
      <c r="AB7" s="509"/>
      <c r="AC7" s="509"/>
      <c r="AD7" s="509"/>
      <c r="AE7" s="509"/>
      <c r="AF7" s="509"/>
      <c r="AG7" s="509"/>
      <c r="AH7" s="509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14.4" customHeight="1">
      <c r="A8" s="4"/>
      <c r="B8" s="507" t="str">
        <f>verze!E30</f>
        <v>Odběratel</v>
      </c>
      <c r="C8" s="507"/>
      <c r="D8" s="507"/>
      <c r="E8" s="507"/>
      <c r="F8" s="507"/>
      <c r="G8" s="507"/>
      <c r="H8" s="507"/>
      <c r="I8" s="507"/>
      <c r="J8" s="507"/>
      <c r="K8" s="507"/>
      <c r="L8" s="507"/>
      <c r="M8" s="50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4" customHeight="1">
      <c r="A9" s="4"/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4"/>
      <c r="O9" s="4"/>
      <c r="P9" s="4"/>
      <c r="Q9" s="4"/>
      <c r="R9" s="4"/>
      <c r="S9" s="4"/>
      <c r="T9" s="522">
        <v>5</v>
      </c>
      <c r="U9" s="522"/>
      <c r="V9" s="522"/>
      <c r="W9" s="4"/>
      <c r="X9" s="4"/>
      <c r="Y9" s="4"/>
      <c r="Z9" s="4"/>
      <c r="AA9" s="262" t="str">
        <f>verze!E99</f>
        <v>Před prvním spuštěním: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4.4" customHeight="1">
      <c r="A10" s="4"/>
      <c r="B10" s="507" t="str">
        <f>verze!E31</f>
        <v>Adresa</v>
      </c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4"/>
      <c r="O10" s="4"/>
      <c r="P10" s="4"/>
      <c r="Q10" s="4"/>
      <c r="R10" s="4"/>
      <c r="S10" s="4"/>
      <c r="T10" s="523"/>
      <c r="U10" s="523"/>
      <c r="V10" s="523"/>
      <c r="W10" s="4"/>
      <c r="X10" s="4"/>
      <c r="Y10" s="4"/>
      <c r="Z10" s="4"/>
      <c r="AA10" s="4" t="str">
        <f>"1. "&amp;verze!$E$100</f>
        <v>1. V levé části obrazovky vyplň identifikační údaje.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4.4" customHeight="1">
      <c r="A11" s="4"/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 t="str">
        <f>"2. "&amp;verze!$E$101</f>
        <v>2. Ve střední části vyplň výšku slevy od prodejce.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4.4" customHeight="1">
      <c r="A12" s="4"/>
      <c r="B12" s="508"/>
      <c r="C12" s="508"/>
      <c r="D12" s="508"/>
      <c r="E12" s="508"/>
      <c r="F12" s="508"/>
      <c r="G12" s="508"/>
      <c r="H12" s="508"/>
      <c r="I12" s="508"/>
      <c r="J12" s="508"/>
      <c r="K12" s="508"/>
      <c r="L12" s="508"/>
      <c r="M12" s="50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tr">
        <f>"3. "&amp;verze!$E$102</f>
        <v>3. Vrať se na úvod a soubor ulož nebo zavři s potvzením změn.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4.4" customHeight="1">
      <c r="A13" s="4"/>
      <c r="B13" s="508"/>
      <c r="C13" s="508"/>
      <c r="D13" s="508"/>
      <c r="E13" s="508"/>
      <c r="F13" s="508"/>
      <c r="G13" s="508"/>
      <c r="H13" s="508"/>
      <c r="I13" s="508"/>
      <c r="J13" s="508"/>
      <c r="K13" s="508"/>
      <c r="L13" s="508"/>
      <c r="M13" s="50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tr">
        <f>"    "&amp;verze!$E$103</f>
        <v xml:space="preserve">    Identifikační údaje se budou zobrazovat v hlavičce objednávky.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4.4" customHeight="1">
      <c r="A14" s="4"/>
      <c r="B14" s="507" t="str">
        <f>verze!E33</f>
        <v>Dodací adresa</v>
      </c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68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4.4" customHeight="1">
      <c r="A15" s="4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4"/>
      <c r="O15" s="4"/>
      <c r="P15" s="4"/>
      <c r="Q15" s="4"/>
      <c r="R15" s="4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4"/>
      <c r="AN15" s="4"/>
      <c r="AO15" s="4"/>
      <c r="AP15" s="4"/>
      <c r="AQ15" s="4"/>
      <c r="AR15" s="95"/>
      <c r="AS15" s="95"/>
      <c r="AT15" s="74"/>
    </row>
    <row r="16" spans="1:46" ht="14.4" customHeight="1">
      <c r="A16" s="4"/>
      <c r="B16" s="508"/>
      <c r="C16" s="508"/>
      <c r="D16" s="508"/>
      <c r="E16" s="508"/>
      <c r="F16" s="508"/>
      <c r="G16" s="508"/>
      <c r="H16" s="508"/>
      <c r="I16" s="508"/>
      <c r="J16" s="508"/>
      <c r="K16" s="508"/>
      <c r="L16" s="508"/>
      <c r="M16" s="508"/>
      <c r="N16" s="4"/>
      <c r="O16" s="4"/>
      <c r="P16" s="4"/>
      <c r="Q16" s="4"/>
      <c r="R16" s="4"/>
      <c r="S16" s="68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68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4.4" customHeight="1">
      <c r="A17" s="4"/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4"/>
      <c r="O17" s="4"/>
      <c r="P17" s="4"/>
      <c r="Q17" s="4"/>
      <c r="R17" s="4"/>
      <c r="S17" s="68"/>
      <c r="T17" s="4"/>
      <c r="U17" s="4"/>
      <c r="V17" s="4"/>
      <c r="W17" s="4"/>
      <c r="X17" s="4"/>
      <c r="Y17" s="4"/>
      <c r="Z17" s="4"/>
      <c r="AA17" s="262" t="str">
        <f>verze!$E$104</f>
        <v>Na úvodní obrazovce :</v>
      </c>
      <c r="AB17" s="87"/>
      <c r="AC17" s="87"/>
      <c r="AD17" s="87"/>
      <c r="AE17" s="4"/>
      <c r="AF17" s="68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4.4" customHeight="1">
      <c r="A18" s="4"/>
      <c r="B18" s="507" t="str">
        <f>verze!E34</f>
        <v>IČO</v>
      </c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4"/>
      <c r="O18" s="4"/>
      <c r="P18" s="4"/>
      <c r="Q18" s="4"/>
      <c r="R18" s="4"/>
      <c r="S18" s="68"/>
      <c r="T18" s="80"/>
      <c r="U18" s="80"/>
      <c r="V18" s="4"/>
      <c r="W18" s="4"/>
      <c r="X18" s="4"/>
      <c r="Y18" s="4"/>
      <c r="Z18" s="4"/>
      <c r="AA18" s="4" t="str">
        <f>"1. "&amp;verze!$E$111</f>
        <v>1. vyber barvu povrchové úpravy</v>
      </c>
      <c r="AB18" s="71"/>
      <c r="AC18" s="71"/>
      <c r="AD18" s="71"/>
      <c r="AE18" s="71"/>
      <c r="AF18" s="71"/>
      <c r="AG18" s="71"/>
      <c r="AH18" s="71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4.4" customHeight="1">
      <c r="A19" s="4"/>
      <c r="B19" s="506"/>
      <c r="C19" s="506"/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4"/>
      <c r="O19" s="4"/>
      <c r="P19" s="4"/>
      <c r="Q19" s="4"/>
      <c r="R19" s="4"/>
      <c r="S19" s="68"/>
      <c r="T19" s="4"/>
      <c r="U19" s="80"/>
      <c r="V19" s="4"/>
      <c r="W19" s="4"/>
      <c r="X19" s="4"/>
      <c r="Y19" s="4"/>
      <c r="Z19" s="4"/>
      <c r="AA19" s="4" t="str">
        <f>"2. "&amp;verze!$E$112</f>
        <v>2. vyber způsob montáže čelního kování</v>
      </c>
      <c r="AB19" s="71"/>
      <c r="AC19" s="71"/>
      <c r="AD19" s="71"/>
      <c r="AE19" s="71"/>
      <c r="AF19" s="71"/>
      <c r="AG19" s="71"/>
      <c r="AH19" s="71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4.4" customHeight="1">
      <c r="A20" s="4"/>
      <c r="B20" s="507" t="str">
        <f>verze!E35</f>
        <v>DIČ</v>
      </c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4"/>
      <c r="O20" s="4"/>
      <c r="P20" s="4"/>
      <c r="Q20" s="4"/>
      <c r="R20" s="4"/>
      <c r="S20" s="4"/>
      <c r="T20" s="4"/>
      <c r="U20" s="72"/>
      <c r="V20" s="4"/>
      <c r="W20" s="4"/>
      <c r="X20" s="4"/>
      <c r="Y20" s="4"/>
      <c r="Z20" s="4"/>
      <c r="AA20" s="4" t="str">
        <f>"3. "&amp;verze!$E$105</f>
        <v>3. vyber, jaké ceny se budou zobrazovat:</v>
      </c>
      <c r="AB20" s="71"/>
      <c r="AC20" s="71"/>
      <c r="AD20" s="71"/>
      <c r="AE20" s="71"/>
      <c r="AF20" s="71"/>
      <c r="AG20" s="71"/>
      <c r="AH20" s="71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4.4" customHeight="1">
      <c r="B21" s="506"/>
      <c r="C21" s="506"/>
      <c r="D21" s="506"/>
      <c r="E21" s="506"/>
      <c r="F21" s="506"/>
      <c r="G21" s="506"/>
      <c r="H21" s="506"/>
      <c r="I21" s="506"/>
      <c r="J21" s="506"/>
      <c r="K21" s="506"/>
      <c r="L21" s="506"/>
      <c r="M21" s="506"/>
      <c r="S21" s="76"/>
      <c r="T21" s="72"/>
      <c r="U21" s="72"/>
      <c r="V21" s="4"/>
      <c r="W21" s="4"/>
      <c r="X21" s="4"/>
      <c r="Y21" s="4"/>
      <c r="Z21" s="4"/>
      <c r="AA21" s="4" t="str">
        <f>"   - "&amp;verze!$E$106</f>
        <v xml:space="preserve">   - základní ceny, tj. ceníkové bez slevy</v>
      </c>
      <c r="AB21" s="71"/>
      <c r="AC21" s="71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4.4" customHeight="1">
      <c r="A22" s="4"/>
      <c r="B22" s="507" t="str">
        <f>verze!E36</f>
        <v>Telefon, fax, e-mail</v>
      </c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4"/>
      <c r="O22" s="4"/>
      <c r="P22" s="4"/>
      <c r="Q22" s="4"/>
      <c r="R22" s="4"/>
      <c r="S22" s="76"/>
      <c r="T22" s="76"/>
      <c r="U22" s="76"/>
      <c r="V22" s="4"/>
      <c r="W22" s="4"/>
      <c r="X22" s="4"/>
      <c r="Y22" s="4"/>
      <c r="Z22" s="4"/>
      <c r="AA22" s="4" t="str">
        <f>"   - "&amp;verze!$E$107</f>
        <v xml:space="preserve">   - nákupní ceny, tj. ceny se slevou od prodejce</v>
      </c>
      <c r="AB22" s="71"/>
      <c r="AC22" s="71"/>
      <c r="AD22" s="76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96"/>
      <c r="AT22" s="4"/>
    </row>
    <row r="23" spans="1:46" ht="14.4" customHeight="1">
      <c r="A23" s="4"/>
      <c r="B23" s="506"/>
      <c r="C23" s="506"/>
      <c r="D23" s="506"/>
      <c r="E23" s="506"/>
      <c r="F23" s="506"/>
      <c r="G23" s="506"/>
      <c r="H23" s="506"/>
      <c r="I23" s="506"/>
      <c r="J23" s="506"/>
      <c r="K23" s="506"/>
      <c r="L23" s="506"/>
      <c r="M23" s="506"/>
      <c r="N23" s="4"/>
      <c r="O23" s="4"/>
      <c r="P23" s="4"/>
      <c r="Q23" s="4"/>
      <c r="R23" s="4"/>
      <c r="S23" s="76"/>
      <c r="T23" s="76"/>
      <c r="U23" s="76"/>
      <c r="V23" s="4"/>
      <c r="W23" s="4"/>
      <c r="X23" s="4"/>
      <c r="Y23" s="4"/>
      <c r="Z23" s="4"/>
      <c r="AA23" s="4"/>
      <c r="AB23" s="4"/>
      <c r="AC23" s="4"/>
      <c r="AD23" s="76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4.4" customHeight="1">
      <c r="A24" s="4"/>
      <c r="B24" s="506"/>
      <c r="C24" s="506"/>
      <c r="D24" s="506"/>
      <c r="E24" s="506"/>
      <c r="F24" s="506"/>
      <c r="G24" s="506"/>
      <c r="H24" s="506"/>
      <c r="I24" s="506"/>
      <c r="J24" s="506"/>
      <c r="K24" s="506"/>
      <c r="L24" s="506"/>
      <c r="M24" s="50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 t="str">
        <f>verze!$E$110</f>
        <v>Zadáte-li slevu s mínusovým znamínkem, zobrazí se ceny o tuto hodnotu vyšší.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4.4" customHeight="1">
      <c r="A25" s="4"/>
      <c r="B25" s="506"/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4.4" customHeight="1">
      <c r="A26" s="4"/>
      <c r="B26" s="29"/>
      <c r="C26" s="2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  <c r="AJ26" s="5"/>
      <c r="AK26" s="5"/>
      <c r="AL26" s="5"/>
      <c r="AM26" s="5"/>
      <c r="AN26" s="4"/>
      <c r="AO26" s="4"/>
      <c r="AP26" s="4"/>
      <c r="AQ26" s="4"/>
      <c r="AR26" s="4"/>
      <c r="AS26" s="4"/>
      <c r="AT26" s="4"/>
    </row>
    <row r="27" spans="1:46" ht="14.4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5"/>
      <c r="AJ27" s="5"/>
      <c r="AK27" s="5"/>
      <c r="AL27" s="5"/>
      <c r="AM27" s="5"/>
      <c r="AN27" s="4"/>
      <c r="AO27" s="4"/>
      <c r="AP27" s="4"/>
      <c r="AQ27" s="4"/>
      <c r="AR27" s="4"/>
      <c r="AS27" s="4"/>
      <c r="AT27" s="4"/>
    </row>
    <row r="28" spans="1:46" ht="14.4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5"/>
      <c r="AJ28" s="5"/>
      <c r="AK28" s="5"/>
      <c r="AL28" s="5"/>
      <c r="AM28" s="5"/>
      <c r="AN28" s="4"/>
      <c r="AO28" s="4"/>
      <c r="AP28" s="4"/>
      <c r="AQ28" s="4"/>
      <c r="AR28" s="4"/>
      <c r="AS28" s="4"/>
      <c r="AT28" s="4"/>
    </row>
    <row r="29" spans="1:46" ht="14.4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5"/>
      <c r="AJ29" s="5"/>
      <c r="AK29" s="5"/>
      <c r="AL29" s="5"/>
      <c r="AM29" s="5"/>
      <c r="AN29" s="4"/>
      <c r="AO29" s="4"/>
      <c r="AP29" s="4"/>
      <c r="AQ29" s="4"/>
      <c r="AR29" s="4"/>
      <c r="AS29" s="4"/>
      <c r="AT29" s="4"/>
    </row>
    <row r="30" spans="1:46" ht="14.4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5"/>
      <c r="AJ30" s="5"/>
      <c r="AK30" s="5"/>
      <c r="AL30" s="5"/>
      <c r="AM30" s="5"/>
      <c r="AN30" s="4"/>
      <c r="AO30" s="4"/>
      <c r="AP30" s="4"/>
      <c r="AQ30" s="4"/>
      <c r="AR30" s="4"/>
      <c r="AS30" s="4"/>
      <c r="AT30" s="4"/>
    </row>
    <row r="31" spans="1:4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sheetProtection password="DD97" sheet="1"/>
  <mergeCells count="30">
    <mergeCell ref="B12:M12"/>
    <mergeCell ref="B13:M13"/>
    <mergeCell ref="B15:M15"/>
    <mergeCell ref="T9:V9"/>
    <mergeCell ref="U2:Y2"/>
    <mergeCell ref="B9:M9"/>
    <mergeCell ref="B10:M10"/>
    <mergeCell ref="B11:M11"/>
    <mergeCell ref="T10:V10"/>
    <mergeCell ref="AA7:AH7"/>
    <mergeCell ref="B7:M7"/>
    <mergeCell ref="B8:M8"/>
    <mergeCell ref="AO2:AR2"/>
    <mergeCell ref="P7:W7"/>
    <mergeCell ref="B2:E2"/>
    <mergeCell ref="G2:K2"/>
    <mergeCell ref="O2:S2"/>
    <mergeCell ref="AA2:AE2"/>
    <mergeCell ref="AI2:AM2"/>
    <mergeCell ref="B24:M24"/>
    <mergeCell ref="B25:M25"/>
    <mergeCell ref="B14:M14"/>
    <mergeCell ref="B18:M18"/>
    <mergeCell ref="B22:M22"/>
    <mergeCell ref="B20:M20"/>
    <mergeCell ref="B21:M21"/>
    <mergeCell ref="B23:M23"/>
    <mergeCell ref="B19:M19"/>
    <mergeCell ref="B16:M16"/>
    <mergeCell ref="B17:M17"/>
  </mergeCells>
  <conditionalFormatting sqref="T18:U18 U19">
    <cfRule type="expression" dxfId="739" priority="4" stopIfTrue="1">
      <formula>#REF!=1</formula>
    </cfRule>
  </conditionalFormatting>
  <hyperlinks>
    <hyperlink ref="B2:E2" location="FORM!A1" display="späť"/>
    <hyperlink ref="G2:K2" location="FORM!A1" display="Úvod"/>
  </hyperlink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rgb="FFFFFF00"/>
  </sheetPr>
  <dimension ref="A1:BK135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SUM(BB5:BB990)</f>
        <v>0</v>
      </c>
      <c r="BD4" s="105" t="s">
        <v>40</v>
      </c>
      <c r="BK4" s="444">
        <f>SUM(BK5:BK985)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AVANTECH YOU BOKY V SADĚ V187 MM NL270 MM STŘÍBRNÁ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847.2</v>
      </c>
      <c r="BB5" s="107">
        <f t="shared" ref="BB5:BB66" si="0">IF(BA5="","",BA5*AY5)</f>
        <v>0</v>
      </c>
      <c r="BD5" s="441">
        <f>OBJ!B116</f>
        <v>9255044</v>
      </c>
      <c r="BE5" s="23" t="str">
        <f>VLOOKUP(BD5,CENY!$B$11:$G$1034,2,FALSE)</f>
        <v>AVANTECH YOU BOK V187 MM NL270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293.88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438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AVANTECH YOU BOKY V SADĚ V187 MM NL300 MM STŘÍBRNÁ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7" si="1">IF(AY6="","",IF($AW$4=1,AY6,0))</f>
        <v>0</v>
      </c>
      <c r="BA6" s="107">
        <f>VLOOKUP(AU6,CENY!$B$11:$M$2005,12,FALSE)</f>
        <v>853.97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AVANTECH YOU BOK V187 MM NL270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293.88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AVANTECH YOU BOKY V SADĚ V187 MM NL350 MM STŘÍBRNÁ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865.25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AVANTECH YOU BOK V187 MM NL300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297.16000000000003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AVANTECH YOU BOKY V SADĚ V187 MM NL400 MM STŘÍBRNÁ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876.53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AVANTECH YOU BOK V187 MM NL300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297.16000000000003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OBJ!B110</f>
        <v>9255266</v>
      </c>
      <c r="AV9" s="23" t="str">
        <f>VLOOKUP(AU9,CENY!$B$11:$G$1034,2,FALSE)</f>
        <v>AVANTECH YOU BOKY V SADĚ V187 MM NL450 MM STŘÍBRNÁ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887.81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AVANTECH YOU BOK V187 MM NL350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302.63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OBJ!B111</f>
        <v>9255267</v>
      </c>
      <c r="AV10" s="23" t="str">
        <f>VLOOKUP(AU10,CENY!$B$11:$G$1034,2,FALSE)</f>
        <v>AVANTECH YOU BOKY V SADĚ V187 MM NL500 MM STŘÍBRNÁ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899.09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AVANTECH YOU BOK V187 MM NL350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302.63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AVANTECH YOU BOKY V SADĚ V187 MM NL550 MM STŘÍBRNÁ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910.37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AVANTECH YOU BOK V187 MM NL400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308.10000000000002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AVANTECH YOU BOKY V SADĚ V187 MM NL600 MM STŘÍBRNÁ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927.39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AVANTECH YOU BOK V187 MM NL400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308.10000000000002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OBJ!B114</f>
        <v>9255270</v>
      </c>
      <c r="AV13" s="23" t="str">
        <f>VLOOKUP(AU13,CENY!$B$11:$G$1034,2,FALSE)</f>
        <v>AVANTECH YOU BOKY V SADĚ V187 MM NL650 MM STŘÍBRNÁ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950.52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AVANTECH YOU BOK V187 MM NL450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313.57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AVANTECH YOU BOK V187 MM NL450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313.57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AVANTECH YOU DEKORATIVNÍ PROFIL NL270 MM STŘÍBRNÝ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9.18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AVANTECH YOU BOK V187 MM NL500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319.02999999999997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AVANTECH YOU DEKORATIVNÍ PROFIL NL300 MM STŘÍBRNÝ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9.2799999999999994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AVANTECH YOU BOK V187 MM NL500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319.02999999999997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AVANTECH YOU DEKORATIVNÍ PROFIL NL350 MM STŘÍBRNÝ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9.4499999999999993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AVANTECH YOU BOK V187 MM NL550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324.5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AVANTECH YOU DEKORATIVNÍ PROFIL NL400 MM STŘÍBRNÝ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9.6199999999999992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AVANTECH YOU BOK V187 MM NL550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324.5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45"/>
      <c r="V19" s="446"/>
      <c r="W19" s="445"/>
      <c r="X19" s="446"/>
      <c r="Y19" s="445"/>
      <c r="Z19" s="446"/>
      <c r="AA19" s="445"/>
      <c r="AB19" s="446"/>
      <c r="AC19" s="445"/>
      <c r="AD19" s="446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AVANTECH YOU DEKORATIVNÍ PROFIL NL450 MM STŘÍBRNÝ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9.8000000000000007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AVANTECH YOU BOK V187 MM NL600 MM STŘÍBRNÝ LEVÝ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332.75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AVANTECH YOU DEKORATIVNÍ PROFIL NL500 MM STŘÍBRNÝ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9.9700000000000006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AVANTECH YOU BOK V187 MM NL600 MM STŘÍBRNÝ PRAVÝ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332.75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45"/>
      <c r="P21" s="446"/>
      <c r="Q21" s="445"/>
      <c r="R21" s="446"/>
      <c r="S21" s="445"/>
      <c r="T21" s="446"/>
      <c r="U21" s="445"/>
      <c r="V21" s="446"/>
      <c r="W21" s="445"/>
      <c r="X21" s="446"/>
      <c r="Y21" s="445"/>
      <c r="Z21" s="446"/>
      <c r="AA21" s="445"/>
      <c r="AB21" s="446"/>
      <c r="AC21" s="445"/>
      <c r="AD21" s="446"/>
      <c r="AE21" s="445"/>
      <c r="AF21" s="446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AVANTECH YOU DEKORATIVNÍ PROFIL NL550 MM STŘÍBRNÝ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10.14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AVANTECH YOU BOK V187 MM NL650 MM STŘÍBRNÝ LEVÝ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343.97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AVANTECH YOU DEKORATIVNÍ PROFIL NL600 MM STŘÍBRNÝ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10.39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AVANTECH YOU BOK V187 MM NL650 MM STŘÍBRNÝ PRAVÝ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343.97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AVANTECH YOU DEKORATIVNÍ PROFIL NL650 MM STŘÍBRNÝ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10.74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OBJ!B135</f>
        <v>9255838</v>
      </c>
      <c r="BE24" s="23" t="str">
        <f>VLOOKUP(BD24,CENY!$B$11:$G$1034,2,FALSE)</f>
        <v>AVANTECH YOU PŘÍCHYTKA ČELA V187 / 251 MM K NAŠROUBOVÁNÍ</v>
      </c>
      <c r="BF24" s="24">
        <f>VLOOKUP(BD24,CENY!$B$11:$G$1034,3,FALSE)</f>
        <v>200</v>
      </c>
      <c r="BG24" s="24"/>
      <c r="BH24" s="25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53.15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 10KG PLNOVÝSUV 270 MM EB21 SILENT SYSTEM SADA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AVANTECH YOU STABILIZÁTOR ZAD V101/139/187/251 MM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13.29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 10KG PLNOVÝSUV 300 MM EB21 SILENT SYSTEM SADA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561.63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45"/>
      <c r="V27" s="446"/>
      <c r="W27" s="445"/>
      <c r="X27" s="446"/>
      <c r="Y27" s="445"/>
      <c r="Z27" s="446"/>
      <c r="AA27" s="445"/>
      <c r="AB27" s="446"/>
      <c r="AC27" s="445"/>
      <c r="AD27" s="446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 10KG PLNOVÝSUV 350 MM EB21 SILENT SYSTEM SADA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561.63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AVANTECH YOU DEKORATIVNÍ PROFIL NL270 MM STŘÍBRNÝ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9.18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AVANTECH YOU DEKORATIVNÍ PROFIL NL300 MM STŘÍBRNÝ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9.2799999999999994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45"/>
      <c r="P29" s="446"/>
      <c r="Q29" s="445"/>
      <c r="R29" s="446"/>
      <c r="S29" s="445"/>
      <c r="T29" s="446"/>
      <c r="U29" s="445"/>
      <c r="V29" s="446"/>
      <c r="W29" s="445"/>
      <c r="X29" s="446"/>
      <c r="Y29" s="445"/>
      <c r="Z29" s="446"/>
      <c r="AA29" s="445"/>
      <c r="AB29" s="446"/>
      <c r="AC29" s="445"/>
      <c r="AD29" s="446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 40KG PLNOVÝSUV 270 MM EB21 SILENT SYSTEM SADA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561.63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AVANTECH YOU DEKORATIVNÍ PROFIL NL350 MM STŘÍBRNÝ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9.4499999999999993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 40KG PLNOVÝSUV 300 MM EB21 SILENT SYSTEM SADA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561.63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AVANTECH YOU DEKORATIVNÍ PROFIL NL400 MM STŘÍBRNÝ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9.6199999999999992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 40KG PLNOVÝSUV 350 MM EB21 SILENT SYSTEM SADA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561.63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AVANTECH YOU DEKORATIVNÍ PROFIL NL450 MM STŘÍBRNÝ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9.8000000000000007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OBJ!B239</f>
        <v>9257004</v>
      </c>
      <c r="AV32" s="23" t="str">
        <f>VLOOKUP(AU32,CENY!$B$11:$G$1034,2,FALSE)</f>
        <v>ACTRO YOU 40KG PLNOVÝSUV 400 MM EB21 SILENT SYSTEM SADA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567.85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AVANTECH YOU DEKORATIVNÍ PROFIL NL500 MM STŘÍBRNÝ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9.9700000000000006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OBJ!B240</f>
        <v>9257006</v>
      </c>
      <c r="AV33" s="23" t="str">
        <f>VLOOKUP(AU33,CENY!$B$11:$G$1034,2,FALSE)</f>
        <v>ACTRO YOU 40KG PLNOVÝSUV 450 MM EB21 SILENT SYSTEM SADA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574.04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AVANTECH YOU DEKORATIVNÍ PROFIL NL550 MM STŘÍBRNÝ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10.14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OBJ!B241</f>
        <v>9257008</v>
      </c>
      <c r="AV34" s="23" t="str">
        <f>VLOOKUP(AU34,CENY!$B$11:$G$1034,2,FALSE)</f>
        <v>ACTRO YOU 40KG PLNOVÝSUV 500 MM EB21 SILENT SYSTEM SADA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580.26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AVANTECH YOU DEKORATIVNÍ PROFIL NL600 MM STŘÍBRNÝ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10.39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 40KG PLNOVÝSUV 550 MM EB21 SILENT SYSTEM SADA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613.44000000000005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AVANTECH YOU DEKORATIVNÍ PROFIL NL650 MM STŘÍBRNÝ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10.74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 40KG PLNOVÝSUV 600 MM EB21 SILENT SYSTÉM SADA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620.78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 10KG PLNOVÝSUV 270 MM EB21 SILENT SYSTEM LEVÝ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 70KG PLNOVÝSUV 450 MM EB21 SILENT SYSTEM SADA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691.9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 10KG PLNOVÝSUV 270 MM EB21 SILENT SYSTEM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 70KG PLNOVÝSUV 500 MM EB21 SILENT SYSTEM SADA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698.13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 10KG PLNOVÝSUV 300 MM EB21 SILENT SYSTEM LEVÝ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 70KG PLNOVÝSUV 550 MM EB21 SILENT SYSTEM SADA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731.3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 10KG PLNOVÝSUV 300 MM EB21 SILENT SYSTEM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243.93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 70KG PLNOVÝSUV 600 MM EB21 SILENT SYSTEM SADA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798.31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 10KG PLNOVÝSUV 350 MM EB21 SILENT SYSTEM LEVÝ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243.93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 70KG PLNOVÝSUV 650 MM EB21 SILENT SYSTEM SADA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828.55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 10KG PLNOVÝSUV 350 MM EB21 SILENT SYSTEM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243.93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PUSH TO OPEN SILENT ACTRO YOU / ACTRO 5D 10 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544.37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 40KG PLNOVÝSUV 270 MM EB21 SILENT SYSTEM LEVÝ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243.93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PUSH TO OPEN SILENT ACTRO YOU / ACTRO 5D 20 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544.37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 40KG PLNOVÝSUV 270 MM EB21 SILENT SYSTEM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243.93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PUSH TO OPEN SILENT ACTRO YOU / ACTRO 5D 40 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544.37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 40KG PLNOVÝSUV 300 MM EB21 SILENT SYSTEM LEVÝ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243.93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PUSH TO OPEN SILENT ACTRO YOU / ACTRO 5D 70 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544.37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 40KG PLNOVÝSUV 300 MM EB21 SILENT SYSTEM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243.93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SYNCHRONIZAČNÍ TYČ 2000 MM</v>
      </c>
      <c r="AW48" s="24">
        <f>VLOOKUP(AU48,CENY!$B$11:$G$1034,3,FALSE)</f>
        <v>100</v>
      </c>
      <c r="AX48" s="24"/>
      <c r="AY48" s="25">
        <f>SUM(AN19:AO22)+SUM(AN27:AO29)+SUM(O30:AD30)</f>
        <v>0</v>
      </c>
      <c r="AZ48" s="451">
        <f t="shared" si="1"/>
        <v>0</v>
      </c>
      <c r="BA48" s="107">
        <f>VLOOKUP(AU48,CENY!$B$11:$M$2005,12,FALSE)</f>
        <v>144.30000000000001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 40KG PLNOVÝSUV 350 MM EB21 SILENT SYSTEM LEVÝ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243.93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 40KG PLNOVÝSUV 350 MM EB21 SILENT SYSTEM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243.93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 10 KG PLNOVÝSUV 270 MM EB21 SILENT SYSTEM SADA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413.4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 40KG PLNOVÝSUV 400 MM EB21 SILENT SYSTEM LEVÝ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247.05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 10 KG PLNOVÝSUV 300 MM EB21 SILENT SYSTEM SADA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414.13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 40KG PLNOVÝSUV 400 MM EB21 SILENT SYSTEM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247.05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 10 KG PLNOVÝSUV 350 MM EB21 SILENT SYSTEM SADA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421.61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 40KG PLNOVÝSUV 450 MM EB21 SILENT SYSTEM LEVÝ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250.14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 40KG PLNOVÝSUV 450 MM EB21 SILENT SYSTEM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250.14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 PLNOVÝSUV 270 MM EB21 SILENT SYSTEM SADA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372.29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 40KG PLNOVÝSUV 500 MM EB21 SILENT SYSTEM LEVÝ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253.25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 PLNOVÝSUV 300 MM EB21 SILENT SYSTEM SADA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369.3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 40KG PLNOVÝSUV 500 MM EB21 SILENT SYSTEM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253.25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 PLNOVÝSUV 350 MM EB21 SILENT SYSTEM SADA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376.77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 40KG PLNOVÝSUV 550 MM EB21 SILENT SYSTEM LEVÝ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269.83999999999997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 PLNOVÝSUV 400 MM EB21 SILENT SYSTEM SADA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384.24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 40KG PLNOVÝSUV 550 MM EB21 SILENT SYSTEM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269.83999999999997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 PLNOVÝSUV 450 MM EB21 SILENT SYSTEM SADA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391.72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 40KG PLNOVÝSUV 600 MM EB21 SILENT SYSTÉM LEVÝ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273.51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 PLNOVÝSUV 500 MM EB21 SILENT SYSTEM SADA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399.19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 40KG PLNOVÝSUV 600 MM EB21 SILENT SYSTÉM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273.51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 PLNOVÝSUV 550 MM EB21 SILENT SYSTEM SADA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412.64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 PLNOVÝSUV 600 MM EB21 SILENT SYSTEM SADA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420.11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 70KG PLNOVÝSUV 450 MM EB21 SILENT SYSTEM LEVÝ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309.07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 70KG PLNOVÝSUV 450 MM EB21 SILENT SYSTEM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309.07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PUSH TO OPEN SILENT QUADRO YOU 10 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544.37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 70KG PLNOVÝSUV 500 MM EB21 SILENT SYSTEM LEVÝ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312.18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PUSH TO OPEN SILENT QUADRO YOU 20 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544.37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 70KG PLNOVÝSUV 500 MM EB21 SILENT SYSTEM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312.18</v>
      </c>
      <c r="BK64" s="107">
        <f t="shared" si="3"/>
        <v>0</v>
      </c>
    </row>
    <row r="65" spans="47:63" ht="14.4" customHeight="1">
      <c r="AU65" s="441">
        <f>OBJ!B324</f>
        <v>9257896</v>
      </c>
      <c r="AV65" s="23" t="str">
        <f>VLOOKUP(AU65,CENY!$B$11:$G$1034,2,FALSE)</f>
        <v>PUSH TO OPEN SILENT QUADRO YOU 30 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544.37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 70KG PLNOVÝSUV 550 MM EB21 SILENT SYSTEM LEVÝ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328.77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 70KG PLNOVÝSUV 550 MM EB21 SILENT SYSTEM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328.77</v>
      </c>
      <c r="BK66" s="107">
        <f t="shared" si="3"/>
        <v>0</v>
      </c>
    </row>
    <row r="67" spans="47:63" ht="14.4" customHeight="1">
      <c r="AU67" s="441">
        <f>OBJ!B326</f>
        <v>9256928</v>
      </c>
      <c r="AV67" s="23" t="str">
        <f>VLOOKUP(AU67,CENY!$B$11:$G$1034,2,FALSE)</f>
        <v>QUADRO YOU PLNOVÝSUV 270 MM EB21 PUSH TO OPEN SADA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413.4</v>
      </c>
      <c r="BB67" s="107">
        <f t="shared" ref="BB67:BB130" si="4">IF(BA67="","",BA67*AY67)</f>
        <v>0</v>
      </c>
      <c r="BD67" s="441">
        <f>OBJ!B272</f>
        <v>9257025</v>
      </c>
      <c r="BE67" s="23" t="str">
        <f>VLOOKUP(BD67,CENY!$B$11:$G$1034,2,FALSE)</f>
        <v>ACTRO YOU 70KG PLNOVÝSUV 600 MM EB21 SILENT SYSTEM LEVÝ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362.28</v>
      </c>
      <c r="BK67" s="107">
        <f t="shared" si="3"/>
        <v>0</v>
      </c>
    </row>
    <row r="68" spans="47:63" ht="14.4" customHeight="1">
      <c r="AU68" s="441">
        <f>OBJ!B327</f>
        <v>9256929</v>
      </c>
      <c r="AV68" s="23" t="str">
        <f>VLOOKUP(AU68,CENY!$B$11:$G$1034,2,FALSE)</f>
        <v>QUADRO YOU PLNOVÝSUV 300 MM EB21 PUSH TO OPEN SADA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ref="AZ68:AZ131" si="5">IF(AY68="","",IF($AW$4=1,AY68,0))</f>
        <v>0</v>
      </c>
      <c r="BA68" s="107">
        <f>VLOOKUP(AU68,CENY!$B$11:$M$2005,12,FALSE)</f>
        <v>414.13</v>
      </c>
      <c r="BB68" s="107">
        <f t="shared" si="4"/>
        <v>0</v>
      </c>
      <c r="BD68" s="441">
        <f>OBJ!B273</f>
        <v>9257026</v>
      </c>
      <c r="BE68" s="23" t="str">
        <f>VLOOKUP(BD68,CENY!$B$11:$G$1034,2,FALSE)</f>
        <v>ACTRO YOU 70KG PLNOVÝSUV 600 MM EB21 SILENT SYSTEM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362.28</v>
      </c>
      <c r="BK68" s="107">
        <f t="shared" si="3"/>
        <v>0</v>
      </c>
    </row>
    <row r="69" spans="47:63" ht="14.4" customHeight="1">
      <c r="AU69" s="441">
        <f>OBJ!B328</f>
        <v>9256931</v>
      </c>
      <c r="AV69" s="23" t="str">
        <f>VLOOKUP(AU69,CENY!$B$11:$G$1034,2,FALSE)</f>
        <v>QUADRO YOU PLNOVÝSUV 350 MM EB21 PUSH TO OPEN SADA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5"/>
        <v>0</v>
      </c>
      <c r="BA69" s="107">
        <f>VLOOKUP(AU69,CENY!$B$11:$M$2005,12,FALSE)</f>
        <v>421.61</v>
      </c>
      <c r="BB69" s="107">
        <f t="shared" si="4"/>
        <v>0</v>
      </c>
      <c r="BD69" s="441">
        <f>OBJ!B274</f>
        <v>9257027</v>
      </c>
      <c r="BE69" s="23" t="str">
        <f>VLOOKUP(BD69,CENY!$B$11:$G$1034,2,FALSE)</f>
        <v>ACTRO YOU 70KG PLNOVÝSUV 650 MM EB21 SILENT SYSTEM LEVÝ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377.39</v>
      </c>
      <c r="BK69" s="107">
        <f t="shared" si="3"/>
        <v>0</v>
      </c>
    </row>
    <row r="70" spans="47:63" ht="14.4" customHeight="1">
      <c r="AU70" s="441">
        <f>OBJ!B329</f>
        <v>9256933</v>
      </c>
      <c r="AV70" s="23" t="str">
        <f>VLOOKUP(AU70,CENY!$B$11:$G$1034,2,FALSE)</f>
        <v>QUADRO YOU PLNOVÝSUV 400 MM EB21 PUSH TO OPEN SADA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si="5"/>
        <v>0</v>
      </c>
      <c r="BA70" s="107">
        <f>VLOOKUP(AU70,CENY!$B$11:$M$2005,12,FALSE)</f>
        <v>429.08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 70KG PLNOVÝSUV 650 MM EB21 SILENT SYSTEM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33" si="6">IF(BH70="","",IF($AW$4=0,BH70,0))</f>
        <v>0</v>
      </c>
      <c r="BJ70" s="107">
        <f>VLOOKUP(BD70,CENY!$B$11:$M$2005,12,FALSE)</f>
        <v>377.39</v>
      </c>
      <c r="BK70" s="107">
        <f t="shared" ref="BK70:BK133" si="7">IF(BJ70="","",BJ70*BH70)</f>
        <v>0</v>
      </c>
    </row>
    <row r="71" spans="47:63" ht="14.4" customHeight="1">
      <c r="AU71" s="441">
        <f>OBJ!B330</f>
        <v>9256935</v>
      </c>
      <c r="AV71" s="23" t="str">
        <f>VLOOKUP(AU71,CENY!$B$11:$G$1034,2,FALSE)</f>
        <v>QUADRO YOU PLNOVÝSUV 450 MM EB21 PUSH TO OPEN SADA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436.55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47:63" ht="14.4" customHeight="1">
      <c r="AU72" s="441">
        <f>OBJ!B331</f>
        <v>9256937</v>
      </c>
      <c r="AV72" s="23" t="str">
        <f>VLOOKUP(AU72,CENY!$B$11:$G$1034,2,FALSE)</f>
        <v>QUADRO YOU PLNOVÝSUV 500 MM EB21 PUSH TO OPEN SADA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444.02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PUSH TO OPEN SILENT ACTRO YOU / ACTRO 5D 10 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544.37</v>
      </c>
      <c r="BK72" s="107">
        <f t="shared" si="7"/>
        <v>0</v>
      </c>
    </row>
    <row r="73" spans="47:63" ht="14.4" customHeight="1">
      <c r="AU73" s="441">
        <f>OBJ!B332</f>
        <v>9256939</v>
      </c>
      <c r="AV73" s="23" t="str">
        <f>VLOOKUP(AU73,CENY!$B$11:$G$1034,2,FALSE)</f>
        <v>QUADRO YOU PLNOVÝSUV 550 MM EB21 PUSH TO OPEN SADA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457.48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PUSH TO OPEN SILENT ACTRO YOU / ACTRO 5D 20 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544.37</v>
      </c>
      <c r="BK73" s="107">
        <f t="shared" si="7"/>
        <v>0</v>
      </c>
    </row>
    <row r="74" spans="47:63" ht="14.4" customHeight="1">
      <c r="AU74" s="441">
        <f>OBJ!B333</f>
        <v>9256941</v>
      </c>
      <c r="AV74" s="23" t="str">
        <f>VLOOKUP(AU74,CENY!$B$11:$G$1034,2,FALSE)</f>
        <v>QUADRO YOU PLNOVÝSUV 600 MM EB21 PUSH TO OPEN SADA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464.95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PUSH TO OPEN SILENT ACTRO YOU / ACTRO 5D 40 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544.37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PUSH TO OPEN SILENT ACTRO YOU / ACTRO 5D 70 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544.37</v>
      </c>
      <c r="BK75" s="107">
        <f t="shared" si="7"/>
        <v>0</v>
      </c>
    </row>
    <row r="76" spans="47:63" ht="14.4" customHeight="1">
      <c r="AU76" s="441">
        <f>OBJ!B351</f>
        <v>9219966</v>
      </c>
      <c r="AV76" s="23" t="str">
        <f>VLOOKUP(AU76,CENY!$B$11:$G$1034,2,FALSE)</f>
        <v>PUSH TO OPEN SYNCHRO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13.07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SYNCHRONIZAČNÍ TYČ 2000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144.30000000000001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47:63" ht="14.4" customHeight="1">
      <c r="AU78" s="442">
        <v>9255839</v>
      </c>
      <c r="AV78" s="443" t="str">
        <f>VLOOKUP(AU78,CENY!$B$11:$G$1034,2,FALSE)</f>
        <v>AVANTECH YOU PŘÍCHYTKA ČELA V187 / 251 MM K ZALISOVÁNÍ</v>
      </c>
      <c r="AW78" s="24">
        <f>VLOOKUP(AU78,CENY!$B$11:$G$1034,3,FALSE)</f>
        <v>200</v>
      </c>
      <c r="AX78" s="24"/>
      <c r="AY78" s="77">
        <f>IF(FORM!AM8=FORM!AU11,(2*(+SUM(O19:T19)+SUM(O20:AD20)+SUM(W22:AF22)+SUM(O27:T27)+SUM(O28:AD28)+SUM(O30:AD30))),0)</f>
        <v>0</v>
      </c>
      <c r="AZ78" s="451">
        <f t="shared" si="5"/>
        <v>0</v>
      </c>
      <c r="BA78" s="107">
        <f>VLOOKUP(AU78,CENY!$B$11:$M$2005,12,FALSE)</f>
        <v>53.8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 10 KG PLNOVÝSUV 270 MM EB21 SILENT SYSTEM LEVÝ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174.19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 10 KG PLNOVÝSUV 270 MM EB21 SILENT SYSTEM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174.19</v>
      </c>
      <c r="BK79" s="107">
        <f t="shared" si="7"/>
        <v>0</v>
      </c>
    </row>
    <row r="80" spans="47:63" ht="14.4" customHeight="1"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 t="shared" si="4"/>
        <v/>
      </c>
      <c r="BD80" s="441">
        <f>OBJ!B292</f>
        <v>9256946</v>
      </c>
      <c r="BE80" s="23" t="str">
        <f>VLOOKUP(BD80,CENY!$B$11:$G$1034,2,FALSE)</f>
        <v>QUADRO YOU 10 KG PLNOVÝSUV 300 MM EB21 SILENT SYSTEM LEVÝ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172.7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 10 KG PLNOVÝSUV 300 MM EB21 SILENT SYSTEM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172.7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 10 KG PLNOVÝSUV 350 MM EB21 SILENT SYSTEM LEVÝ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176.43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>
        <f>OBJ!B295</f>
        <v>9256951</v>
      </c>
      <c r="BE83" s="23" t="str">
        <f>VLOOKUP(BD83,CENY!$B$11:$G$1034,2,FALSE)</f>
        <v>QUADRO YOU 10 KG PLNOVÝSUV 350 MM EB21 SILENT SYSTEM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176.43</v>
      </c>
      <c r="BK83" s="107">
        <f t="shared" si="7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47:63" ht="14.4" customHeight="1"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 PLNOVÝSUV 270 MM EB21 SILENT SYSTEM LEVÝ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174.19</v>
      </c>
      <c r="BK85" s="107">
        <f t="shared" si="7"/>
        <v>0</v>
      </c>
    </row>
    <row r="86" spans="47:63" ht="14.4" customHeight="1"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 PLNOVÝSUV 270 MM EB21 SILENT SYSTEM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174.19</v>
      </c>
      <c r="BK86" s="107">
        <f t="shared" si="7"/>
        <v>0</v>
      </c>
    </row>
    <row r="87" spans="47:63" ht="14.4" customHeight="1">
      <c r="AU87" s="441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 PLNOVÝSUV 300 MM EB21 SILENT SYSTEM LEVÝ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172.7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 PLNOVÝSUV 300 MM EB21 SILENT SYSTEM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172.7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>
        <f>OBJ!B309</f>
        <v>9256860</v>
      </c>
      <c r="BE89" s="23" t="str">
        <f>VLOOKUP(BD89,CENY!$B$11:$G$1034,2,FALSE)</f>
        <v>QUADRO YOU PLNOVÝSUV 350 MM EB21 SILENT SYSTEM LEVÝ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176.43</v>
      </c>
      <c r="BK89" s="107">
        <f t="shared" si="7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OBJ!B310</f>
        <v>9256861</v>
      </c>
      <c r="BE90" s="23" t="str">
        <f>VLOOKUP(BD90,CENY!$B$11:$G$1034,2,FALSE)</f>
        <v>QUADRO YOU PLNOVÝSUV 350 MM EB21 SILENT SYSTEM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176.43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OBJ!B311</f>
        <v>9256864</v>
      </c>
      <c r="BE91" s="23" t="str">
        <f>VLOOKUP(BD91,CENY!$B$11:$G$1034,2,FALSE)</f>
        <v>QUADRO YOU PLNOVÝSUV 400 MM EB21 SILENT SYSTEM LEVÝ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180.17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OBJ!B312</f>
        <v>9256865</v>
      </c>
      <c r="BE92" s="23" t="str">
        <f>VLOOKUP(BD92,CENY!$B$11:$G$1034,2,FALSE)</f>
        <v>QUADRO YOU PLNOVÝSUV 400 MM EB21 SILENT SYSTEM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180.17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OBJ!B313</f>
        <v>9256868</v>
      </c>
      <c r="BE93" s="23" t="str">
        <f>VLOOKUP(BD93,CENY!$B$11:$G$1034,2,FALSE)</f>
        <v>QUADRO YOU PLNOVÝSUV 450 MM EB21 SILENT SYSTEM LEVÝ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183.9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 PLNOVÝSUV 450 MM EB21 SILENT SYSTEM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183.9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 PLNOVÝSUV 500 MM EB21 SILENT SYSTEM LEVÝ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187.64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 PLNOVÝSUV 500 MM EB21 SILENT SYSTEM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187.64</v>
      </c>
      <c r="BK96" s="107">
        <f t="shared" si="7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 PLNOVÝSUV 550 MM EB21 SILENT SYSTEM LEVÝ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194.36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 PLNOVÝSUV 550 MM EB21 SILENT SYSTEM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194.36</v>
      </c>
      <c r="BK98" s="107">
        <f t="shared" si="7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 PLNOVÝSUV 600 MM EB21 SILENT SYSTEM LEVÝ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198.1</v>
      </c>
      <c r="BK99" s="107">
        <f t="shared" si="7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 PLNOVÝSUV 600 MM EB21 SILENT SYSTEM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198.1</v>
      </c>
      <c r="BK100" s="107">
        <f t="shared" si="7"/>
        <v>0</v>
      </c>
    </row>
    <row r="101" spans="47:63"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47:63"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PUSH TO OPEN SILENT QUADRO YOU 10 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544.37</v>
      </c>
      <c r="BK102" s="107">
        <f t="shared" si="7"/>
        <v>0</v>
      </c>
    </row>
    <row r="103" spans="47:63"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PUSH TO OPEN SILENT QUADRO YOU 20 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544.37</v>
      </c>
      <c r="BK103" s="107">
        <f t="shared" si="7"/>
        <v>0</v>
      </c>
    </row>
    <row r="104" spans="47:63"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PUSH TO OPEN SILENT QUADRO YOU 30 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544.37</v>
      </c>
      <c r="BK104" s="107">
        <f t="shared" si="7"/>
        <v>0</v>
      </c>
    </row>
    <row r="105" spans="47:63"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 PLNOVÝSUV 270 MM EB21 PUSH TO OPEN LEVÝ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194.74</v>
      </c>
      <c r="BK106" s="107">
        <f t="shared" si="7"/>
        <v>0</v>
      </c>
    </row>
    <row r="107" spans="47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 PLNOVÝSUV 270 MM EB21 PUSH TO OPEN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194.74</v>
      </c>
      <c r="BK107" s="107">
        <f t="shared" si="7"/>
        <v>0</v>
      </c>
    </row>
    <row r="108" spans="47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 PLNOVÝSUV 300 MM EB21 PUSH TO OPEN LEVÝ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195.11</v>
      </c>
      <c r="BK108" s="107">
        <f t="shared" si="7"/>
        <v>0</v>
      </c>
    </row>
    <row r="109" spans="47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 PLNOVÝSUV 300 MM EB21 PUSH TO OPEN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195.11</v>
      </c>
      <c r="BK109" s="107">
        <f t="shared" si="7"/>
        <v>0</v>
      </c>
    </row>
    <row r="110" spans="47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 PLNOVÝSUV 350 MM EB21 PUSH TO OPEN LEVÝ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198.85</v>
      </c>
      <c r="BK110" s="107">
        <f t="shared" si="7"/>
        <v>0</v>
      </c>
    </row>
    <row r="111" spans="47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 PLNOVÝSUV 350 MM EB21 PUSH TO OPEN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198.85</v>
      </c>
      <c r="BK111" s="107">
        <f t="shared" si="7"/>
        <v>0</v>
      </c>
    </row>
    <row r="112" spans="47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 PLNOVÝSUV 400 MM EB21 PUSH TO OPEN LEVÝ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202.58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 PLNOVÝSUV 400 MM EB21 PUSH TO OPEN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202.58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 PLNOVÝSUV 450 MM EB21 PUSH TO OPEN LEVÝ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206.32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 PLNOVÝSUV 450 MM EB21 PUSH TO OPEN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206.32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 PLNOVÝSUV 500 MM EB21 PUSH TO OPEN LEVÝ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210.06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 PLNOVÝSUV 500 MM EB21 PUSH TO OPEN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210.06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 PLNOVÝSUV 550 MM EB21 PUSH TO OPEN LEVÝ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216.78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 PLNOVÝSUV 550 MM EB21 PUSH TO OPEN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216.78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 PLNOVÝSUV 600 MM EB21 PUSH TO OPEN LEVÝ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223.51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 PLNOVÝSUV 600 MM EB21 PUSH TO OPEN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223.51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13.07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 t="shared" si="7"/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441">
        <f>OBJ!B354</f>
        <v>45167</v>
      </c>
      <c r="AV127" s="23" t="str">
        <f>VLOOKUP(AU127,CENY!$B$11:$G$1034,2,FALSE)</f>
        <v>VRUT PANHEAD 35X12</v>
      </c>
      <c r="AW127" s="24">
        <f>VLOOKUP(AU127,CENY!$B$11:$G$1034,3,FALSE)</f>
        <v>200</v>
      </c>
      <c r="AX127" s="24"/>
      <c r="AY127" s="25">
        <f>SUMPRODUCT(AX5:AX13,AY5:AY13)</f>
        <v>0</v>
      </c>
      <c r="AZ127" s="451">
        <f t="shared" si="5"/>
        <v>0</v>
      </c>
      <c r="BA127" s="107">
        <f>VLOOKUP(AU127,CENY!$B$11:$M$2005,12,FALSE)</f>
        <v>0.54</v>
      </c>
      <c r="BB127" s="107">
        <f t="shared" si="4"/>
        <v>0</v>
      </c>
      <c r="BC127" s="97" t="s">
        <v>506</v>
      </c>
      <c r="BD127" s="441">
        <f>OBJ!B354</f>
        <v>45167</v>
      </c>
      <c r="BE127" s="23" t="str">
        <f>VLOOKUP(BD127,CENY!$B$11:$G$1034,2,FALSE)</f>
        <v>VRUT PANHEAD 35X12</v>
      </c>
      <c r="BF127" s="24">
        <f>VLOOKUP(BD127,CENY!$B$11:$G$1034,3,FALSE)</f>
        <v>200</v>
      </c>
      <c r="BG127" s="24"/>
      <c r="BH127" s="25">
        <f>AY127+BH25*2</f>
        <v>0</v>
      </c>
      <c r="BI127" s="451">
        <f>IF(BH127="","",IF($AW$4=0,BH127,0))</f>
        <v>0</v>
      </c>
      <c r="BJ127" s="107">
        <f>VLOOKUP(BD127,CENY!$B$11:$M$2005,12,FALSE)</f>
        <v>0.54</v>
      </c>
      <c r="BK127" s="107">
        <f>IF(BJ127="","",BJ127*BH127)</f>
        <v>0</v>
      </c>
    </row>
    <row r="128" spans="47:63">
      <c r="AU128" s="441">
        <f>OBJ!B355</f>
        <v>45168</v>
      </c>
      <c r="AV128" s="23" t="str">
        <f>VLOOKUP(AU128,CENY!$B$11:$G$1034,2,FALSE)</f>
        <v>VRUT PANHEAD 35X20</v>
      </c>
      <c r="AW128" s="24">
        <f>VLOOKUP(AU128,CENY!$B$11:$G$1034,3,FALSE)</f>
        <v>200</v>
      </c>
      <c r="AX128" s="24"/>
      <c r="AY128" s="497">
        <v>0</v>
      </c>
      <c r="AZ128" s="451">
        <f t="shared" si="5"/>
        <v>0</v>
      </c>
      <c r="BA128" s="107">
        <f>VLOOKUP(AU128,CENY!$B$11:$M$2005,12,FALSE)</f>
        <v>0.78</v>
      </c>
      <c r="BB128" s="107">
        <f t="shared" si="4"/>
        <v>0</v>
      </c>
      <c r="BC128" s="97" t="s">
        <v>507</v>
      </c>
      <c r="BD128" s="441">
        <f>OBJ!B355</f>
        <v>45168</v>
      </c>
      <c r="BE128" s="23" t="str">
        <f>VLOOKUP(BD128,CENY!$B$11:$G$1034,2,FALSE)</f>
        <v>VRUT PANHEAD 35X20</v>
      </c>
      <c r="BF128" s="24">
        <f>VLOOKUP(BD128,CENY!$B$11:$G$1034,3,FALSE)</f>
        <v>200</v>
      </c>
      <c r="BG128" s="24"/>
      <c r="BH128" s="497">
        <f>IF(FORM!$AM$8=FORM!$AU$10,BH24*4,0)</f>
        <v>0</v>
      </c>
      <c r="BI128" s="451">
        <f>IF(BH128="","",IF($AW$4=0,BH128,0))</f>
        <v>0</v>
      </c>
      <c r="BJ128" s="107">
        <f>VLOOKUP(BD128,CENY!$B$11:$M$2005,12,FALSE)</f>
        <v>0.78</v>
      </c>
      <c r="BK128" s="107">
        <f>IF(BJ128="","",BJ128*BH128)</f>
        <v>0</v>
      </c>
    </row>
    <row r="129" spans="47:63">
      <c r="AU129" s="441">
        <f>OBJ!B356</f>
        <v>9278224</v>
      </c>
      <c r="AV129" s="23" t="str">
        <f>VLOOKUP(AU129,CENY!$B$11:$G$1034,2,FALSE)</f>
        <v>AVANTECH YOU VRUT 3,5X30 PANHEAD POZINK.</v>
      </c>
      <c r="AW129" s="24">
        <f>VLOOKUP(AU129,CENY!$B$11:$G$1034,3,FALSE)</f>
        <v>200</v>
      </c>
      <c r="AX129" s="24"/>
      <c r="AY129" s="497">
        <v>0</v>
      </c>
      <c r="AZ129" s="451">
        <f t="shared" si="5"/>
        <v>0</v>
      </c>
      <c r="BA129" s="107">
        <f>VLOOKUP(AU129,CENY!$B$11:$M$2005,12,FALSE)</f>
        <v>0.73</v>
      </c>
      <c r="BB129" s="107">
        <f t="shared" si="4"/>
        <v>0</v>
      </c>
      <c r="BC129" s="97" t="s">
        <v>508</v>
      </c>
      <c r="BD129" s="441">
        <f>OBJ!B356</f>
        <v>9278224</v>
      </c>
      <c r="BE129" s="23" t="str">
        <f>VLOOKUP(BD129,CENY!$B$11:$G$1034,2,FALSE)</f>
        <v>AVANTECH YOU VRUT 3,5X30 PANHEAD POZINK.</v>
      </c>
      <c r="BF129" s="24">
        <f>VLOOKUP(BD129,CENY!$B$11:$G$1034,3,FALSE)</f>
        <v>200</v>
      </c>
      <c r="BG129" s="24"/>
      <c r="BH129" s="497">
        <f>2*SUM(BH5:BH22)</f>
        <v>0</v>
      </c>
      <c r="BI129" s="451">
        <f>IF(BH129="","",IF($AW$4=0,BH129,0))</f>
        <v>0</v>
      </c>
      <c r="BJ129" s="107">
        <f>VLOOKUP(BD129,CENY!$B$11:$M$2005,12,FALSE)</f>
        <v>0.73</v>
      </c>
      <c r="BK129" s="107">
        <f>IF(BJ129="","",BJ129*BH129)</f>
        <v>0</v>
      </c>
    </row>
    <row r="130" spans="47:63">
      <c r="AU130" s="441">
        <f>OBJ!B357</f>
        <v>9279197</v>
      </c>
      <c r="AV130" s="23" t="str">
        <f>VLOOKUP(AU130,CENY!$B$11:$G$1034,2,FALSE)</f>
        <v>SAMOŘEZNÝ ŠROUB 3,5X12 PANHEAD POZINK.</v>
      </c>
      <c r="AW130" s="24">
        <f>VLOOKUP(AU130,CENY!$B$11:$G$1034,3,FALSE)</f>
        <v>1000</v>
      </c>
      <c r="AX130" s="24"/>
      <c r="AY130" s="77">
        <v>0</v>
      </c>
      <c r="AZ130" s="451">
        <f t="shared" si="5"/>
        <v>0</v>
      </c>
      <c r="BA130" s="107">
        <f>VLOOKUP(AU130,CENY!$B$11:$M$2005,12,FALSE)</f>
        <v>1.51</v>
      </c>
      <c r="BB130" s="107">
        <f t="shared" si="4"/>
        <v>0</v>
      </c>
      <c r="BC130" s="97" t="s">
        <v>509</v>
      </c>
      <c r="BD130" s="441">
        <f>OBJ!B357</f>
        <v>9279197</v>
      </c>
      <c r="BE130" s="23" t="str">
        <f>VLOOKUP(BD130,CENY!$B$11:$G$1034,2,FALSE)</f>
        <v>SAMOŘEZNÝ ŠROUB 3,5X12 PANHEAD POZINK.</v>
      </c>
      <c r="BF130" s="24">
        <f>VLOOKUP(BD130,CENY!$B$11:$G$1034,3,FALSE)</f>
        <v>1000</v>
      </c>
      <c r="BG130" s="24"/>
      <c r="BH130" s="77">
        <f>AY130</f>
        <v>0</v>
      </c>
      <c r="BI130" s="451">
        <f>IF(BH130="","",IF($AW$4=0,BH130,0))</f>
        <v>0</v>
      </c>
      <c r="BJ130" s="107">
        <f>VLOOKUP(BD130,CENY!$B$11:$M$2005,12,FALSE)</f>
        <v>1.51</v>
      </c>
      <c r="BK130" s="107">
        <f>IF(BJ130="","",BJ130*BH130)</f>
        <v>0</v>
      </c>
    </row>
    <row r="131" spans="47:63">
      <c r="AU131" s="441">
        <f>OBJ!B358</f>
        <v>9137114</v>
      </c>
      <c r="AV131" s="23" t="str">
        <f>VLOOKUP(AU131,CENY!$B$11:$G$1034,2,FALSE)</f>
        <v>EUROŠROUB DBS 60 X 14</v>
      </c>
      <c r="AW131" s="24">
        <f>VLOOKUP(AU131,CENY!$B$11:$G$1034,3,FALSE)</f>
        <v>200</v>
      </c>
      <c r="AX131" s="24"/>
      <c r="AY131" s="25">
        <f>SUMPRODUCT(AX25:AX74,AY25:AY74)</f>
        <v>0</v>
      </c>
      <c r="AZ131" s="451">
        <f t="shared" si="5"/>
        <v>0</v>
      </c>
      <c r="BA131" s="107">
        <f>VLOOKUP(AU131,CENY!$B$11:$M$2005,12,FALSE)</f>
        <v>1.2</v>
      </c>
      <c r="BB131" s="107">
        <f>IF(BA131="","",BA131*AY131)</f>
        <v>0</v>
      </c>
      <c r="BC131" s="97" t="s">
        <v>510</v>
      </c>
      <c r="BD131" s="441">
        <f>OBJ!B358</f>
        <v>9137114</v>
      </c>
      <c r="BE131" s="23" t="str">
        <f>VLOOKUP(BD131,CENY!$B$11:$G$1034,2,FALSE)</f>
        <v>EUROŠROUB DBS 60 X 14</v>
      </c>
      <c r="BF131" s="24">
        <f>VLOOKUP(BD131,CENY!$B$11:$G$1034,3,FALSE)</f>
        <v>200</v>
      </c>
      <c r="BG131" s="24"/>
      <c r="BH131" s="25">
        <f>AY131</f>
        <v>0</v>
      </c>
      <c r="BI131" s="451">
        <f>IF(BH131="","",IF($AW$4=0,BH131,0))</f>
        <v>0</v>
      </c>
      <c r="BJ131" s="107">
        <f>VLOOKUP(BD131,CENY!$B$11:$M$2005,12,FALSE)</f>
        <v>1.2</v>
      </c>
      <c r="BK131" s="107">
        <f>IF(BJ131="","",BJ131*BH131)</f>
        <v>0</v>
      </c>
    </row>
    <row r="132" spans="47:63">
      <c r="AU132" s="22"/>
      <c r="AV132" s="23"/>
      <c r="AW132" s="24"/>
      <c r="AX132" s="24"/>
      <c r="AY132" s="25"/>
      <c r="AZ132" s="451" t="str">
        <f>IF(AY132="","",IF($AW$4=1,AY132,0))</f>
        <v/>
      </c>
      <c r="BA132" s="107"/>
      <c r="BB132" s="107" t="str">
        <f>IF(BA132="","",BA132*AY132)</f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7:63">
      <c r="AU133" s="22"/>
      <c r="AV133" s="23"/>
      <c r="AW133" s="24"/>
      <c r="AX133" s="24"/>
      <c r="AY133" s="25"/>
      <c r="AZ133" s="451" t="str">
        <f>IF(AY133="","",IF($AW$4=1,AY133,0))</f>
        <v/>
      </c>
      <c r="BA133" s="107"/>
      <c r="BB133" s="107" t="str">
        <f>IF(BA133="","",BA133*AY133)</f>
        <v/>
      </c>
      <c r="BD133" s="441"/>
      <c r="BE133" s="23"/>
      <c r="BF133" s="24"/>
      <c r="BG133" s="24"/>
      <c r="BH133" s="25"/>
      <c r="BI133" s="451" t="str">
        <f t="shared" si="6"/>
        <v/>
      </c>
      <c r="BJ133" s="107"/>
      <c r="BK133" s="107" t="str">
        <f t="shared" si="7"/>
        <v/>
      </c>
    </row>
    <row r="134" spans="47:63">
      <c r="BD134" s="441"/>
      <c r="BE134" s="23"/>
      <c r="BF134" s="24"/>
      <c r="BG134" s="24"/>
      <c r="BH134" s="25"/>
      <c r="BI134" s="451" t="str">
        <f>IF(BH134="","",IF($AW$4=0,BH134,0))</f>
        <v/>
      </c>
      <c r="BJ134" s="107"/>
      <c r="BK134" s="107" t="str">
        <f>IF(BJ134="","",BJ134*BH134)</f>
        <v/>
      </c>
    </row>
    <row r="135" spans="47:63">
      <c r="BD135" s="441"/>
      <c r="BE135" s="23"/>
      <c r="BF135" s="24"/>
      <c r="BG135" s="24"/>
      <c r="BH135" s="25"/>
      <c r="BI135" s="451" t="str">
        <f>IF(BH135="","",IF($AW$4=0,BH135,0))</f>
        <v/>
      </c>
      <c r="BJ135" s="107"/>
      <c r="BK135" s="107" t="str">
        <f>IF(BJ135="","",BJ135*BH135)</f>
        <v/>
      </c>
    </row>
  </sheetData>
  <sheetProtection password="DD97" sheet="1"/>
  <mergeCells count="112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I12"/>
    <mergeCell ref="J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AC28:AD28"/>
    <mergeCell ref="AN28:AO28"/>
    <mergeCell ref="B28:G28"/>
    <mergeCell ref="H28:L28"/>
    <mergeCell ref="M28:N28"/>
    <mergeCell ref="O28:P28"/>
    <mergeCell ref="Q28:R28"/>
    <mergeCell ref="S28:T28"/>
    <mergeCell ref="Y30:Z30"/>
    <mergeCell ref="U28:V28"/>
    <mergeCell ref="W28:X28"/>
    <mergeCell ref="Y28:Z28"/>
    <mergeCell ref="AA28:AB28"/>
    <mergeCell ref="AA30:AB30"/>
    <mergeCell ref="AC30:AD30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</mergeCells>
  <conditionalFormatting sqref="BH26:BH85 AY5:AY42 BH5:BH24 AZ6:AZ126 AZ132:AZ133">
    <cfRule type="cellIs" dxfId="601" priority="35" stopIfTrue="1" operator="equal">
      <formula>0</formula>
    </cfRule>
  </conditionalFormatting>
  <conditionalFormatting sqref="AY53:AY56 AY66:AY69 AY43:AY50">
    <cfRule type="cellIs" dxfId="600" priority="32" stopIfTrue="1" operator="equal">
      <formula>0</formula>
    </cfRule>
  </conditionalFormatting>
  <conditionalFormatting sqref="O17:AF17 O19:T19 O20:AD20 W22:AF22 O27:T27 O28:AD28 O30:AD30">
    <cfRule type="expression" dxfId="599" priority="34" stopIfTrue="1">
      <formula>$AW$4=0</formula>
    </cfRule>
  </conditionalFormatting>
  <conditionalFormatting sqref="AY76:AY77 AY79 AY81:AY83">
    <cfRule type="cellIs" dxfId="598" priority="31" stopIfTrue="1" operator="equal">
      <formula>0</formula>
    </cfRule>
  </conditionalFormatting>
  <conditionalFormatting sqref="AY84">
    <cfRule type="cellIs" dxfId="597" priority="30" stopIfTrue="1" operator="equal">
      <formula>0</formula>
    </cfRule>
  </conditionalFormatting>
  <conditionalFormatting sqref="AY88:AY97">
    <cfRule type="cellIs" dxfId="596" priority="29" stopIfTrue="1" operator="equal">
      <formula>0</formula>
    </cfRule>
  </conditionalFormatting>
  <conditionalFormatting sqref="BH25">
    <cfRule type="cellIs" dxfId="595" priority="28" stopIfTrue="1" operator="equal">
      <formula>0</formula>
    </cfRule>
  </conditionalFormatting>
  <conditionalFormatting sqref="AY51:AY52">
    <cfRule type="cellIs" dxfId="594" priority="27" stopIfTrue="1" operator="equal">
      <formula>0</formula>
    </cfRule>
  </conditionalFormatting>
  <conditionalFormatting sqref="AY57:AY63">
    <cfRule type="cellIs" dxfId="593" priority="26" stopIfTrue="1" operator="equal">
      <formula>0</formula>
    </cfRule>
  </conditionalFormatting>
  <conditionalFormatting sqref="AY70:AY73">
    <cfRule type="cellIs" dxfId="592" priority="25" stopIfTrue="1" operator="equal">
      <formula>0</formula>
    </cfRule>
  </conditionalFormatting>
  <conditionalFormatting sqref="AY74">
    <cfRule type="cellIs" dxfId="591" priority="24" stopIfTrue="1" operator="equal">
      <formula>0</formula>
    </cfRule>
  </conditionalFormatting>
  <conditionalFormatting sqref="AY75">
    <cfRule type="cellIs" dxfId="590" priority="23" stopIfTrue="1" operator="equal">
      <formula>0</formula>
    </cfRule>
  </conditionalFormatting>
  <conditionalFormatting sqref="AY78">
    <cfRule type="cellIs" dxfId="589" priority="22" stopIfTrue="1" operator="equal">
      <formula>0</formula>
    </cfRule>
  </conditionalFormatting>
  <conditionalFormatting sqref="AY85:AY87">
    <cfRule type="cellIs" dxfId="588" priority="21" stopIfTrue="1" operator="equal">
      <formula>0</formula>
    </cfRule>
  </conditionalFormatting>
  <conditionalFormatting sqref="BH101:BH106">
    <cfRule type="cellIs" dxfId="587" priority="20" stopIfTrue="1" operator="equal">
      <formula>0</formula>
    </cfRule>
  </conditionalFormatting>
  <conditionalFormatting sqref="BH122:BH124 BH126 BH132:BH135">
    <cfRule type="cellIs" dxfId="586" priority="19" stopIfTrue="1" operator="equal">
      <formula>0</formula>
    </cfRule>
  </conditionalFormatting>
  <conditionalFormatting sqref="AY98:AY126 AY132:AY133">
    <cfRule type="cellIs" dxfId="585" priority="18" stopIfTrue="1" operator="equal">
      <formula>0</formula>
    </cfRule>
  </conditionalFormatting>
  <conditionalFormatting sqref="AY64:AY65">
    <cfRule type="cellIs" dxfId="584" priority="17" stopIfTrue="1" operator="equal">
      <formula>0</formula>
    </cfRule>
  </conditionalFormatting>
  <conditionalFormatting sqref="BH86:BH100">
    <cfRule type="cellIs" dxfId="583" priority="16" stopIfTrue="1" operator="equal">
      <formula>0</formula>
    </cfRule>
  </conditionalFormatting>
  <conditionalFormatting sqref="BH107:BH121">
    <cfRule type="cellIs" dxfId="582" priority="15" stopIfTrue="1" operator="equal">
      <formula>0</formula>
    </cfRule>
  </conditionalFormatting>
  <conditionalFormatting sqref="AY80">
    <cfRule type="cellIs" dxfId="581" priority="14" stopIfTrue="1" operator="equal">
      <formula>0</formula>
    </cfRule>
  </conditionalFormatting>
  <conditionalFormatting sqref="BH125">
    <cfRule type="cellIs" dxfId="580" priority="13" stopIfTrue="1" operator="equal">
      <formula>0</formula>
    </cfRule>
  </conditionalFormatting>
  <conditionalFormatting sqref="F13:K13">
    <cfRule type="expression" dxfId="579" priority="12" stopIfTrue="1">
      <formula>$AW$4=1</formula>
    </cfRule>
  </conditionalFormatting>
  <conditionalFormatting sqref="AZ5">
    <cfRule type="cellIs" dxfId="578" priority="11" stopIfTrue="1" operator="equal">
      <formula>0</formula>
    </cfRule>
  </conditionalFormatting>
  <conditionalFormatting sqref="BI5">
    <cfRule type="cellIs" dxfId="577" priority="10" stopIfTrue="1" operator="equal">
      <formula>0</formula>
    </cfRule>
  </conditionalFormatting>
  <conditionalFormatting sqref="BI6:BI126 BI132:BI135">
    <cfRule type="cellIs" dxfId="576" priority="8" stopIfTrue="1" operator="equal">
      <formula>0</formula>
    </cfRule>
  </conditionalFormatting>
  <conditionalFormatting sqref="AZ127:AZ131">
    <cfRule type="cellIs" dxfId="575" priority="7" stopIfTrue="1" operator="equal">
      <formula>0</formula>
    </cfRule>
  </conditionalFormatting>
  <conditionalFormatting sqref="AY127:AY131">
    <cfRule type="cellIs" dxfId="574" priority="6" stopIfTrue="1" operator="equal">
      <formula>0</formula>
    </cfRule>
  </conditionalFormatting>
  <conditionalFormatting sqref="BH127 BH130:BH131">
    <cfRule type="cellIs" dxfId="573" priority="5" stopIfTrue="1" operator="equal">
      <formula>0</formula>
    </cfRule>
  </conditionalFormatting>
  <conditionalFormatting sqref="BI127:BI131">
    <cfRule type="cellIs" dxfId="572" priority="4" stopIfTrue="1" operator="equal">
      <formula>0</formula>
    </cfRule>
  </conditionalFormatting>
  <conditionalFormatting sqref="BH128:BH129">
    <cfRule type="cellIs" dxfId="571" priority="3" stopIfTrue="1" operator="equal">
      <formula>0</formula>
    </cfRule>
  </conditionalFormatting>
  <conditionalFormatting sqref="AI17:AO17">
    <cfRule type="expression" dxfId="570" priority="2" stopIfTrue="1">
      <formula>$AW$4=0</formula>
    </cfRule>
  </conditionalFormatting>
  <conditionalFormatting sqref="AI25:AO25">
    <cfRule type="expression" dxfId="569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rgb="FFFFFF00"/>
  </sheetPr>
  <dimension ref="A1:BK107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1231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SUM(BB5:BB962)</f>
        <v>0</v>
      </c>
      <c r="BD4" s="105" t="s">
        <v>40</v>
      </c>
      <c r="BK4" s="444">
        <f>SUM(BK5:BK953)</f>
        <v>0</v>
      </c>
    </row>
    <row r="5" spans="1:63" ht="14.4" customHeight="1">
      <c r="AU5" s="441">
        <f>OBJ!B137</f>
        <v>9255273</v>
      </c>
      <c r="AV5" s="23" t="str">
        <f>VLOOKUP(AU5,CENY!$B$11:$G$1034,2,FALSE)</f>
        <v>AVANTECH YOU BOKY V SADĚ V251 MM NL350 MM STŘÍBRNÁ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1230.56</v>
      </c>
      <c r="BB5" s="107">
        <f t="shared" ref="BB5:BB62" si="0">IF(BA5="","",BA5*AY5)</f>
        <v>0</v>
      </c>
      <c r="BD5" s="441">
        <f>OBJ!B145</f>
        <v>9255066</v>
      </c>
      <c r="BE5" s="23" t="str">
        <f>VLOOKUP(BD5,CENY!$B$11:$G$1034,2,FALSE)</f>
        <v>AVANTECH YOU BOK V251 MM NL350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476.42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452</v>
      </c>
      <c r="G6" s="554"/>
      <c r="H6" s="554"/>
      <c r="I6" s="554"/>
      <c r="J6" s="554"/>
      <c r="K6" s="554"/>
      <c r="AU6" s="441">
        <f>OBJ!B138</f>
        <v>9255274</v>
      </c>
      <c r="AV6" s="23" t="str">
        <f>VLOOKUP(AU6,CENY!$B$11:$G$1034,2,FALSE)</f>
        <v>AVANTECH YOU BOKY V SADĚ V251 MM NL400 MM STŘÍBRNÁ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7" si="1">IF(AY6="","",IF($AW$4=1,AY6,0))</f>
        <v>0</v>
      </c>
      <c r="BA6" s="107">
        <f>VLOOKUP(AU6,CENY!$B$11:$M$2005,12,FALSE)</f>
        <v>1248.1199999999999</v>
      </c>
      <c r="BB6" s="107">
        <f t="shared" si="0"/>
        <v>0</v>
      </c>
      <c r="BD6" s="441">
        <f>OBJ!B146</f>
        <v>9255067</v>
      </c>
      <c r="BE6" s="23" t="str">
        <f>VLOOKUP(BD6,CENY!$B$11:$G$1034,2,FALSE)</f>
        <v>AVANTECH YOU BOK V251 MM NL350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476.42</v>
      </c>
      <c r="BK6" s="107">
        <f t="shared" ref="BK6:BK66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OBJ!B139</f>
        <v>9255275</v>
      </c>
      <c r="AV7" s="23" t="str">
        <f>VLOOKUP(AU7,CENY!$B$11:$G$1034,2,FALSE)</f>
        <v>AVANTECH YOU BOKY V SADĚ V251 MM NL450 MM STŘÍBRNÁ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1265.68</v>
      </c>
      <c r="BB7" s="107">
        <f t="shared" si="0"/>
        <v>0</v>
      </c>
      <c r="BD7" s="441">
        <f>OBJ!B147</f>
        <v>9255068</v>
      </c>
      <c r="BE7" s="23" t="str">
        <f>VLOOKUP(BD7,CENY!$B$11:$G$1034,2,FALSE)</f>
        <v>AVANTECH YOU BOK V251 MM NL400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485.03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OBJ!B140</f>
        <v>9255276</v>
      </c>
      <c r="AV8" s="23" t="str">
        <f>VLOOKUP(AU8,CENY!$B$11:$G$1034,2,FALSE)</f>
        <v>AVANTECH YOU BOKY V SADĚ V251 MM NL500 MM STŘÍBRNÁ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1283.24</v>
      </c>
      <c r="BB8" s="107">
        <f t="shared" si="0"/>
        <v>0</v>
      </c>
      <c r="BD8" s="441">
        <f>OBJ!B148</f>
        <v>9255069</v>
      </c>
      <c r="BE8" s="23" t="str">
        <f>VLOOKUP(BD8,CENY!$B$11:$G$1034,2,FALSE)</f>
        <v>AVANTECH YOU BOK V251 MM NL400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485.03</v>
      </c>
      <c r="BK8" s="107">
        <f t="shared" si="3"/>
        <v>0</v>
      </c>
    </row>
    <row r="9" spans="1:63" ht="14.4" customHeigh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U9" s="441">
        <f>OBJ!B141</f>
        <v>9255277</v>
      </c>
      <c r="AV9" s="23" t="str">
        <f>VLOOKUP(AU9,CENY!$B$11:$G$1034,2,FALSE)</f>
        <v>AVANTECH YOU BOKY V SADĚ V251 MM NL550 MM STŘÍBRNÁ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1300.81</v>
      </c>
      <c r="BB9" s="107">
        <f t="shared" si="0"/>
        <v>0</v>
      </c>
      <c r="BD9" s="441">
        <f>OBJ!B149</f>
        <v>9255070</v>
      </c>
      <c r="BE9" s="23" t="str">
        <f>VLOOKUP(BD9,CENY!$B$11:$G$1034,2,FALSE)</f>
        <v>AVANTECH YOU BOK V251 MM NL450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493.64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OBJ!B142</f>
        <v>9255278</v>
      </c>
      <c r="AV10" s="23" t="str">
        <f>VLOOKUP(AU10,CENY!$B$11:$G$1034,2,FALSE)</f>
        <v>AVANTECH YOU BOKY V SADĚ V251 MM NL600 MM STŘÍBRNÁ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1327.3</v>
      </c>
      <c r="BB10" s="107">
        <f t="shared" si="0"/>
        <v>0</v>
      </c>
      <c r="BD10" s="441">
        <f>OBJ!B150</f>
        <v>9255071</v>
      </c>
      <c r="BE10" s="23" t="str">
        <f>VLOOKUP(BD10,CENY!$B$11:$G$1034,2,FALSE)</f>
        <v>AVANTECH YOU BOK V251 MM NL450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493.64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OBJ!B143</f>
        <v>9255279</v>
      </c>
      <c r="AV11" s="23" t="str">
        <f>VLOOKUP(AU11,CENY!$B$11:$G$1034,2,FALSE)</f>
        <v>AVANTECH YOU BOKY V SADĚ V251 MM NL650 MM STŘÍBRNÁ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1363.32</v>
      </c>
      <c r="BB11" s="107">
        <f t="shared" si="0"/>
        <v>0</v>
      </c>
      <c r="BD11" s="441">
        <f>OBJ!B151</f>
        <v>9255072</v>
      </c>
      <c r="BE11" s="23" t="str">
        <f>VLOOKUP(BD11,CENY!$B$11:$G$1034,2,FALSE)</f>
        <v>AVANTECH YOU BOK V251 MM NL500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502.25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OBJ!B152</f>
        <v>9255073</v>
      </c>
      <c r="BE12" s="23" t="str">
        <f>VLOOKUP(BD12,CENY!$B$11:$G$1034,2,FALSE)</f>
        <v>AVANTECH YOU BOK V251 MM NL500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502.25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OBJ!B73</f>
        <v>9255806</v>
      </c>
      <c r="AV13" s="23" t="str">
        <f>VLOOKUP(AU13,CENY!$B$11:$G$1034,2,FALSE)</f>
        <v>AVANTECH YOU DEKORATIVNÍ PROFIL NL350 MM STŘÍBRNÝ</v>
      </c>
      <c r="AW13" s="24">
        <f>VLOOKUP(AU13,CENY!$B$11:$G$1034,3,FALSE)</f>
        <v>200</v>
      </c>
      <c r="AX13" s="24"/>
      <c r="AY13" s="25">
        <f>IF(FORM!AM18=FORM!AU16,0,2*(S19+S20+S27+S28+S30))</f>
        <v>0</v>
      </c>
      <c r="AZ13" s="451">
        <f t="shared" si="1"/>
        <v>0</v>
      </c>
      <c r="BA13" s="107">
        <f>VLOOKUP(AU13,CENY!$B$11:$M$2005,12,FALSE)</f>
        <v>9.4499999999999993</v>
      </c>
      <c r="BB13" s="107">
        <f t="shared" si="0"/>
        <v>0</v>
      </c>
      <c r="BD13" s="441">
        <f>OBJ!B153</f>
        <v>9255074</v>
      </c>
      <c r="BE13" s="23" t="str">
        <f>VLOOKUP(BD13,CENY!$B$11:$G$1034,2,FALSE)</f>
        <v>AVANTECH YOU BOK V251 MM NL550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510.86</v>
      </c>
      <c r="BK13" s="107">
        <f t="shared" si="3"/>
        <v>0</v>
      </c>
    </row>
    <row r="14" spans="1:63" ht="14.4" customHeight="1">
      <c r="AU14" s="441">
        <f>OBJ!B74</f>
        <v>9255807</v>
      </c>
      <c r="AV14" s="23" t="str">
        <f>VLOOKUP(AU14,CENY!$B$11:$G$1034,2,FALSE)</f>
        <v>AVANTECH YOU DEKORATIVNÍ PROFIL NL400 MM STŘÍBRNÝ</v>
      </c>
      <c r="AW14" s="24">
        <f>VLOOKUP(AU14,CENY!$B$11:$G$1034,3,FALSE)</f>
        <v>200</v>
      </c>
      <c r="AX14" s="24"/>
      <c r="AY14" s="25">
        <f>IF(FORM!AM18=FORM!AU16,0,2*(U20+U28+U30))</f>
        <v>0</v>
      </c>
      <c r="AZ14" s="451">
        <f t="shared" si="1"/>
        <v>0</v>
      </c>
      <c r="BA14" s="107">
        <f>VLOOKUP(AU14,CENY!$B$11:$M$2005,12,FALSE)</f>
        <v>9.6199999999999992</v>
      </c>
      <c r="BB14" s="107">
        <f t="shared" si="0"/>
        <v>0</v>
      </c>
      <c r="BD14" s="441">
        <f>OBJ!B154</f>
        <v>9255075</v>
      </c>
      <c r="BE14" s="23" t="str">
        <f>VLOOKUP(BD14,CENY!$B$11:$G$1034,2,FALSE)</f>
        <v>AVANTECH YOU BOK V251 MM NL550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510.86</v>
      </c>
      <c r="BK14" s="107">
        <f t="shared" si="3"/>
        <v>0</v>
      </c>
    </row>
    <row r="15" spans="1:63" ht="14.4" customHeight="1">
      <c r="AU15" s="441">
        <f>OBJ!B75</f>
        <v>9255808</v>
      </c>
      <c r="AV15" s="23" t="str">
        <f>VLOOKUP(AU15,CENY!$B$11:$G$1034,2,FALSE)</f>
        <v>AVANTECH YOU DEKORATIVNÍ PROFIL NL450 MM STŘÍBRNÝ</v>
      </c>
      <c r="AW15" s="24">
        <f>VLOOKUP(AU15,CENY!$B$11:$G$1034,3,FALSE)</f>
        <v>200</v>
      </c>
      <c r="AX15" s="24"/>
      <c r="AY15" s="25">
        <f>IF(FORM!AM18=FORM!AU16,0,2*(W20+W22+W28+W30))</f>
        <v>0</v>
      </c>
      <c r="AZ15" s="451">
        <f t="shared" si="1"/>
        <v>0</v>
      </c>
      <c r="BA15" s="107">
        <f>VLOOKUP(AU15,CENY!$B$11:$M$2005,12,FALSE)</f>
        <v>9.8000000000000007</v>
      </c>
      <c r="BB15" s="107">
        <f t="shared" si="0"/>
        <v>0</v>
      </c>
      <c r="BD15" s="441">
        <f>OBJ!B155</f>
        <v>9255076</v>
      </c>
      <c r="BE15" s="23" t="str">
        <f>VLOOKUP(BD15,CENY!$B$11:$G$1034,2,FALSE)</f>
        <v>AVANTECH YOU BOK V251 MM NL600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523.85</v>
      </c>
      <c r="BK15" s="107">
        <f t="shared" si="3"/>
        <v>0</v>
      </c>
    </row>
    <row r="16" spans="1:63" ht="14.4" customHeight="1">
      <c r="AU16" s="441">
        <f>OBJ!B76</f>
        <v>9255809</v>
      </c>
      <c r="AV16" s="23" t="str">
        <f>VLOOKUP(AU16,CENY!$B$11:$G$1034,2,FALSE)</f>
        <v>AVANTECH YOU DEKORATIVNÍ PROFIL NL500 MM STŘÍBRNÝ</v>
      </c>
      <c r="AW16" s="24">
        <f>VLOOKUP(AU16,CENY!$B$11:$G$1034,3,FALSE)</f>
        <v>200</v>
      </c>
      <c r="AX16" s="24"/>
      <c r="AY16" s="25">
        <f>IF(FORM!AM18=FORM!AU16,0,2*(Y20+Y22+Y28+Y30))</f>
        <v>0</v>
      </c>
      <c r="AZ16" s="451">
        <f t="shared" si="1"/>
        <v>0</v>
      </c>
      <c r="BA16" s="107">
        <f>VLOOKUP(AU16,CENY!$B$11:$M$2005,12,FALSE)</f>
        <v>9.9700000000000006</v>
      </c>
      <c r="BB16" s="107">
        <f t="shared" si="0"/>
        <v>0</v>
      </c>
      <c r="BD16" s="441">
        <f>OBJ!B156</f>
        <v>9255077</v>
      </c>
      <c r="BE16" s="23" t="str">
        <f>VLOOKUP(BD16,CENY!$B$11:$G$1034,2,FALSE)</f>
        <v>AVANTECH YOU BOK V251 MM NL600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523.85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OBJ!B77</f>
        <v>9255810</v>
      </c>
      <c r="AV17" s="23" t="str">
        <f>VLOOKUP(AU17,CENY!$B$11:$G$1034,2,FALSE)</f>
        <v>AVANTECH YOU DEKORATIVNÍ PROFIL NL550 MM STŘÍBRNÝ</v>
      </c>
      <c r="AW17" s="24">
        <f>VLOOKUP(AU17,CENY!$B$11:$G$1034,3,FALSE)</f>
        <v>200</v>
      </c>
      <c r="AX17" s="24"/>
      <c r="AY17" s="25">
        <f>IF(FORM!AM18=FORM!AU16,0,2*(AA20+AA22+AA28+AA30))</f>
        <v>0</v>
      </c>
      <c r="AZ17" s="451">
        <f t="shared" si="1"/>
        <v>0</v>
      </c>
      <c r="BA17" s="107">
        <f>VLOOKUP(AU17,CENY!$B$11:$M$2005,12,FALSE)</f>
        <v>10.14</v>
      </c>
      <c r="BB17" s="107">
        <f t="shared" si="0"/>
        <v>0</v>
      </c>
      <c r="BD17" s="441">
        <f>OBJ!B157</f>
        <v>9255078</v>
      </c>
      <c r="BE17" s="23" t="str">
        <f>VLOOKUP(BD17,CENY!$B$11:$G$1034,2,FALSE)</f>
        <v>AVANTECH YOU BOK V251 MM NL650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541.51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OBJ!B78</f>
        <v>9255811</v>
      </c>
      <c r="AV18" s="23" t="str">
        <f>VLOOKUP(AU18,CENY!$B$11:$G$1034,2,FALSE)</f>
        <v>AVANTECH YOU DEKORATIVNÍ PROFIL NL600 MM STŘÍBRNÝ</v>
      </c>
      <c r="AW18" s="24">
        <f>VLOOKUP(AU18,CENY!$B$11:$G$1034,3,FALSE)</f>
        <v>200</v>
      </c>
      <c r="AX18" s="24"/>
      <c r="AY18" s="25">
        <f>IF(FORM!AM18=FORM!AU16,0,2*(AC20+AC22+AC28+AC30))</f>
        <v>0</v>
      </c>
      <c r="AZ18" s="451">
        <f t="shared" si="1"/>
        <v>0</v>
      </c>
      <c r="BA18" s="107">
        <f>VLOOKUP(AU18,CENY!$B$11:$M$2005,12,FALSE)</f>
        <v>10.39</v>
      </c>
      <c r="BB18" s="107">
        <f t="shared" si="0"/>
        <v>0</v>
      </c>
      <c r="BD18" s="441">
        <f>OBJ!B158</f>
        <v>9255079</v>
      </c>
      <c r="BE18" s="23" t="str">
        <f>VLOOKUP(BD18,CENY!$B$11:$G$1034,2,FALSE)</f>
        <v>AVANTECH YOU BOK V251 MM NL650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541.51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45"/>
      <c r="V19" s="446"/>
      <c r="W19" s="445"/>
      <c r="X19" s="446"/>
      <c r="Y19" s="445"/>
      <c r="Z19" s="446"/>
      <c r="AA19" s="445"/>
      <c r="AB19" s="446"/>
      <c r="AC19" s="445"/>
      <c r="AD19" s="446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OBJ!B79</f>
        <v>9255812</v>
      </c>
      <c r="AV19" s="23" t="str">
        <f>VLOOKUP(AU19,CENY!$B$11:$G$1034,2,FALSE)</f>
        <v>AVANTECH YOU DEKORATIVNÍ PROFIL NL650 MM STŘÍBRNÝ</v>
      </c>
      <c r="AW19" s="24">
        <f>VLOOKUP(AU19,CENY!$B$11:$G$1034,3,FALSE)</f>
        <v>200</v>
      </c>
      <c r="AX19" s="24"/>
      <c r="AY19" s="25">
        <f>IF(FORM!AM18=FORM!AU16,0,2*(AE22))</f>
        <v>0</v>
      </c>
      <c r="AZ19" s="451">
        <f t="shared" si="1"/>
        <v>0</v>
      </c>
      <c r="BA19" s="107">
        <f>VLOOKUP(AU19,CENY!$B$11:$M$2005,12,FALSE)</f>
        <v>10.74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1">
        <f>OBJ!B135</f>
        <v>9255838</v>
      </c>
      <c r="BE20" s="23" t="str">
        <f>VLOOKUP(BD20,CENY!$B$11:$G$1034,2,FALSE)</f>
        <v>AVANTECH YOU PŘÍCHYTKA ČELA V187 / 251 MM K NAŠROUBOVÁNÍ</v>
      </c>
      <c r="BF20" s="24">
        <f>VLOOKUP(BD20,CENY!$B$11:$G$1034,3,FALSE)</f>
        <v>200</v>
      </c>
      <c r="BG20" s="24"/>
      <c r="BH20" s="25">
        <f>2*(SUM(S19)+SUM(S20:AD20)+SUM(W22:AF22)+SUM(S27)+SUM(S28:AD28)+SUM(S30:AD30))</f>
        <v>0</v>
      </c>
      <c r="BI20" s="451">
        <f t="shared" si="2"/>
        <v>0</v>
      </c>
      <c r="BJ20" s="107">
        <f>VLOOKUP(BD20,CENY!$B$11:$M$2005,12,FALSE)</f>
        <v>53.15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45"/>
      <c r="P21" s="446"/>
      <c r="Q21" s="445"/>
      <c r="R21" s="446"/>
      <c r="S21" s="445"/>
      <c r="T21" s="446"/>
      <c r="U21" s="445"/>
      <c r="V21" s="446"/>
      <c r="W21" s="445"/>
      <c r="X21" s="446"/>
      <c r="Y21" s="445"/>
      <c r="Z21" s="446"/>
      <c r="AA21" s="445"/>
      <c r="AB21" s="446"/>
      <c r="AC21" s="445"/>
      <c r="AD21" s="446"/>
      <c r="AE21" s="445"/>
      <c r="AF21" s="446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 10KG PLNOVÝSUV 350 MM EB21 SILENT SYSTEM SADA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561.63</v>
      </c>
      <c r="BB21" s="107">
        <f t="shared" si="0"/>
        <v>0</v>
      </c>
      <c r="BD21" s="441">
        <f>OBJ!B159</f>
        <v>9257887</v>
      </c>
      <c r="BE21" s="23" t="str">
        <f>VLOOKUP(BD21,CENY!$B$11:$G$1034,2,FALSE)</f>
        <v>AVANTECH YOU STABILIZÁTOR ČELA V251 MM K NAŠROUBOVÁNÍ</v>
      </c>
      <c r="BF21" s="24">
        <f>VLOOKUP(BD21,CENY!$B$11:$G$1034,3,FALSE)</f>
        <v>200</v>
      </c>
      <c r="BG21" s="24"/>
      <c r="BH21" s="25">
        <f>BH20</f>
        <v>0</v>
      </c>
      <c r="BI21" s="451">
        <f t="shared" si="2"/>
        <v>0</v>
      </c>
      <c r="BJ21" s="107">
        <f>VLOOKUP(BD21,CENY!$B$11:$M$2005,12,FALSE)</f>
        <v>8.86</v>
      </c>
      <c r="BK21" s="107">
        <f>IF(BJ21="","",BJ21*BH21)</f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>
        <f>OBJ!B48</f>
        <v>9257702</v>
      </c>
      <c r="BE22" s="23" t="str">
        <f>VLOOKUP(BD22,CENY!$B$11:$G$1034,2,FALSE)</f>
        <v>AVANTECH YOU STABILIZÁTOR ZAD V101/139/187/251 MM</v>
      </c>
      <c r="BF22" s="24">
        <f>VLOOKUP(BD22,CENY!$B$11:$G$1034,3,FALSE)</f>
        <v>200</v>
      </c>
      <c r="BG22" s="24"/>
      <c r="BH22" s="25">
        <f>2*(SUM(S19)+SUM(S20:AD20)+SUM(W22:AF22)+SUM(S27)+SUM(S28:AD28)+SUM(S30:AD30))</f>
        <v>0</v>
      </c>
      <c r="BI22" s="451">
        <f t="shared" si="2"/>
        <v>0</v>
      </c>
      <c r="BJ22" s="107">
        <f>VLOOKUP(BD22,CENY!$B$11:$M$2005,12,FALSE)</f>
        <v>13.29</v>
      </c>
      <c r="BK22" s="107">
        <f t="shared" si="3"/>
        <v>0</v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 40KG PLNOVÝSUV 350 MM EB21 SILENT SYSTEM SADA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561.63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>
        <f>OBJ!B239</f>
        <v>9257004</v>
      </c>
      <c r="AV24" s="23" t="str">
        <f>VLOOKUP(AU24,CENY!$B$11:$G$1034,2,FALSE)</f>
        <v>ACTRO YOU 40KG PLNOVÝSUV 400 MM EB21 SILENT SYSTEM SADA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567.85</v>
      </c>
      <c r="BB24" s="107">
        <f t="shared" si="0"/>
        <v>0</v>
      </c>
      <c r="BD24" s="441">
        <f>OBJ!B73</f>
        <v>9255806</v>
      </c>
      <c r="BE24" s="23" t="str">
        <f>VLOOKUP(BD24,CENY!$B$11:$G$1034,2,FALSE)</f>
        <v>AVANTECH YOU DEKORATIVNÍ PROFIL NL350 MM STŘÍBRNÝ</v>
      </c>
      <c r="BF24" s="24">
        <f>VLOOKUP(BD24,CENY!$B$11:$G$1034,3,FALSE)</f>
        <v>200</v>
      </c>
      <c r="BG24" s="24"/>
      <c r="BH24" s="25">
        <f>2*(S19+S20+S27+S28+S30)</f>
        <v>0</v>
      </c>
      <c r="BI24" s="451">
        <f t="shared" si="2"/>
        <v>0</v>
      </c>
      <c r="BJ24" s="107">
        <f>VLOOKUP(BD24,CENY!$B$11:$M$2005,12,FALSE)</f>
        <v>9.4499999999999993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 40KG PLNOVÝSUV 450 MM EB21 SILENT SYSTEM SADA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574.04</v>
      </c>
      <c r="BB25" s="107">
        <f t="shared" si="0"/>
        <v>0</v>
      </c>
      <c r="BD25" s="441">
        <f>OBJ!B74</f>
        <v>9255807</v>
      </c>
      <c r="BE25" s="23" t="str">
        <f>VLOOKUP(BD25,CENY!$B$11:$G$1034,2,FALSE)</f>
        <v>AVANTECH YOU DEKORATIVNÍ PROFIL NL400 MM STŘÍBRNÝ</v>
      </c>
      <c r="BF25" s="24">
        <f>VLOOKUP(BD25,CENY!$B$11:$G$1034,3,FALSE)</f>
        <v>200</v>
      </c>
      <c r="BG25" s="24"/>
      <c r="BH25" s="25">
        <f>2*(U20+U28+U30)</f>
        <v>0</v>
      </c>
      <c r="BI25" s="451">
        <f t="shared" si="2"/>
        <v>0</v>
      </c>
      <c r="BJ25" s="107">
        <f>VLOOKUP(BD25,CENY!$B$11:$M$2005,12,FALSE)</f>
        <v>9.6199999999999992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 40KG PLNOVÝSUV 500 MM EB21 SILENT SYSTEM SADA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580.26</v>
      </c>
      <c r="BB26" s="107">
        <f t="shared" si="0"/>
        <v>0</v>
      </c>
      <c r="BD26" s="441">
        <f>OBJ!B75</f>
        <v>9255808</v>
      </c>
      <c r="BE26" s="23" t="str">
        <f>VLOOKUP(BD26,CENY!$B$11:$G$1034,2,FALSE)</f>
        <v>AVANTECH YOU DEKORATIVNÍ PROFIL NL450 MM STŘÍBRNÝ</v>
      </c>
      <c r="BF26" s="24">
        <f>VLOOKUP(BD26,CENY!$B$11:$G$1034,3,FALSE)</f>
        <v>200</v>
      </c>
      <c r="BG26" s="24"/>
      <c r="BH26" s="25">
        <f>2*(W20+W22+W28+W30)</f>
        <v>0</v>
      </c>
      <c r="BI26" s="451">
        <f t="shared" si="2"/>
        <v>0</v>
      </c>
      <c r="BJ26" s="107">
        <f>VLOOKUP(BD26,CENY!$B$11:$M$2005,12,FALSE)</f>
        <v>9.8000000000000007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45"/>
      <c r="V27" s="446"/>
      <c r="W27" s="445"/>
      <c r="X27" s="446"/>
      <c r="Y27" s="445"/>
      <c r="Z27" s="446"/>
      <c r="AA27" s="445"/>
      <c r="AB27" s="446"/>
      <c r="AC27" s="445"/>
      <c r="AD27" s="446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 40KG PLNOVÝSUV 550 MM EB21 SILENT SYSTEM SADA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613.44000000000005</v>
      </c>
      <c r="BB27" s="107">
        <f t="shared" si="0"/>
        <v>0</v>
      </c>
      <c r="BD27" s="441">
        <f>OBJ!B76</f>
        <v>9255809</v>
      </c>
      <c r="BE27" s="23" t="str">
        <f>VLOOKUP(BD27,CENY!$B$11:$G$1034,2,FALSE)</f>
        <v>AVANTECH YOU DEKORATIVNÍ PROFIL NL500 MM STŘÍBRNÝ</v>
      </c>
      <c r="BF27" s="24">
        <f>VLOOKUP(BD27,CENY!$B$11:$G$1034,3,FALSE)</f>
        <v>200</v>
      </c>
      <c r="BG27" s="24"/>
      <c r="BH27" s="25">
        <f>2*(Y20+Y22+Y28+Y30)</f>
        <v>0</v>
      </c>
      <c r="BI27" s="451">
        <f t="shared" si="2"/>
        <v>0</v>
      </c>
      <c r="BJ27" s="107">
        <f>VLOOKUP(BD27,CENY!$B$11:$M$2005,12,FALSE)</f>
        <v>9.9700000000000006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 40KG PLNOVÝSUV 600 MM EB21 SILENT SYSTÉM SADA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620.78</v>
      </c>
      <c r="BB28" s="107">
        <f t="shared" si="0"/>
        <v>0</v>
      </c>
      <c r="BD28" s="441">
        <f>OBJ!B77</f>
        <v>9255810</v>
      </c>
      <c r="BE28" s="23" t="str">
        <f>VLOOKUP(BD28,CENY!$B$11:$G$1034,2,FALSE)</f>
        <v>AVANTECH YOU DEKORATIVNÍ PROFIL NL550 MM STŘÍBRNÝ</v>
      </c>
      <c r="BF28" s="24">
        <f>VLOOKUP(BD28,CENY!$B$11:$G$1034,3,FALSE)</f>
        <v>200</v>
      </c>
      <c r="BG28" s="24"/>
      <c r="BH28" s="25">
        <f>2*(AA20+AA22+AA28+AA30)</f>
        <v>0</v>
      </c>
      <c r="BI28" s="451">
        <f t="shared" si="2"/>
        <v>0</v>
      </c>
      <c r="BJ28" s="107">
        <f>VLOOKUP(BD28,CENY!$B$11:$M$2005,12,FALSE)</f>
        <v>10.14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45"/>
      <c r="P29" s="446"/>
      <c r="Q29" s="445"/>
      <c r="R29" s="446"/>
      <c r="S29" s="445"/>
      <c r="T29" s="446"/>
      <c r="U29" s="445"/>
      <c r="V29" s="446"/>
      <c r="W29" s="445"/>
      <c r="X29" s="446"/>
      <c r="Y29" s="445"/>
      <c r="Z29" s="446"/>
      <c r="AA29" s="445"/>
      <c r="AB29" s="446"/>
      <c r="AC29" s="445"/>
      <c r="AD29" s="446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OBJ!B78</f>
        <v>9255811</v>
      </c>
      <c r="BE29" s="23" t="str">
        <f>VLOOKUP(BD29,CENY!$B$11:$G$1034,2,FALSE)</f>
        <v>AVANTECH YOU DEKORATIVNÍ PROFIL NL600 MM STŘÍBRNÝ</v>
      </c>
      <c r="BF29" s="24">
        <f>VLOOKUP(BD29,CENY!$B$11:$G$1034,3,FALSE)</f>
        <v>200</v>
      </c>
      <c r="BG29" s="24"/>
      <c r="BH29" s="25">
        <f>2*(AC20+AC22+AC28+AC30)</f>
        <v>0</v>
      </c>
      <c r="BI29" s="451">
        <f t="shared" si="2"/>
        <v>0</v>
      </c>
      <c r="BJ29" s="107">
        <f>VLOOKUP(BD29,CENY!$B$11:$M$2005,12,FALSE)</f>
        <v>10.39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45"/>
      <c r="P30" s="446"/>
      <c r="Q30" s="445"/>
      <c r="R30" s="446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 70KG PLNOVÝSUV 450 MM EB21 SILENT SYSTEM SADA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691.9</v>
      </c>
      <c r="BB30" s="107">
        <f t="shared" si="0"/>
        <v>0</v>
      </c>
      <c r="BD30" s="441">
        <f>OBJ!B79</f>
        <v>9255812</v>
      </c>
      <c r="BE30" s="23" t="str">
        <f>VLOOKUP(BD30,CENY!$B$11:$G$1034,2,FALSE)</f>
        <v>AVANTECH YOU DEKORATIVNÍ PROFIL NL650 MM STŘÍBRNÝ</v>
      </c>
      <c r="BF30" s="24">
        <f>VLOOKUP(BD30,CENY!$B$11:$G$1034,3,FALSE)</f>
        <v>200</v>
      </c>
      <c r="BG30" s="24"/>
      <c r="BH30" s="25">
        <f>2*(AE22)</f>
        <v>0</v>
      </c>
      <c r="BI30" s="451">
        <f t="shared" si="2"/>
        <v>0</v>
      </c>
      <c r="BJ30" s="107">
        <f>VLOOKUP(BD30,CENY!$B$11:$M$2005,12,FALSE)</f>
        <v>10.74</v>
      </c>
      <c r="BK30" s="107">
        <f t="shared" si="3"/>
        <v>0</v>
      </c>
    </row>
    <row r="31" spans="2:63" ht="14.4" customHeight="1">
      <c r="AU31" s="441">
        <f>OBJ!B262</f>
        <v>9257036</v>
      </c>
      <c r="AV31" s="23" t="str">
        <f>VLOOKUP(AU31,CENY!$B$11:$G$1034,2,FALSE)</f>
        <v>ACTRO YOU 70KG PLNOVÝSUV 500 MM EB21 SILENT SYSTEM SADA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698.13</v>
      </c>
      <c r="BB31" s="107">
        <f t="shared" si="0"/>
        <v>0</v>
      </c>
      <c r="BD31" s="441"/>
      <c r="BE31" s="23"/>
      <c r="BF31" s="24"/>
      <c r="BG31" s="24"/>
      <c r="BH31" s="25"/>
      <c r="BI31" s="451" t="str">
        <f t="shared" si="2"/>
        <v/>
      </c>
      <c r="BJ31" s="107"/>
      <c r="BK31" s="107" t="str">
        <f t="shared" si="3"/>
        <v/>
      </c>
    </row>
    <row r="32" spans="2:63" ht="14.4" customHeight="1">
      <c r="B32" s="505" t="str">
        <f>verze!E201</f>
        <v>SiSy = tlumení Silent System</v>
      </c>
      <c r="AU32" s="441">
        <f>OBJ!B263</f>
        <v>9257038</v>
      </c>
      <c r="AV32" s="23" t="str">
        <f>VLOOKUP(AU32,CENY!$B$11:$G$1034,2,FALSE)</f>
        <v>ACTRO YOU 70KG PLNOVÝSUV 550 MM EB21 SILENT SYSTEM SADA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731.3</v>
      </c>
      <c r="BB32" s="107">
        <f t="shared" si="0"/>
        <v>0</v>
      </c>
      <c r="BD32" s="441">
        <f>OBJ!B233</f>
        <v>9256965</v>
      </c>
      <c r="BE32" s="23" t="str">
        <f>VLOOKUP(BD32,CENY!$B$11:$G$1034,2,FALSE)</f>
        <v>ACTRO YOU 10KG PLNOVÝSUV 350 MM EB21 SILENT SYSTEM LEVÝ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OBJ!B264</f>
        <v>9257040</v>
      </c>
      <c r="AV33" s="23" t="str">
        <f>VLOOKUP(AU33,CENY!$B$11:$G$1034,2,FALSE)</f>
        <v>ACTRO YOU 70KG PLNOVÝSUV 600 MM EB21 SILENT SYSTEM SADA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798.31</v>
      </c>
      <c r="BB33" s="107">
        <f t="shared" si="0"/>
        <v>0</v>
      </c>
      <c r="BD33" s="441">
        <f>OBJ!B234</f>
        <v>9256966</v>
      </c>
      <c r="BE33" s="23" t="str">
        <f>VLOOKUP(BD33,CENY!$B$11:$G$1034,2,FALSE)</f>
        <v>ACTRO YOU 10KG PLNOVÝSUV 350 MM EB21 SILENT SYSTEM PRAVÝ</v>
      </c>
      <c r="BF33" s="24">
        <f>VLOOKUP(BD33,CENY!$B$11:$G$1034,3,FALSE)</f>
        <v>10</v>
      </c>
      <c r="BG33" s="24"/>
      <c r="BH33" s="25">
        <f>AY21</f>
        <v>0</v>
      </c>
      <c r="BI33" s="451">
        <f t="shared" si="2"/>
        <v>0</v>
      </c>
      <c r="BJ33" s="107">
        <f>VLOOKUP(BD33,CENY!$B$11:$M$2005,12,FALSE)</f>
        <v>243.93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OBJ!B265</f>
        <v>9257041</v>
      </c>
      <c r="AV34" s="23" t="str">
        <f>VLOOKUP(AU34,CENY!$B$11:$G$1034,2,FALSE)</f>
        <v>ACTRO YOU 70KG PLNOVÝSUV 650 MM EB21 SILENT SYSTEM SADA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828.55</v>
      </c>
      <c r="BB34" s="107">
        <f t="shared" si="0"/>
        <v>0</v>
      </c>
      <c r="BD34" s="441"/>
      <c r="BE34" s="23"/>
      <c r="BF34" s="24"/>
      <c r="BG34" s="24"/>
      <c r="BH34" s="25"/>
      <c r="BI34" s="451" t="str">
        <f t="shared" si="2"/>
        <v/>
      </c>
      <c r="BJ34" s="107"/>
      <c r="BK34" s="107" t="str">
        <f t="shared" si="3"/>
        <v/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OBJ!B248</f>
        <v>9256980</v>
      </c>
      <c r="BE35" s="23" t="str">
        <f>VLOOKUP(BD35,CENY!$B$11:$G$1034,2,FALSE)</f>
        <v>ACTRO YOU 40KG PLNOVÝSUV 350 MM EB21 SILENT SYSTEM LEVÝ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243.93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PUSH TO OPEN SILENT ACTRO YOU / ACTRO 5D 10 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544.37</v>
      </c>
      <c r="BB36" s="107">
        <f t="shared" si="0"/>
        <v>0</v>
      </c>
      <c r="BD36" s="441">
        <f>OBJ!B249</f>
        <v>9256981</v>
      </c>
      <c r="BE36" s="23" t="str">
        <f>VLOOKUP(BD36,CENY!$B$11:$G$1034,2,FALSE)</f>
        <v>ACTRO YOU 40KG PLNOVÝSUV 350 MM EB21 SILENT SYSTEM PRAVÝ</v>
      </c>
      <c r="BF36" s="24">
        <f>VLOOKUP(BD36,CENY!$B$11:$G$1034,3,FALSE)</f>
        <v>10</v>
      </c>
      <c r="BG36" s="24"/>
      <c r="BH36" s="25">
        <f>AY23</f>
        <v>0</v>
      </c>
      <c r="BI36" s="451">
        <f t="shared" si="2"/>
        <v>0</v>
      </c>
      <c r="BJ36" s="107">
        <f>VLOOKUP(BD36,CENY!$B$11:$M$2005,12,FALSE)</f>
        <v>243.93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PUSH TO OPEN SILENT ACTRO YOU / ACTRO 5D 20 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>
        <f>OBJ!B250</f>
        <v>9256984</v>
      </c>
      <c r="BE37" s="23" t="str">
        <f>VLOOKUP(BD37,CENY!$B$11:$G$1034,2,FALSE)</f>
        <v>ACTRO YOU 40KG PLNOVÝSUV 400 MM EB21 SILENT SYSTEM LEVÝ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247.05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PUSH TO OPEN SILENT ACTRO YOU / ACTRO 5D 40 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544.37</v>
      </c>
      <c r="BB38" s="107">
        <f t="shared" si="0"/>
        <v>0</v>
      </c>
      <c r="BD38" s="441">
        <f>OBJ!B251</f>
        <v>9256985</v>
      </c>
      <c r="BE38" s="23" t="str">
        <f>VLOOKUP(BD38,CENY!$B$11:$G$1034,2,FALSE)</f>
        <v>ACTRO YOU 40KG PLNOVÝSUV 400 MM EB21 SILENT SYSTEM PRAVÝ</v>
      </c>
      <c r="BF38" s="24">
        <f>VLOOKUP(BD38,CENY!$B$11:$G$1034,3,FALSE)</f>
        <v>10</v>
      </c>
      <c r="BG38" s="24"/>
      <c r="BH38" s="25">
        <f>AY24</f>
        <v>0</v>
      </c>
      <c r="BI38" s="451">
        <f t="shared" si="2"/>
        <v>0</v>
      </c>
      <c r="BJ38" s="107">
        <f>VLOOKUP(BD38,CENY!$B$11:$M$2005,12,FALSE)</f>
        <v>247.05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PUSH TO OPEN SILENT ACTRO YOU / ACTRO 5D 70 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544.37</v>
      </c>
      <c r="BB39" s="107">
        <f t="shared" si="0"/>
        <v>0</v>
      </c>
      <c r="BD39" s="441">
        <f>OBJ!B252</f>
        <v>9256988</v>
      </c>
      <c r="BE39" s="23" t="str">
        <f>VLOOKUP(BD39,CENY!$B$11:$G$1034,2,FALSE)</f>
        <v>ACTRO YOU 40KG PLNOVÝSUV 450 MM EB21 SILENT SYSTEM LEVÝ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250.14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SYNCHRONIZAČNÍ TYČ 2000 MM</v>
      </c>
      <c r="AW40" s="24">
        <f>VLOOKUP(AU40,CENY!$B$11:$G$1034,3,FALSE)</f>
        <v>100</v>
      </c>
      <c r="AX40" s="24"/>
      <c r="AY40" s="25">
        <f>SUM(AN19:AO22)+SUM(AN27:AO29)+SUM(S30:AD30)</f>
        <v>0</v>
      </c>
      <c r="AZ40" s="451">
        <f t="shared" si="1"/>
        <v>0</v>
      </c>
      <c r="BA40" s="107">
        <f>VLOOKUP(AU40,CENY!$B$11:$M$2005,12,FALSE)</f>
        <v>144.30000000000001</v>
      </c>
      <c r="BB40" s="107">
        <f t="shared" si="0"/>
        <v>0</v>
      </c>
      <c r="BD40" s="441">
        <f>OBJ!B253</f>
        <v>9256989</v>
      </c>
      <c r="BE40" s="23" t="str">
        <f>VLOOKUP(BD40,CENY!$B$11:$G$1034,2,FALSE)</f>
        <v>ACTRO YOU 40KG PLNOVÝSUV 450 MM EB21 SILENT SYSTEM PRAVÝ</v>
      </c>
      <c r="BF40" s="24">
        <f>VLOOKUP(BD40,CENY!$B$11:$G$1034,3,FALSE)</f>
        <v>10</v>
      </c>
      <c r="BG40" s="24"/>
      <c r="BH40" s="25">
        <f>AY25</f>
        <v>0</v>
      </c>
      <c r="BI40" s="451">
        <f t="shared" si="2"/>
        <v>0</v>
      </c>
      <c r="BJ40" s="107">
        <f>VLOOKUP(BD40,CENY!$B$11:$M$2005,12,FALSE)</f>
        <v>250.14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OBJ!B254</f>
        <v>9256992</v>
      </c>
      <c r="BE41" s="23" t="str">
        <f>VLOOKUP(BD41,CENY!$B$11:$G$1034,2,FALSE)</f>
        <v>ACTRO YOU 40KG PLNOVÝSUV 500 MM EB21 SILENT SYSTEM LEVÝ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253.25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 10 KG PLNOVÝSUV 350 MM EB21 SILENT SYSTEM SADA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421.61</v>
      </c>
      <c r="BB42" s="107">
        <f t="shared" si="0"/>
        <v>0</v>
      </c>
      <c r="BD42" s="441">
        <f>OBJ!B255</f>
        <v>9256993</v>
      </c>
      <c r="BE42" s="23" t="str">
        <f>VLOOKUP(BD42,CENY!$B$11:$G$1034,2,FALSE)</f>
        <v>ACTRO YOU 40KG PLNOVÝSUV 500 MM EB21 SILENT SYSTEM PRAVÝ</v>
      </c>
      <c r="BF42" s="24">
        <f>VLOOKUP(BD42,CENY!$B$11:$G$1034,3,FALSE)</f>
        <v>10</v>
      </c>
      <c r="BG42" s="24"/>
      <c r="BH42" s="25">
        <f>AY26</f>
        <v>0</v>
      </c>
      <c r="BI42" s="451">
        <f t="shared" si="2"/>
        <v>0</v>
      </c>
      <c r="BJ42" s="107">
        <f>VLOOKUP(BD42,CENY!$B$11:$M$2005,12,FALSE)</f>
        <v>253.25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OBJ!B256</f>
        <v>9256996</v>
      </c>
      <c r="BE43" s="23" t="str">
        <f>VLOOKUP(BD43,CENY!$B$11:$G$1034,2,FALSE)</f>
        <v>ACTRO YOU 40KG PLNOVÝSUV 550 MM EB21 SILENT SYSTEM LEVÝ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269.83999999999997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 PLNOVÝSUV 350 MM EB21 SILENT SYSTEM SADA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376.77</v>
      </c>
      <c r="BB44" s="107">
        <f t="shared" si="0"/>
        <v>0</v>
      </c>
      <c r="BD44" s="441">
        <f>OBJ!B257</f>
        <v>9256997</v>
      </c>
      <c r="BE44" s="23" t="str">
        <f>VLOOKUP(BD44,CENY!$B$11:$G$1034,2,FALSE)</f>
        <v>ACTRO YOU 40KG PLNOVÝSUV 550 MM EB21 SILENT SYSTEM PRAVÝ</v>
      </c>
      <c r="BF44" s="24">
        <f>VLOOKUP(BD44,CENY!$B$11:$G$1034,3,FALSE)</f>
        <v>10</v>
      </c>
      <c r="BG44" s="24"/>
      <c r="BH44" s="25">
        <f>AY27</f>
        <v>0</v>
      </c>
      <c r="BI44" s="451">
        <f t="shared" si="2"/>
        <v>0</v>
      </c>
      <c r="BJ44" s="107">
        <f>VLOOKUP(BD44,CENY!$B$11:$M$2005,12,FALSE)</f>
        <v>269.83999999999997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 PLNOVÝSUV 400 MM EB21 SILENT SYSTEM SADA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384.24</v>
      </c>
      <c r="BB45" s="107">
        <f t="shared" si="0"/>
        <v>0</v>
      </c>
      <c r="BD45" s="441">
        <f>OBJ!B258</f>
        <v>9268679</v>
      </c>
      <c r="BE45" s="23" t="str">
        <f>VLOOKUP(BD45,CENY!$B$11:$G$1034,2,FALSE)</f>
        <v>ACTRO YOU 40KG PLNOVÝSUV 600 MM EB21 SILENT SYSTÉM LEVÝ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273.51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 PLNOVÝSUV 450 MM EB21 SILENT SYSTEM SADA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391.72</v>
      </c>
      <c r="BB46" s="107">
        <f t="shared" si="0"/>
        <v>0</v>
      </c>
      <c r="BD46" s="441">
        <f>OBJ!B259</f>
        <v>9268680</v>
      </c>
      <c r="BE46" s="23" t="str">
        <f>VLOOKUP(BD46,CENY!$B$11:$G$1034,2,FALSE)</f>
        <v>ACTRO YOU 40KG PLNOVÝSUV 600 MM EB21 SILENT SYSTÉM PRAVÝ</v>
      </c>
      <c r="BF46" s="24">
        <f>VLOOKUP(BD46,CENY!$B$11:$G$1034,3,FALSE)</f>
        <v>10</v>
      </c>
      <c r="BG46" s="24"/>
      <c r="BH46" s="25">
        <f>AY28</f>
        <v>0</v>
      </c>
      <c r="BI46" s="451">
        <f t="shared" si="2"/>
        <v>0</v>
      </c>
      <c r="BJ46" s="107">
        <f>VLOOKUP(BD46,CENY!$B$11:$M$2005,12,FALSE)</f>
        <v>273.51</v>
      </c>
      <c r="BK46" s="107">
        <f t="shared" si="3"/>
        <v>0</v>
      </c>
    </row>
    <row r="47" spans="2:63" ht="14.4" customHeight="1">
      <c r="AU47" s="441">
        <f>OBJ!B302</f>
        <v>9256892</v>
      </c>
      <c r="AV47" s="23" t="str">
        <f>VLOOKUP(AU47,CENY!$B$11:$G$1034,2,FALSE)</f>
        <v>QUADRO YOU PLNOVÝSUV 500 MM EB21 SILENT SYSTEM SADA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399.19</v>
      </c>
      <c r="BB47" s="107">
        <f t="shared" si="0"/>
        <v>0</v>
      </c>
      <c r="BD47" s="441"/>
      <c r="BE47" s="23"/>
      <c r="BF47" s="24"/>
      <c r="BG47" s="24"/>
      <c r="BH47" s="25"/>
      <c r="BI47" s="451" t="str">
        <f t="shared" si="2"/>
        <v/>
      </c>
      <c r="BJ47" s="107"/>
      <c r="BK47" s="107" t="str">
        <f t="shared" si="3"/>
        <v/>
      </c>
    </row>
    <row r="48" spans="2:63" ht="14.4" customHeight="1">
      <c r="AU48" s="441">
        <f>OBJ!B303</f>
        <v>9256894</v>
      </c>
      <c r="AV48" s="23" t="str">
        <f>VLOOKUP(AU48,CENY!$B$11:$G$1034,2,FALSE)</f>
        <v>QUADRO YOU PLNOVÝSUV 550 MM EB21 SILENT SYSTEM SADA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412.64</v>
      </c>
      <c r="BB48" s="107">
        <f t="shared" si="0"/>
        <v>0</v>
      </c>
      <c r="BD48" s="441">
        <f>OBJ!B266</f>
        <v>9257013</v>
      </c>
      <c r="BE48" s="23" t="str">
        <f>VLOOKUP(BD48,CENY!$B$11:$G$1034,2,FALSE)</f>
        <v>ACTRO YOU 70KG PLNOVÝSUV 450 MM EB21 SILENT SYSTEM LEVÝ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309.07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 PLNOVÝSUV 600 MM EB21 SILENT SYSTEM SADA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420.11</v>
      </c>
      <c r="BB49" s="107">
        <f t="shared" si="0"/>
        <v>0</v>
      </c>
      <c r="BD49" s="441">
        <f>OBJ!B267</f>
        <v>9257014</v>
      </c>
      <c r="BE49" s="23" t="str">
        <f>VLOOKUP(BD49,CENY!$B$11:$G$1034,2,FALSE)</f>
        <v>ACTRO YOU 70KG PLNOVÝSUV 450 MM EB21 SILENT SYSTEM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309.07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OBJ!B268</f>
        <v>9257017</v>
      </c>
      <c r="BE50" s="23" t="str">
        <f>VLOOKUP(BD50,CENY!$B$11:$G$1034,2,FALSE)</f>
        <v>ACTRO YOU 70KG PLNOVÝSUV 500 MM EB21 SILENT SYSTEM LEVÝ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312.18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PUSH TO OPEN SILENT QUADRO YOU 10 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544.37</v>
      </c>
      <c r="BB51" s="107">
        <f t="shared" si="0"/>
        <v>0</v>
      </c>
      <c r="BD51" s="441">
        <f>OBJ!B269</f>
        <v>9257018</v>
      </c>
      <c r="BE51" s="23" t="str">
        <f>VLOOKUP(BD51,CENY!$B$11:$G$1034,2,FALSE)</f>
        <v>ACTRO YOU 70KG PLNOVÝSUV 500 MM EB21 SILENT SYSTEM PRAVÝ</v>
      </c>
      <c r="BF51" s="24">
        <f>VLOOKUP(BD51,CENY!$B$11:$G$1034,3,FALSE)</f>
        <v>10</v>
      </c>
      <c r="BG51" s="24"/>
      <c r="BH51" s="25">
        <f>AY31</f>
        <v>0</v>
      </c>
      <c r="BI51" s="451">
        <f t="shared" si="2"/>
        <v>0</v>
      </c>
      <c r="BJ51" s="107">
        <f>VLOOKUP(BD51,CENY!$B$11:$M$2005,12,FALSE)</f>
        <v>312.18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PUSH TO OPEN SILENT QUADRO YOU 20 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544.37</v>
      </c>
      <c r="BB52" s="107">
        <f t="shared" si="0"/>
        <v>0</v>
      </c>
      <c r="BD52" s="441">
        <f>OBJ!B270</f>
        <v>9257021</v>
      </c>
      <c r="BE52" s="23" t="str">
        <f>VLOOKUP(BD52,CENY!$B$11:$G$1034,2,FALSE)</f>
        <v>ACTRO YOU 70KG PLNOVÝSUV 550 MM EB21 SILENT SYSTEM LEVÝ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328.77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PUSH TO OPEN SILENT QUADRO YOU 30 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544.37</v>
      </c>
      <c r="BB53" s="107">
        <f t="shared" si="0"/>
        <v>0</v>
      </c>
      <c r="BD53" s="441">
        <f>OBJ!B271</f>
        <v>9257022</v>
      </c>
      <c r="BE53" s="23" t="str">
        <f>VLOOKUP(BD53,CENY!$B$11:$G$1034,2,FALSE)</f>
        <v>ACTRO YOU 70KG PLNOVÝSUV 550 MM EB21 SILENT SYSTEM PRAVÝ</v>
      </c>
      <c r="BF53" s="24">
        <f>VLOOKUP(BD53,CENY!$B$11:$G$1034,3,FALSE)</f>
        <v>10</v>
      </c>
      <c r="BG53" s="24"/>
      <c r="BH53" s="25">
        <f>AY32</f>
        <v>0</v>
      </c>
      <c r="BI53" s="451">
        <f t="shared" si="2"/>
        <v>0</v>
      </c>
      <c r="BJ53" s="107">
        <f>VLOOKUP(BD53,CENY!$B$11:$M$2005,12,FALSE)</f>
        <v>328.77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OBJ!B272</f>
        <v>9257025</v>
      </c>
      <c r="BE54" s="23" t="str">
        <f>VLOOKUP(BD54,CENY!$B$11:$G$1034,2,FALSE)</f>
        <v>ACTRO YOU 70KG PLNOVÝSUV 600 MM EB21 SILENT SYSTEM LEVÝ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362.28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 PLNOVÝSUV 350 MM EB21 PUSH TO OPEN SADA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421.61</v>
      </c>
      <c r="BB55" s="107">
        <f t="shared" si="0"/>
        <v>0</v>
      </c>
      <c r="BD55" s="441">
        <f>OBJ!B273</f>
        <v>9257026</v>
      </c>
      <c r="BE55" s="23" t="str">
        <f>VLOOKUP(BD55,CENY!$B$11:$G$1034,2,FALSE)</f>
        <v>ACTRO YOU 70KG PLNOVÝSUV 600 MM EB21 SILENT SYSTEM PRAVÝ</v>
      </c>
      <c r="BF55" s="24">
        <f>VLOOKUP(BD55,CENY!$B$11:$G$1034,3,FALSE)</f>
        <v>10</v>
      </c>
      <c r="BG55" s="24"/>
      <c r="BH55" s="25">
        <f>AY33</f>
        <v>0</v>
      </c>
      <c r="BI55" s="451">
        <f t="shared" si="2"/>
        <v>0</v>
      </c>
      <c r="BJ55" s="107">
        <f>VLOOKUP(BD55,CENY!$B$11:$M$2005,12,FALSE)</f>
        <v>362.28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 PLNOVÝSUV 400 MM EB21 PUSH TO OPEN SADA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429.08</v>
      </c>
      <c r="BB56" s="107">
        <f t="shared" si="0"/>
        <v>0</v>
      </c>
      <c r="BD56" s="441">
        <f>OBJ!B274</f>
        <v>9257027</v>
      </c>
      <c r="BE56" s="23" t="str">
        <f>VLOOKUP(BD56,CENY!$B$11:$G$1034,2,FALSE)</f>
        <v>ACTRO YOU 70KG PLNOVÝSUV 650 MM EB21 SILENT SYSTEM LEVÝ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377.39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 PLNOVÝSUV 450 MM EB21 PUSH TO OPEN SADA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436.55</v>
      </c>
      <c r="BB57" s="107">
        <f t="shared" si="0"/>
        <v>0</v>
      </c>
      <c r="BD57" s="441">
        <f>OBJ!B275</f>
        <v>9257028</v>
      </c>
      <c r="BE57" s="23" t="str">
        <f>VLOOKUP(BD57,CENY!$B$11:$G$1034,2,FALSE)</f>
        <v>ACTRO YOU 70KG PLNOVÝSUV 650 MM EB21 SILENT SYSTEM PRAVÝ</v>
      </c>
      <c r="BF57" s="24">
        <f>VLOOKUP(BD57,CENY!$B$11:$G$1034,3,FALSE)</f>
        <v>5</v>
      </c>
      <c r="BG57" s="24"/>
      <c r="BH57" s="25">
        <f>AY34</f>
        <v>0</v>
      </c>
      <c r="BI57" s="451">
        <f t="shared" si="2"/>
        <v>0</v>
      </c>
      <c r="BJ57" s="107">
        <f>VLOOKUP(BD57,CENY!$B$11:$M$2005,12,FALSE)</f>
        <v>377.39</v>
      </c>
      <c r="BK57" s="107">
        <f t="shared" si="3"/>
        <v>0</v>
      </c>
    </row>
    <row r="58" spans="47:63" ht="14.4" customHeight="1">
      <c r="AU58" s="441">
        <f>OBJ!B331</f>
        <v>9256937</v>
      </c>
      <c r="AV58" s="23" t="str">
        <f>VLOOKUP(AU58,CENY!$B$11:$G$1034,2,FALSE)</f>
        <v>QUADRO YOU PLNOVÝSUV 500 MM EB21 PUSH TO OPEN SADA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444.02</v>
      </c>
      <c r="BB58" s="107">
        <f t="shared" si="0"/>
        <v>0</v>
      </c>
      <c r="BD58" s="441"/>
      <c r="BE58" s="23"/>
      <c r="BF58" s="24"/>
      <c r="BG58" s="24"/>
      <c r="BH58" s="25"/>
      <c r="BI58" s="451" t="str">
        <f t="shared" si="2"/>
        <v/>
      </c>
      <c r="BJ58" s="107"/>
      <c r="BK58" s="107" t="str">
        <f t="shared" si="3"/>
        <v/>
      </c>
    </row>
    <row r="59" spans="47:63" ht="14.4" customHeight="1">
      <c r="AU59" s="441">
        <f>OBJ!B332</f>
        <v>9256939</v>
      </c>
      <c r="AV59" s="23" t="str">
        <f>VLOOKUP(AU59,CENY!$B$11:$G$1034,2,FALSE)</f>
        <v>QUADRO YOU PLNOVÝSUV 550 MM EB21 PUSH TO OPEN SADA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457.48</v>
      </c>
      <c r="BB59" s="107">
        <f t="shared" si="0"/>
        <v>0</v>
      </c>
      <c r="BD59" s="441">
        <f>OBJ!B277</f>
        <v>9257890</v>
      </c>
      <c r="BE59" s="23" t="str">
        <f>VLOOKUP(BD59,CENY!$B$11:$G$1034,2,FALSE)</f>
        <v>PUSH TO OPEN SILENT ACTRO YOU / ACTRO 5D 10 KG</v>
      </c>
      <c r="BF59" s="24">
        <f>VLOOKUP(BD59,CENY!$B$11:$G$1034,3,FALSE)</f>
        <v>1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544.37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 PLNOVÝSUV 600 MM EB21 PUSH TO OPEN SADA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464.95</v>
      </c>
      <c r="BB60" s="107">
        <f t="shared" si="0"/>
        <v>0</v>
      </c>
      <c r="BD60" s="441">
        <f>OBJ!B278</f>
        <v>9257891</v>
      </c>
      <c r="BE60" s="23" t="str">
        <f>VLOOKUP(BD60,CENY!$B$11:$G$1034,2,FALSE)</f>
        <v>PUSH TO OPEN SILENT ACTRO YOU / ACTRO 5D 20 KG</v>
      </c>
      <c r="BF60" s="24">
        <f>VLOOKUP(BD60,CENY!$B$11:$G$1034,3,FALSE)</f>
        <v>1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544.37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OBJ!B279</f>
        <v>9257892</v>
      </c>
      <c r="BE61" s="23" t="str">
        <f>VLOOKUP(BD61,CENY!$B$11:$G$1034,2,FALSE)</f>
        <v>PUSH TO OPEN SILENT ACTRO YOU / ACTRO 5D 40 KG</v>
      </c>
      <c r="BF61" s="24">
        <f>VLOOKUP(BD61,CENY!$B$11:$G$1034,3,FALSE)</f>
        <v>1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544.37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13.07</v>
      </c>
      <c r="BB62" s="107">
        <f t="shared" si="0"/>
        <v>0</v>
      </c>
      <c r="BD62" s="441">
        <f>OBJ!B280</f>
        <v>9257893</v>
      </c>
      <c r="BE62" s="23" t="str">
        <f>VLOOKUP(BD62,CENY!$B$11:$G$1034,2,FALSE)</f>
        <v>PUSH TO OPEN SILENT ACTRO YOU / ACTRO 5D 70 KG</v>
      </c>
      <c r="BF62" s="24">
        <f>VLOOKUP(BD62,CENY!$B$11:$G$1034,3,FALSE)</f>
        <v>1</v>
      </c>
      <c r="BG62" s="24"/>
      <c r="BH62" s="25">
        <f>AY39</f>
        <v>0</v>
      </c>
      <c r="BI62" s="451">
        <f t="shared" si="2"/>
        <v>0</v>
      </c>
      <c r="BJ62" s="107">
        <f>VLOOKUP(BD62,CENY!$B$11:$M$2005,12,FALSE)</f>
        <v>544.37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ref="BB63:BB102" si="4">IF(BA63="","",BA63*AY63)</f>
        <v/>
      </c>
      <c r="BD63" s="441">
        <f>OBJ!B281</f>
        <v>9236718</v>
      </c>
      <c r="BE63" s="23" t="str">
        <f>VLOOKUP(BD63,CENY!$B$11:$G$1034,2,FALSE)</f>
        <v>PUSH TO OPEN SYNCHRONIZAČNÍ TYČ 2000 MM</v>
      </c>
      <c r="BF63" s="24">
        <f>VLOOKUP(BD63,CENY!$B$11:$G$1034,3,FALSE)</f>
        <v>100</v>
      </c>
      <c r="BG63" s="24"/>
      <c r="BH63" s="25">
        <f>AY40</f>
        <v>0</v>
      </c>
      <c r="BI63" s="451">
        <f t="shared" si="2"/>
        <v>0</v>
      </c>
      <c r="BJ63" s="107">
        <f>VLOOKUP(BD63,CENY!$B$11:$M$2005,12,FALSE)</f>
        <v>144.30000000000001</v>
      </c>
      <c r="BK63" s="107">
        <f t="shared" si="3"/>
        <v>0</v>
      </c>
    </row>
    <row r="64" spans="47:63" ht="14.4" customHeight="1">
      <c r="AU64" s="442">
        <v>9255839</v>
      </c>
      <c r="AV64" s="443" t="str">
        <f>VLOOKUP(AU64,CENY!$B$11:$G$1034,2,FALSE)</f>
        <v>AVANTECH YOU PŘÍCHYTKA ČELA V187 / 251 MM K ZALISOVÁNÍ</v>
      </c>
      <c r="AW64" s="24">
        <f>VLOOKUP(AU64,CENY!$B$11:$G$1034,3,FALSE)</f>
        <v>200</v>
      </c>
      <c r="AX64" s="24"/>
      <c r="AY64" s="77">
        <f>IF(FORM!AM8=FORM!AU11,(2*(+SUM(O19:T19)+SUM(O20:AD20)+SUM(W22:AF22)+SUM(O27:T27)+SUM(O28:AD28)+SUM(O30:AD30))),0)</f>
        <v>0</v>
      </c>
      <c r="AZ64" s="451">
        <f t="shared" si="1"/>
        <v>0</v>
      </c>
      <c r="BA64" s="107">
        <f>VLOOKUP(AU64,CENY!$B$11:$M$2005,12,FALSE)</f>
        <v>53.8</v>
      </c>
      <c r="BB64" s="107">
        <f t="shared" si="4"/>
        <v>0</v>
      </c>
      <c r="BD64" s="441"/>
      <c r="BE64" s="23"/>
      <c r="BF64" s="24"/>
      <c r="BG64" s="24"/>
      <c r="BH64" s="25"/>
      <c r="BI64" s="451" t="str">
        <f t="shared" si="2"/>
        <v/>
      </c>
      <c r="BJ64" s="107"/>
      <c r="BK64" s="107" t="str">
        <f t="shared" si="3"/>
        <v/>
      </c>
    </row>
    <row r="65" spans="47:63" ht="14.4" customHeight="1">
      <c r="AU65" s="442">
        <v>9257888</v>
      </c>
      <c r="AV65" s="443" t="str">
        <f>VLOOKUP(AU65,CENY!$B$11:$G$1034,2,FALSE)</f>
        <v>AVANTECH YOU STABILIZÁTOR ČELA V251 MM K ZALISOVÁNÍ</v>
      </c>
      <c r="AW65" s="24">
        <f>VLOOKUP(AU65,CENY!$B$11:$G$1034,3,FALSE)</f>
        <v>200</v>
      </c>
      <c r="AX65" s="24"/>
      <c r="AY65" s="77">
        <f>AY64</f>
        <v>0</v>
      </c>
      <c r="AZ65" s="451">
        <f t="shared" si="1"/>
        <v>0</v>
      </c>
      <c r="BA65" s="107">
        <f>VLOOKUP(AU65,CENY!$B$11:$M$2005,12,FALSE)</f>
        <v>9.51</v>
      </c>
      <c r="BB65" s="107">
        <f>IF(BA65="","",BA65*AY65)</f>
        <v>0</v>
      </c>
      <c r="BD65" s="441">
        <f>OBJ!B294</f>
        <v>9256950</v>
      </c>
      <c r="BE65" s="23" t="str">
        <f>VLOOKUP(BD65,CENY!$B$11:$G$1034,2,FALSE)</f>
        <v>QUADRO YOU 10 KG PLNOVÝSUV 350 MM EB21 SILENT SYSTEM LEVÝ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176.43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4"/>
        <v/>
      </c>
      <c r="BD66" s="441">
        <f>OBJ!B295</f>
        <v>9256951</v>
      </c>
      <c r="BE66" s="23" t="str">
        <f>VLOOKUP(BD66,CENY!$B$11:$G$1034,2,FALSE)</f>
        <v>QUADRO YOU 10 KG PLNOVÝSUV 350 MM EB21 SILENT SYSTEM PRAVÝ</v>
      </c>
      <c r="BF66" s="24">
        <f>VLOOKUP(BD66,CENY!$B$11:$G$1034,3,FALSE)</f>
        <v>20</v>
      </c>
      <c r="BG66" s="24"/>
      <c r="BH66" s="25">
        <f>AY42</f>
        <v>0</v>
      </c>
      <c r="BI66" s="451">
        <f t="shared" si="2"/>
        <v>0</v>
      </c>
      <c r="BJ66" s="107">
        <f>VLOOKUP(BD66,CENY!$B$11:$M$2005,12,FALSE)</f>
        <v>176.43</v>
      </c>
      <c r="BK66" s="107">
        <f t="shared" si="3"/>
        <v>0</v>
      </c>
    </row>
    <row r="67" spans="47:63" ht="14.4" customHeight="1">
      <c r="AU67" s="441">
        <f>OBJ!B207</f>
        <v>0</v>
      </c>
      <c r="AV67" s="23" t="e">
        <f>VLOOKUP(AU67,CENY!$B$11:$G$1034,2,FALSE)</f>
        <v>#N/A</v>
      </c>
      <c r="AW67" s="24" t="e">
        <f>VLOOKUP(AU67,CENY!$B$11:$G$1034,3,FALSE)</f>
        <v>#N/A</v>
      </c>
      <c r="AX67" s="24"/>
      <c r="AY67" s="77">
        <f>IF(FORM!AM21&lt;&gt;FORM!AW16,(2*(+SUM(O19:T19)+SUM(O20:AD20)+SUM(W22:AF22)+SUM(O27:T27)+SUM(O28:AD28)+SUM(O30:AD30))),0)</f>
        <v>0</v>
      </c>
      <c r="AZ67" s="451">
        <f t="shared" si="1"/>
        <v>0</v>
      </c>
      <c r="BA67" s="449" t="str">
        <f>IF(AU67=0,"",VLOOKUP(AU67,CENY!$B$11:$M$2005,12,FALSE))</f>
        <v/>
      </c>
      <c r="BB67" s="107" t="str">
        <f t="shared" si="4"/>
        <v/>
      </c>
      <c r="BD67" s="441"/>
      <c r="BE67" s="23"/>
      <c r="BF67" s="24"/>
      <c r="BG67" s="24"/>
      <c r="BH67" s="25"/>
      <c r="BI67" s="451" t="str">
        <f t="shared" si="2"/>
        <v/>
      </c>
      <c r="BJ67" s="107"/>
      <c r="BK67" s="107" t="str">
        <f t="shared" ref="BK67:BK101" si="5">IF(BJ67="","",BJ67*BH67)</f>
        <v/>
      </c>
    </row>
    <row r="68" spans="47:63" ht="14.4" customHeight="1">
      <c r="AU68" s="441"/>
      <c r="AV68" s="23"/>
      <c r="AW68" s="24"/>
      <c r="AX68" s="24"/>
      <c r="AY68" s="25"/>
      <c r="AZ68" s="451" t="str">
        <f t="shared" ref="AZ68:AZ106" si="6">IF(AY68="","",IF($AW$4=1,AY68,0))</f>
        <v/>
      </c>
      <c r="BA68" s="107"/>
      <c r="BB68" s="107" t="str">
        <f t="shared" si="4"/>
        <v/>
      </c>
      <c r="BD68" s="441">
        <f>OBJ!B309</f>
        <v>9256860</v>
      </c>
      <c r="BE68" s="23" t="str">
        <f>VLOOKUP(BD68,CENY!$B$11:$G$1034,2,FALSE)</f>
        <v>QUADRO YOU PLNOVÝSUV 350 MM EB21 SILENT SYSTEM LEVÝ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176.43</v>
      </c>
      <c r="BK68" s="107">
        <f t="shared" si="5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si="6"/>
        <v/>
      </c>
      <c r="BA69" s="107"/>
      <c r="BB69" s="107" t="str">
        <f t="shared" si="4"/>
        <v/>
      </c>
      <c r="BD69" s="441">
        <f>OBJ!B310</f>
        <v>9256861</v>
      </c>
      <c r="BE69" s="23" t="str">
        <f>VLOOKUP(BD69,CENY!$B$11:$G$1034,2,FALSE)</f>
        <v>QUADRO YOU PLNOVÝSUV 350 MM EB21 SILENT SYSTEM PRAVÝ</v>
      </c>
      <c r="BF69" s="24">
        <f>VLOOKUP(BD69,CENY!$B$11:$G$1034,3,FALSE)</f>
        <v>20</v>
      </c>
      <c r="BG69" s="24"/>
      <c r="BH69" s="25">
        <f>AY44</f>
        <v>0</v>
      </c>
      <c r="BI69" s="451">
        <f t="shared" si="2"/>
        <v>0</v>
      </c>
      <c r="BJ69" s="107">
        <f>VLOOKUP(BD69,CENY!$B$11:$M$2005,12,FALSE)</f>
        <v>176.43</v>
      </c>
      <c r="BK69" s="107">
        <f t="shared" si="5"/>
        <v>0</v>
      </c>
    </row>
    <row r="70" spans="47:63" ht="14.4" customHeight="1">
      <c r="AU70" s="441"/>
      <c r="AV70" s="23"/>
      <c r="AW70" s="24"/>
      <c r="AX70" s="24"/>
      <c r="AY70" s="25"/>
      <c r="AZ70" s="451" t="str">
        <f t="shared" si="6"/>
        <v/>
      </c>
      <c r="BA70" s="107"/>
      <c r="BB70" s="107" t="str">
        <f t="shared" si="4"/>
        <v/>
      </c>
      <c r="BD70" s="441">
        <f>OBJ!B311</f>
        <v>9256864</v>
      </c>
      <c r="BE70" s="23" t="str">
        <f>VLOOKUP(BD70,CENY!$B$11:$G$1034,2,FALSE)</f>
        <v>QUADRO YOU PLNOVÝSUV 400 MM EB21 SILENT SYSTEM LEVÝ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ref="BI70:BI107" si="7">IF(BH70="","",IF($AW$4=0,BH70,0))</f>
        <v>0</v>
      </c>
      <c r="BJ70" s="107">
        <f>VLOOKUP(BD70,CENY!$B$11:$M$2005,12,FALSE)</f>
        <v>180.17</v>
      </c>
      <c r="BK70" s="107">
        <f t="shared" si="5"/>
        <v>0</v>
      </c>
    </row>
    <row r="71" spans="47:63" ht="14.4" customHeight="1">
      <c r="AU71" s="441"/>
      <c r="AV71" s="23"/>
      <c r="AW71" s="24"/>
      <c r="AX71" s="24"/>
      <c r="AY71" s="25"/>
      <c r="AZ71" s="451" t="str">
        <f t="shared" si="6"/>
        <v/>
      </c>
      <c r="BA71" s="107"/>
      <c r="BB71" s="107" t="str">
        <f t="shared" si="4"/>
        <v/>
      </c>
      <c r="BD71" s="441">
        <f>OBJ!B312</f>
        <v>9256865</v>
      </c>
      <c r="BE71" s="23" t="str">
        <f>VLOOKUP(BD71,CENY!$B$11:$G$1034,2,FALSE)</f>
        <v>QUADRO YOU PLNOVÝSUV 400 MM EB21 SILENT SYSTEM PRAVÝ</v>
      </c>
      <c r="BF71" s="24">
        <f>VLOOKUP(BD71,CENY!$B$11:$G$1034,3,FALSE)</f>
        <v>20</v>
      </c>
      <c r="BG71" s="24"/>
      <c r="BH71" s="25">
        <f>AY45</f>
        <v>0</v>
      </c>
      <c r="BI71" s="451">
        <f t="shared" si="7"/>
        <v>0</v>
      </c>
      <c r="BJ71" s="107">
        <f>VLOOKUP(BD71,CENY!$B$11:$M$2005,12,FALSE)</f>
        <v>180.17</v>
      </c>
      <c r="BK71" s="107">
        <f t="shared" si="5"/>
        <v>0</v>
      </c>
    </row>
    <row r="72" spans="47:63" ht="14.4" customHeight="1">
      <c r="AU72" s="441"/>
      <c r="AV72" s="23"/>
      <c r="AW72" s="24"/>
      <c r="AX72" s="24"/>
      <c r="AY72" s="25"/>
      <c r="AZ72" s="451" t="str">
        <f t="shared" si="6"/>
        <v/>
      </c>
      <c r="BA72" s="107"/>
      <c r="BB72" s="107" t="str">
        <f t="shared" si="4"/>
        <v/>
      </c>
      <c r="BD72" s="441">
        <f>OBJ!B313</f>
        <v>9256868</v>
      </c>
      <c r="BE72" s="23" t="str">
        <f>VLOOKUP(BD72,CENY!$B$11:$G$1034,2,FALSE)</f>
        <v>QUADRO YOU PLNOVÝSUV 450 MM EB21 SILENT SYSTEM LEVÝ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7"/>
        <v>0</v>
      </c>
      <c r="BJ72" s="107">
        <f>VLOOKUP(BD72,CENY!$B$11:$M$2005,12,FALSE)</f>
        <v>183.9</v>
      </c>
      <c r="BK72" s="107">
        <f t="shared" si="5"/>
        <v>0</v>
      </c>
    </row>
    <row r="73" spans="47:63" ht="14.4" customHeight="1">
      <c r="AU73" s="441"/>
      <c r="AV73" s="23"/>
      <c r="AW73" s="24"/>
      <c r="AX73" s="24"/>
      <c r="AY73" s="25"/>
      <c r="AZ73" s="451" t="str">
        <f t="shared" si="6"/>
        <v/>
      </c>
      <c r="BA73" s="107"/>
      <c r="BB73" s="107" t="str">
        <f t="shared" si="4"/>
        <v/>
      </c>
      <c r="BD73" s="441">
        <f>OBJ!B314</f>
        <v>9256869</v>
      </c>
      <c r="BE73" s="23" t="str">
        <f>VLOOKUP(BD73,CENY!$B$11:$G$1034,2,FALSE)</f>
        <v>QUADRO YOU PLNOVÝSUV 450 MM EB21 SILENT SYSTEM PRAVÝ</v>
      </c>
      <c r="BF73" s="24">
        <f>VLOOKUP(BD73,CENY!$B$11:$G$1034,3,FALSE)</f>
        <v>20</v>
      </c>
      <c r="BG73" s="24"/>
      <c r="BH73" s="25">
        <f>AY46</f>
        <v>0</v>
      </c>
      <c r="BI73" s="451">
        <f t="shared" si="7"/>
        <v>0</v>
      </c>
      <c r="BJ73" s="107">
        <f>VLOOKUP(BD73,CENY!$B$11:$M$2005,12,FALSE)</f>
        <v>183.9</v>
      </c>
      <c r="BK73" s="107">
        <f t="shared" si="5"/>
        <v>0</v>
      </c>
    </row>
    <row r="74" spans="47:63" ht="14.4" customHeight="1">
      <c r="AU74" s="441"/>
      <c r="AV74" s="23"/>
      <c r="AW74" s="24"/>
      <c r="AX74" s="24"/>
      <c r="AY74" s="25"/>
      <c r="AZ74" s="451" t="str">
        <f t="shared" si="6"/>
        <v/>
      </c>
      <c r="BA74" s="107"/>
      <c r="BB74" s="107" t="str">
        <f t="shared" si="4"/>
        <v/>
      </c>
      <c r="BD74" s="441">
        <f>OBJ!B315</f>
        <v>9256872</v>
      </c>
      <c r="BE74" s="23" t="str">
        <f>VLOOKUP(BD74,CENY!$B$11:$G$1034,2,FALSE)</f>
        <v>QUADRO YOU PLNOVÝSUV 500 MM EB21 SILENT SYSTEM LEVÝ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7"/>
        <v>0</v>
      </c>
      <c r="BJ74" s="107">
        <f>VLOOKUP(BD74,CENY!$B$11:$M$2005,12,FALSE)</f>
        <v>187.64</v>
      </c>
      <c r="BK74" s="107">
        <f t="shared" si="5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6"/>
        <v/>
      </c>
      <c r="BA75" s="107"/>
      <c r="BB75" s="107" t="str">
        <f t="shared" si="4"/>
        <v/>
      </c>
      <c r="BD75" s="441">
        <f>OBJ!B316</f>
        <v>9256873</v>
      </c>
      <c r="BE75" s="23" t="str">
        <f>VLOOKUP(BD75,CENY!$B$11:$G$1034,2,FALSE)</f>
        <v>QUADRO YOU PLNOVÝSUV 500 MM EB21 SILENT SYSTEM PRAVÝ</v>
      </c>
      <c r="BF75" s="24">
        <f>VLOOKUP(BD75,CENY!$B$11:$G$1034,3,FALSE)</f>
        <v>20</v>
      </c>
      <c r="BG75" s="24"/>
      <c r="BH75" s="25">
        <f>AY47</f>
        <v>0</v>
      </c>
      <c r="BI75" s="451">
        <f t="shared" si="7"/>
        <v>0</v>
      </c>
      <c r="BJ75" s="107">
        <f>VLOOKUP(BD75,CENY!$B$11:$M$2005,12,FALSE)</f>
        <v>187.64</v>
      </c>
      <c r="BK75" s="107">
        <f t="shared" si="5"/>
        <v>0</v>
      </c>
    </row>
    <row r="76" spans="47:63" ht="14.4" customHeight="1">
      <c r="AU76" s="441"/>
      <c r="AV76" s="23"/>
      <c r="AW76" s="24"/>
      <c r="AX76" s="24"/>
      <c r="AY76" s="25"/>
      <c r="AZ76" s="451" t="str">
        <f t="shared" si="6"/>
        <v/>
      </c>
      <c r="BA76" s="107"/>
      <c r="BB76" s="107" t="str">
        <f t="shared" si="4"/>
        <v/>
      </c>
      <c r="BD76" s="441">
        <f>OBJ!B317</f>
        <v>9256876</v>
      </c>
      <c r="BE76" s="23" t="str">
        <f>VLOOKUP(BD76,CENY!$B$11:$G$1034,2,FALSE)</f>
        <v>QUADRO YOU PLNOVÝSUV 550 MM EB21 SILENT SYSTEM LEVÝ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7"/>
        <v>0</v>
      </c>
      <c r="BJ76" s="107">
        <f>VLOOKUP(BD76,CENY!$B$11:$M$2005,12,FALSE)</f>
        <v>194.36</v>
      </c>
      <c r="BK76" s="107">
        <f t="shared" si="5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6"/>
        <v/>
      </c>
      <c r="BA77" s="107"/>
      <c r="BB77" s="107" t="str">
        <f t="shared" si="4"/>
        <v/>
      </c>
      <c r="BD77" s="441">
        <f>OBJ!B318</f>
        <v>9256877</v>
      </c>
      <c r="BE77" s="23" t="str">
        <f>VLOOKUP(BD77,CENY!$B$11:$G$1034,2,FALSE)</f>
        <v>QUADRO YOU PLNOVÝSUV 550 MM EB21 SILENT SYSTEM PRAVÝ</v>
      </c>
      <c r="BF77" s="24">
        <f>VLOOKUP(BD77,CENY!$B$11:$G$1034,3,FALSE)</f>
        <v>20</v>
      </c>
      <c r="BG77" s="24"/>
      <c r="BH77" s="25">
        <f>AY48</f>
        <v>0</v>
      </c>
      <c r="BI77" s="451">
        <f t="shared" si="7"/>
        <v>0</v>
      </c>
      <c r="BJ77" s="107">
        <f>VLOOKUP(BD77,CENY!$B$11:$M$2005,12,FALSE)</f>
        <v>194.36</v>
      </c>
      <c r="BK77" s="107">
        <f t="shared" si="5"/>
        <v>0</v>
      </c>
    </row>
    <row r="78" spans="47:63" ht="14.4" customHeight="1">
      <c r="AU78" s="441"/>
      <c r="AV78" s="23"/>
      <c r="AW78" s="24"/>
      <c r="AX78" s="24"/>
      <c r="AY78" s="25"/>
      <c r="AZ78" s="451" t="str">
        <f t="shared" si="6"/>
        <v/>
      </c>
      <c r="BA78" s="107"/>
      <c r="BB78" s="107" t="str">
        <f t="shared" si="4"/>
        <v/>
      </c>
      <c r="BD78" s="441">
        <f>OBJ!B319</f>
        <v>9256880</v>
      </c>
      <c r="BE78" s="23" t="str">
        <f>VLOOKUP(BD78,CENY!$B$11:$G$1034,2,FALSE)</f>
        <v>QUADRO YOU PLNOVÝSUV 600 MM EB21 SILENT SYSTEM LEVÝ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7"/>
        <v>0</v>
      </c>
      <c r="BJ78" s="107">
        <f>VLOOKUP(BD78,CENY!$B$11:$M$2005,12,FALSE)</f>
        <v>198.1</v>
      </c>
      <c r="BK78" s="107">
        <f t="shared" si="5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6"/>
        <v/>
      </c>
      <c r="BA79" s="107"/>
      <c r="BB79" s="107" t="str">
        <f t="shared" si="4"/>
        <v/>
      </c>
      <c r="BD79" s="441">
        <f>OBJ!B320</f>
        <v>9256881</v>
      </c>
      <c r="BE79" s="23" t="str">
        <f>VLOOKUP(BD79,CENY!$B$11:$G$1034,2,FALSE)</f>
        <v>QUADRO YOU PLNOVÝSUV 600 MM EB21 SILENT SYSTEM PRAVÝ</v>
      </c>
      <c r="BF79" s="24">
        <f>VLOOKUP(BD79,CENY!$B$11:$G$1034,3,FALSE)</f>
        <v>20</v>
      </c>
      <c r="BG79" s="24"/>
      <c r="BH79" s="25">
        <f>AY49</f>
        <v>0</v>
      </c>
      <c r="BI79" s="451">
        <f t="shared" si="7"/>
        <v>0</v>
      </c>
      <c r="BJ79" s="107">
        <f>VLOOKUP(BD79,CENY!$B$11:$M$2005,12,FALSE)</f>
        <v>198.1</v>
      </c>
      <c r="BK79" s="107">
        <f t="shared" si="5"/>
        <v>0</v>
      </c>
    </row>
    <row r="80" spans="47:63" ht="14.4" customHeight="1">
      <c r="AU80" s="441"/>
      <c r="AV80" s="23"/>
      <c r="AW80" s="24"/>
      <c r="AX80" s="24"/>
      <c r="AY80" s="25"/>
      <c r="AZ80" s="451" t="str">
        <f t="shared" si="6"/>
        <v/>
      </c>
      <c r="BA80" s="107"/>
      <c r="BB80" s="107" t="str">
        <f t="shared" si="4"/>
        <v/>
      </c>
      <c r="BD80" s="441"/>
      <c r="BE80" s="23"/>
      <c r="BF80" s="24"/>
      <c r="BG80" s="24"/>
      <c r="BH80" s="25"/>
      <c r="BI80" s="451" t="str">
        <f t="shared" si="7"/>
        <v/>
      </c>
      <c r="BJ80" s="107"/>
      <c r="BK80" s="107" t="str">
        <f t="shared" si="5"/>
        <v/>
      </c>
    </row>
    <row r="81" spans="47:63" ht="14.4" customHeight="1">
      <c r="AU81" s="441"/>
      <c r="AV81" s="23"/>
      <c r="AW81" s="24"/>
      <c r="AX81" s="24"/>
      <c r="AY81" s="25"/>
      <c r="AZ81" s="451" t="str">
        <f t="shared" si="6"/>
        <v/>
      </c>
      <c r="BA81" s="107"/>
      <c r="BB81" s="107" t="str">
        <f t="shared" si="4"/>
        <v/>
      </c>
      <c r="BD81" s="441">
        <f>OBJ!B322</f>
        <v>9257894</v>
      </c>
      <c r="BE81" s="23" t="str">
        <f>VLOOKUP(BD81,CENY!$B$11:$G$1034,2,FALSE)</f>
        <v>PUSH TO OPEN SILENT QUADRO YOU 10 KG</v>
      </c>
      <c r="BF81" s="24">
        <f>VLOOKUP(BD81,CENY!$B$11:$G$1034,3,FALSE)</f>
        <v>1</v>
      </c>
      <c r="BG81" s="24"/>
      <c r="BH81" s="25">
        <f>AY51</f>
        <v>0</v>
      </c>
      <c r="BI81" s="451">
        <f t="shared" si="7"/>
        <v>0</v>
      </c>
      <c r="BJ81" s="107">
        <f>VLOOKUP(BD81,CENY!$B$11:$M$2005,12,FALSE)</f>
        <v>544.37</v>
      </c>
      <c r="BK81" s="107">
        <f t="shared" si="5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6"/>
        <v/>
      </c>
      <c r="BA82" s="107"/>
      <c r="BB82" s="107" t="str">
        <f t="shared" si="4"/>
        <v/>
      </c>
      <c r="BD82" s="441">
        <f>OBJ!B323</f>
        <v>9257895</v>
      </c>
      <c r="BE82" s="23" t="str">
        <f>VLOOKUP(BD82,CENY!$B$11:$G$1034,2,FALSE)</f>
        <v>PUSH TO OPEN SILENT QUADRO YOU 20 KG</v>
      </c>
      <c r="BF82" s="24">
        <f>VLOOKUP(BD82,CENY!$B$11:$G$1034,3,FALSE)</f>
        <v>1</v>
      </c>
      <c r="BG82" s="24"/>
      <c r="BH82" s="25">
        <f>AY52</f>
        <v>0</v>
      </c>
      <c r="BI82" s="451">
        <f t="shared" si="7"/>
        <v>0</v>
      </c>
      <c r="BJ82" s="107">
        <f>VLOOKUP(BD82,CENY!$B$11:$M$2005,12,FALSE)</f>
        <v>544.37</v>
      </c>
      <c r="BK82" s="107">
        <f t="shared" si="5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6"/>
        <v/>
      </c>
      <c r="BA83" s="107"/>
      <c r="BB83" s="107" t="str">
        <f t="shared" si="4"/>
        <v/>
      </c>
      <c r="BD83" s="441">
        <f>OBJ!B324</f>
        <v>9257896</v>
      </c>
      <c r="BE83" s="23" t="str">
        <f>VLOOKUP(BD83,CENY!$B$11:$G$1034,2,FALSE)</f>
        <v>PUSH TO OPEN SILENT QUADRO YOU 30 KG</v>
      </c>
      <c r="BF83" s="24">
        <f>VLOOKUP(BD83,CENY!$B$11:$G$1034,3,FALSE)</f>
        <v>1</v>
      </c>
      <c r="BG83" s="24"/>
      <c r="BH83" s="25">
        <f>AY53</f>
        <v>0</v>
      </c>
      <c r="BI83" s="451">
        <f t="shared" si="7"/>
        <v>0</v>
      </c>
      <c r="BJ83" s="107">
        <f>VLOOKUP(BD83,CENY!$B$11:$M$2005,12,FALSE)</f>
        <v>544.37</v>
      </c>
      <c r="BK83" s="107">
        <f t="shared" si="5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6"/>
        <v/>
      </c>
      <c r="BA84" s="107"/>
      <c r="BB84" s="107" t="str">
        <f t="shared" si="4"/>
        <v/>
      </c>
      <c r="BD84" s="441"/>
      <c r="BE84" s="23"/>
      <c r="BF84" s="24"/>
      <c r="BG84" s="24"/>
      <c r="BH84" s="25"/>
      <c r="BI84" s="451" t="str">
        <f t="shared" si="7"/>
        <v/>
      </c>
      <c r="BJ84" s="107"/>
      <c r="BK84" s="107" t="str">
        <f t="shared" si="5"/>
        <v/>
      </c>
    </row>
    <row r="85" spans="47:63" ht="14.4" customHeight="1">
      <c r="AU85" s="22"/>
      <c r="AV85" s="23"/>
      <c r="AW85" s="24"/>
      <c r="AX85" s="24"/>
      <c r="AY85" s="25"/>
      <c r="AZ85" s="451" t="str">
        <f t="shared" si="6"/>
        <v/>
      </c>
      <c r="BA85" s="107"/>
      <c r="BB85" s="107" t="str">
        <f t="shared" si="4"/>
        <v/>
      </c>
      <c r="BD85" s="441">
        <f>OBJ!B338</f>
        <v>9256905</v>
      </c>
      <c r="BE85" s="23" t="str">
        <f>VLOOKUP(BD85,CENY!$B$11:$G$1034,2,FALSE)</f>
        <v>QUADRO YOU PLNOVÝSUV 350 MM EB21 PUSH TO OPEN LEVÝ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7"/>
        <v>0</v>
      </c>
      <c r="BJ85" s="107">
        <f>VLOOKUP(BD85,CENY!$B$11:$M$2005,12,FALSE)</f>
        <v>198.85</v>
      </c>
      <c r="BK85" s="107">
        <f t="shared" si="5"/>
        <v>0</v>
      </c>
    </row>
    <row r="86" spans="47:63" ht="14.4" customHeight="1">
      <c r="AU86" s="22"/>
      <c r="AV86" s="23"/>
      <c r="AW86" s="24"/>
      <c r="AX86" s="24"/>
      <c r="AY86" s="25"/>
      <c r="AZ86" s="451" t="str">
        <f t="shared" si="6"/>
        <v/>
      </c>
      <c r="BA86" s="107"/>
      <c r="BB86" s="107" t="str">
        <f t="shared" si="4"/>
        <v/>
      </c>
      <c r="BD86" s="441">
        <f>OBJ!B339</f>
        <v>9256906</v>
      </c>
      <c r="BE86" s="23" t="str">
        <f>VLOOKUP(BD86,CENY!$B$11:$G$1034,2,FALSE)</f>
        <v>QUADRO YOU PLNOVÝSUV 350 MM EB21 PUSH TO OPEN PRAVÝ</v>
      </c>
      <c r="BF86" s="24">
        <f>VLOOKUP(BD86,CENY!$B$11:$G$1034,3,FALSE)</f>
        <v>20</v>
      </c>
      <c r="BG86" s="24"/>
      <c r="BH86" s="25">
        <f>AY55</f>
        <v>0</v>
      </c>
      <c r="BI86" s="451">
        <f t="shared" si="7"/>
        <v>0</v>
      </c>
      <c r="BJ86" s="107">
        <f>VLOOKUP(BD86,CENY!$B$11:$M$2005,12,FALSE)</f>
        <v>198.85</v>
      </c>
      <c r="BK86" s="107">
        <f t="shared" si="5"/>
        <v>0</v>
      </c>
    </row>
    <row r="87" spans="47:63" ht="14.4" customHeight="1">
      <c r="AU87" s="22"/>
      <c r="AV87" s="23"/>
      <c r="AW87" s="24"/>
      <c r="AX87" s="24"/>
      <c r="AY87" s="25"/>
      <c r="AZ87" s="451" t="str">
        <f t="shared" si="6"/>
        <v/>
      </c>
      <c r="BA87" s="107"/>
      <c r="BB87" s="107" t="str">
        <f t="shared" si="4"/>
        <v/>
      </c>
      <c r="BD87" s="441">
        <f>OBJ!B340</f>
        <v>9256909</v>
      </c>
      <c r="BE87" s="23" t="str">
        <f>VLOOKUP(BD87,CENY!$B$11:$G$1034,2,FALSE)</f>
        <v>QUADRO YOU PLNOVÝSUV 400 MM EB21 PUSH TO OPEN LEVÝ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7"/>
        <v>0</v>
      </c>
      <c r="BJ87" s="107">
        <f>VLOOKUP(BD87,CENY!$B$11:$M$2005,12,FALSE)</f>
        <v>202.58</v>
      </c>
      <c r="BK87" s="107">
        <f t="shared" si="5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6"/>
        <v/>
      </c>
      <c r="BA88" s="107"/>
      <c r="BB88" s="107" t="str">
        <f t="shared" si="4"/>
        <v/>
      </c>
      <c r="BD88" s="441">
        <f>OBJ!B341</f>
        <v>9256910</v>
      </c>
      <c r="BE88" s="23" t="str">
        <f>VLOOKUP(BD88,CENY!$B$11:$G$1034,2,FALSE)</f>
        <v>QUADRO YOU PLNOVÝSUV 400 MM EB21 PUSH TO OPEN PRAVÝ</v>
      </c>
      <c r="BF88" s="24">
        <f>VLOOKUP(BD88,CENY!$B$11:$G$1034,3,FALSE)</f>
        <v>20</v>
      </c>
      <c r="BG88" s="24"/>
      <c r="BH88" s="25">
        <f>AY56</f>
        <v>0</v>
      </c>
      <c r="BI88" s="451">
        <f t="shared" si="7"/>
        <v>0</v>
      </c>
      <c r="BJ88" s="107">
        <f>VLOOKUP(BD88,CENY!$B$11:$M$2005,12,FALSE)</f>
        <v>202.58</v>
      </c>
      <c r="BK88" s="107">
        <f t="shared" si="5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6"/>
        <v/>
      </c>
      <c r="BA89" s="107"/>
      <c r="BB89" s="107" t="str">
        <f t="shared" si="4"/>
        <v/>
      </c>
      <c r="BD89" s="441">
        <f>OBJ!B342</f>
        <v>9256913</v>
      </c>
      <c r="BE89" s="23" t="str">
        <f>VLOOKUP(BD89,CENY!$B$11:$G$1034,2,FALSE)</f>
        <v>QUADRO YOU PLNOVÝSUV 450 MM EB21 PUSH TO OPEN LEVÝ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7"/>
        <v>0</v>
      </c>
      <c r="BJ89" s="107">
        <f>VLOOKUP(BD89,CENY!$B$11:$M$2005,12,FALSE)</f>
        <v>206.32</v>
      </c>
      <c r="BK89" s="107">
        <f t="shared" si="5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6"/>
        <v/>
      </c>
      <c r="BA90" s="107"/>
      <c r="BB90" s="107" t="str">
        <f t="shared" si="4"/>
        <v/>
      </c>
      <c r="BD90" s="441">
        <f>OBJ!B343</f>
        <v>9256914</v>
      </c>
      <c r="BE90" s="23" t="str">
        <f>VLOOKUP(BD90,CENY!$B$11:$G$1034,2,FALSE)</f>
        <v>QUADRO YOU PLNOVÝSUV 450 MM EB21 PUSH TO OPEN PRAVÝ</v>
      </c>
      <c r="BF90" s="24">
        <f>VLOOKUP(BD90,CENY!$B$11:$G$1034,3,FALSE)</f>
        <v>20</v>
      </c>
      <c r="BG90" s="24"/>
      <c r="BH90" s="25">
        <f>AY57</f>
        <v>0</v>
      </c>
      <c r="BI90" s="451">
        <f t="shared" si="7"/>
        <v>0</v>
      </c>
      <c r="BJ90" s="107">
        <f>VLOOKUP(BD90,CENY!$B$11:$M$2005,12,FALSE)</f>
        <v>206.32</v>
      </c>
      <c r="BK90" s="107">
        <f t="shared" si="5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6"/>
        <v/>
      </c>
      <c r="BA91" s="107"/>
      <c r="BB91" s="107" t="str">
        <f t="shared" si="4"/>
        <v/>
      </c>
      <c r="BD91" s="441">
        <f>OBJ!B344</f>
        <v>9256917</v>
      </c>
      <c r="BE91" s="23" t="str">
        <f>VLOOKUP(BD91,CENY!$B$11:$G$1034,2,FALSE)</f>
        <v>QUADRO YOU PLNOVÝSUV 500 MM EB21 PUSH TO OPEN LEVÝ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7"/>
        <v>0</v>
      </c>
      <c r="BJ91" s="107">
        <f>VLOOKUP(BD91,CENY!$B$11:$M$2005,12,FALSE)</f>
        <v>210.06</v>
      </c>
      <c r="BK91" s="107">
        <f t="shared" si="5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6"/>
        <v/>
      </c>
      <c r="BA92" s="107"/>
      <c r="BB92" s="107" t="str">
        <f t="shared" si="4"/>
        <v/>
      </c>
      <c r="BD92" s="441">
        <f>OBJ!B345</f>
        <v>9256918</v>
      </c>
      <c r="BE92" s="23" t="str">
        <f>VLOOKUP(BD92,CENY!$B$11:$G$1034,2,FALSE)</f>
        <v>QUADRO YOU PLNOVÝSUV 500 MM EB21 PUSH TO OPEN PRAVÝ</v>
      </c>
      <c r="BF92" s="24">
        <f>VLOOKUP(BD92,CENY!$B$11:$G$1034,3,FALSE)</f>
        <v>20</v>
      </c>
      <c r="BG92" s="24"/>
      <c r="BH92" s="25">
        <f>AY58</f>
        <v>0</v>
      </c>
      <c r="BI92" s="451">
        <f t="shared" si="7"/>
        <v>0</v>
      </c>
      <c r="BJ92" s="107">
        <f>VLOOKUP(BD92,CENY!$B$11:$M$2005,12,FALSE)</f>
        <v>210.06</v>
      </c>
      <c r="BK92" s="107">
        <f t="shared" si="5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6"/>
        <v/>
      </c>
      <c r="BA93" s="107"/>
      <c r="BB93" s="107" t="str">
        <f t="shared" si="4"/>
        <v/>
      </c>
      <c r="BD93" s="441">
        <f>OBJ!B346</f>
        <v>9256921</v>
      </c>
      <c r="BE93" s="23" t="str">
        <f>VLOOKUP(BD93,CENY!$B$11:$G$1034,2,FALSE)</f>
        <v>QUADRO YOU PLNOVÝSUV 550 MM EB21 PUSH TO OPEN LEVÝ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7"/>
        <v>0</v>
      </c>
      <c r="BJ93" s="107">
        <f>VLOOKUP(BD93,CENY!$B$11:$M$2005,12,FALSE)</f>
        <v>216.78</v>
      </c>
      <c r="BK93" s="107">
        <f t="shared" si="5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6"/>
        <v/>
      </c>
      <c r="BA94" s="107"/>
      <c r="BB94" s="107" t="str">
        <f t="shared" si="4"/>
        <v/>
      </c>
      <c r="BD94" s="441">
        <f>OBJ!B347</f>
        <v>9256922</v>
      </c>
      <c r="BE94" s="23" t="str">
        <f>VLOOKUP(BD94,CENY!$B$11:$G$1034,2,FALSE)</f>
        <v>QUADRO YOU PLNOVÝSUV 550 MM EB21 PUSH TO OPEN PRAVÝ</v>
      </c>
      <c r="BF94" s="24">
        <f>VLOOKUP(BD94,CENY!$B$11:$G$1034,3,FALSE)</f>
        <v>20</v>
      </c>
      <c r="BG94" s="24"/>
      <c r="BH94" s="25">
        <f>AY59</f>
        <v>0</v>
      </c>
      <c r="BI94" s="451">
        <f t="shared" si="7"/>
        <v>0</v>
      </c>
      <c r="BJ94" s="107">
        <f>VLOOKUP(BD94,CENY!$B$11:$M$2005,12,FALSE)</f>
        <v>216.78</v>
      </c>
      <c r="BK94" s="107">
        <f t="shared" si="5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6"/>
        <v/>
      </c>
      <c r="BA95" s="107"/>
      <c r="BB95" s="107" t="str">
        <f t="shared" si="4"/>
        <v/>
      </c>
      <c r="BD95" s="441">
        <f>OBJ!B348</f>
        <v>9256925</v>
      </c>
      <c r="BE95" s="23" t="str">
        <f>VLOOKUP(BD95,CENY!$B$11:$G$1034,2,FALSE)</f>
        <v>QUADRO YOU PLNOVÝSUV 600 MM EB21 PUSH TO OPEN LEVÝ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7"/>
        <v>0</v>
      </c>
      <c r="BJ95" s="107">
        <f>VLOOKUP(BD95,CENY!$B$11:$M$2005,12,FALSE)</f>
        <v>223.51</v>
      </c>
      <c r="BK95" s="107">
        <f t="shared" si="5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6"/>
        <v/>
      </c>
      <c r="BA96" s="107"/>
      <c r="BB96" s="107" t="str">
        <f t="shared" si="4"/>
        <v/>
      </c>
      <c r="BD96" s="441">
        <f>OBJ!B349</f>
        <v>9256926</v>
      </c>
      <c r="BE96" s="23" t="str">
        <f>VLOOKUP(BD96,CENY!$B$11:$G$1034,2,FALSE)</f>
        <v>QUADRO YOU PLNOVÝSUV 600 MM EB21 PUSH TO OPEN PRAVÝ</v>
      </c>
      <c r="BF96" s="24">
        <f>VLOOKUP(BD96,CENY!$B$11:$G$1034,3,FALSE)</f>
        <v>20</v>
      </c>
      <c r="BG96" s="24"/>
      <c r="BH96" s="25">
        <f>AY60</f>
        <v>0</v>
      </c>
      <c r="BI96" s="451">
        <f t="shared" si="7"/>
        <v>0</v>
      </c>
      <c r="BJ96" s="107">
        <f>VLOOKUP(BD96,CENY!$B$11:$M$2005,12,FALSE)</f>
        <v>223.51</v>
      </c>
      <c r="BK96" s="107">
        <f t="shared" si="5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6"/>
        <v/>
      </c>
      <c r="BA97" s="107"/>
      <c r="BB97" s="107" t="str">
        <f t="shared" si="4"/>
        <v/>
      </c>
      <c r="BD97" s="441"/>
      <c r="BE97" s="23"/>
      <c r="BF97" s="24"/>
      <c r="BG97" s="24"/>
      <c r="BH97" s="25"/>
      <c r="BI97" s="451" t="str">
        <f t="shared" si="7"/>
        <v/>
      </c>
      <c r="BJ97" s="107"/>
      <c r="BK97" s="107" t="str">
        <f t="shared" si="5"/>
        <v/>
      </c>
    </row>
    <row r="98" spans="47:63" ht="14.4" customHeight="1">
      <c r="AU98" s="22"/>
      <c r="AV98" s="23"/>
      <c r="AW98" s="24"/>
      <c r="AX98" s="24"/>
      <c r="AY98" s="25"/>
      <c r="AZ98" s="451" t="str">
        <f t="shared" si="6"/>
        <v/>
      </c>
      <c r="BA98" s="107"/>
      <c r="BB98" s="107" t="str">
        <f t="shared" si="4"/>
        <v/>
      </c>
      <c r="BD98" s="441">
        <f>OBJ!B351</f>
        <v>9219966</v>
      </c>
      <c r="BE98" s="23" t="str">
        <f>VLOOKUP(BD98,CENY!$B$11:$G$1034,2,FALSE)</f>
        <v>PUSH TO OPEN SYNCHRO ADAPTÉR TYP A</v>
      </c>
      <c r="BF98" s="24">
        <f>VLOOKUP(BD98,CENY!$B$11:$G$1034,3,FALSE)</f>
        <v>200</v>
      </c>
      <c r="BG98" s="24"/>
      <c r="BH98" s="25">
        <f>AY62</f>
        <v>0</v>
      </c>
      <c r="BI98" s="451">
        <f t="shared" si="7"/>
        <v>0</v>
      </c>
      <c r="BJ98" s="107">
        <f>VLOOKUP(BD98,CENY!$B$11:$M$2005,12,FALSE)</f>
        <v>13.07</v>
      </c>
      <c r="BK98" s="107">
        <f t="shared" si="5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6"/>
        <v/>
      </c>
      <c r="BA99" s="107"/>
      <c r="BB99" s="107" t="str">
        <f t="shared" si="4"/>
        <v/>
      </c>
      <c r="BD99" s="441"/>
      <c r="BE99" s="23"/>
      <c r="BF99" s="24"/>
      <c r="BG99" s="24"/>
      <c r="BH99" s="25"/>
      <c r="BI99" s="451" t="str">
        <f t="shared" si="7"/>
        <v/>
      </c>
      <c r="BJ99" s="107"/>
      <c r="BK99" s="107" t="str">
        <f t="shared" si="5"/>
        <v/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6"/>
        <v/>
      </c>
      <c r="BA100" s="107"/>
      <c r="BB100" s="107" t="str">
        <f t="shared" si="4"/>
        <v/>
      </c>
      <c r="BD100" s="441">
        <f>OBJ!B207</f>
        <v>0</v>
      </c>
      <c r="BE100" s="23" t="e">
        <f>VLOOKUP(BD100,CENY!$B$11:$G$1034,2,FALSE)</f>
        <v>#N/A</v>
      </c>
      <c r="BF100" s="24" t="e">
        <f>VLOOKUP(BD100,CENY!$B$11:$G$1034,3,FALSE)</f>
        <v>#N/A</v>
      </c>
      <c r="BG100" s="24"/>
      <c r="BH100" s="25">
        <f>AY67</f>
        <v>0</v>
      </c>
      <c r="BI100" s="451">
        <f t="shared" si="7"/>
        <v>0</v>
      </c>
      <c r="BJ100" s="449" t="str">
        <f>IF(BD100=0,"",VLOOKUP(BD100,CENY!$B$11:$M$2005,12,FALSE))</f>
        <v/>
      </c>
      <c r="BK100" s="107" t="str">
        <f t="shared" si="5"/>
        <v/>
      </c>
    </row>
    <row r="101" spans="47:63">
      <c r="AU101" s="22"/>
      <c r="AV101" s="23"/>
      <c r="AW101" s="24"/>
      <c r="AX101" s="24"/>
      <c r="AY101" s="25"/>
      <c r="AZ101" s="451" t="str">
        <f t="shared" si="6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7"/>
        <v/>
      </c>
      <c r="BJ101" s="107"/>
      <c r="BK101" s="107" t="str">
        <f t="shared" si="5"/>
        <v/>
      </c>
    </row>
    <row r="102" spans="47:63">
      <c r="AU102" s="441">
        <f>OBJ!B354</f>
        <v>45167</v>
      </c>
      <c r="AV102" s="23" t="str">
        <f>VLOOKUP(AU102,CENY!$B$11:$G$1034,2,FALSE)</f>
        <v>VRUT PANHEAD 35X12</v>
      </c>
      <c r="AW102" s="24">
        <f>VLOOKUP(AU102,CENY!$B$11:$G$1034,3,FALSE)</f>
        <v>200</v>
      </c>
      <c r="AX102" s="24"/>
      <c r="AY102" s="25">
        <f>SUMPRODUCT(AX5:AX11,AY5:AY11)</f>
        <v>0</v>
      </c>
      <c r="AZ102" s="451">
        <f t="shared" si="6"/>
        <v>0</v>
      </c>
      <c r="BA102" s="107">
        <f>VLOOKUP(AU102,CENY!$B$11:$M$2005,12,FALSE)</f>
        <v>0.54</v>
      </c>
      <c r="BB102" s="107">
        <f t="shared" si="4"/>
        <v>0</v>
      </c>
      <c r="BC102" s="97" t="s">
        <v>506</v>
      </c>
      <c r="BD102" s="441">
        <f>OBJ!B354</f>
        <v>45167</v>
      </c>
      <c r="BE102" s="23" t="str">
        <f>VLOOKUP(BD102,CENY!$B$11:$G$1034,2,FALSE)</f>
        <v>VRUT PANHEAD 35X12</v>
      </c>
      <c r="BF102" s="24">
        <f>VLOOKUP(BD102,CENY!$B$11:$G$1034,3,FALSE)</f>
        <v>200</v>
      </c>
      <c r="BG102" s="24"/>
      <c r="BH102" s="25">
        <f>AY102+BH22*2</f>
        <v>0</v>
      </c>
      <c r="BI102" s="451">
        <f>IF(BH102="","",IF($AW$4=0,BH102,0))</f>
        <v>0</v>
      </c>
      <c r="BJ102" s="107">
        <f>VLOOKUP(BD102,CENY!$B$11:$M$2005,12,FALSE)</f>
        <v>0.54</v>
      </c>
      <c r="BK102" s="107">
        <f t="shared" ref="BK102:BK107" si="8">IF(BJ102="","",BJ102*BH102)</f>
        <v>0</v>
      </c>
    </row>
    <row r="103" spans="47:63">
      <c r="AU103" s="441">
        <f>OBJ!B355</f>
        <v>45168</v>
      </c>
      <c r="AV103" s="23" t="str">
        <f>VLOOKUP(AU103,CENY!$B$11:$G$1034,2,FALSE)</f>
        <v>VRUT PANHEAD 35X20</v>
      </c>
      <c r="AW103" s="24">
        <f>VLOOKUP(AU103,CENY!$B$11:$G$1034,3,FALSE)</f>
        <v>200</v>
      </c>
      <c r="AX103" s="24"/>
      <c r="AY103" s="497">
        <v>0</v>
      </c>
      <c r="AZ103" s="451">
        <f t="shared" si="6"/>
        <v>0</v>
      </c>
      <c r="BA103" s="107">
        <f>VLOOKUP(AU103,CENY!$B$11:$M$2005,12,FALSE)</f>
        <v>0.78</v>
      </c>
      <c r="BB103" s="107">
        <f>IF(BA103="","",BA103*AY103)</f>
        <v>0</v>
      </c>
      <c r="BC103" s="97" t="s">
        <v>507</v>
      </c>
      <c r="BD103" s="441">
        <f>OBJ!B355</f>
        <v>45168</v>
      </c>
      <c r="BE103" s="23" t="str">
        <f>VLOOKUP(BD103,CENY!$B$11:$G$1034,2,FALSE)</f>
        <v>VRUT PANHEAD 35X20</v>
      </c>
      <c r="BF103" s="24">
        <f>VLOOKUP(BD103,CENY!$B$11:$G$1034,3,FALSE)</f>
        <v>200</v>
      </c>
      <c r="BG103" s="24"/>
      <c r="BH103" s="497">
        <f>IF(FORM!$AM$8=FORM!$AU$10,(BH20*4+BH21*2),0)</f>
        <v>0</v>
      </c>
      <c r="BI103" s="451">
        <f>IF(BH103="","",IF($AW$4=0,BH103,0))</f>
        <v>0</v>
      </c>
      <c r="BJ103" s="107">
        <f>VLOOKUP(BD103,CENY!$B$11:$M$2005,12,FALSE)</f>
        <v>0.78</v>
      </c>
      <c r="BK103" s="107">
        <f t="shared" si="8"/>
        <v>0</v>
      </c>
    </row>
    <row r="104" spans="47:63">
      <c r="AU104" s="441">
        <f>OBJ!B356</f>
        <v>9278224</v>
      </c>
      <c r="AV104" s="23" t="str">
        <f>VLOOKUP(AU104,CENY!$B$11:$G$1034,2,FALSE)</f>
        <v>AVANTECH YOU VRUT 3,5X30 PANHEAD POZINK.</v>
      </c>
      <c r="AW104" s="24">
        <f>VLOOKUP(AU104,CENY!$B$11:$G$1034,3,FALSE)</f>
        <v>200</v>
      </c>
      <c r="AX104" s="24"/>
      <c r="AY104" s="497">
        <v>0</v>
      </c>
      <c r="AZ104" s="451">
        <f t="shared" si="6"/>
        <v>0</v>
      </c>
      <c r="BA104" s="107">
        <f>VLOOKUP(AU104,CENY!$B$11:$M$2005,12,FALSE)</f>
        <v>0.73</v>
      </c>
      <c r="BB104" s="107">
        <f>IF(BA104="","",BA104*AY104)</f>
        <v>0</v>
      </c>
      <c r="BC104" s="97" t="s">
        <v>508</v>
      </c>
      <c r="BD104" s="441">
        <f>OBJ!B356</f>
        <v>9278224</v>
      </c>
      <c r="BE104" s="23" t="str">
        <f>VLOOKUP(BD104,CENY!$B$11:$G$1034,2,FALSE)</f>
        <v>AVANTECH YOU VRUT 3,5X30 PANHEAD POZINK.</v>
      </c>
      <c r="BF104" s="24">
        <f>VLOOKUP(BD104,CENY!$B$11:$G$1034,3,FALSE)</f>
        <v>200</v>
      </c>
      <c r="BG104" s="24"/>
      <c r="BH104" s="497">
        <f>3*SUM(BH5:BH18)</f>
        <v>0</v>
      </c>
      <c r="BI104" s="451">
        <f>IF(BH104="","",IF($AW$4=0,BH104,0))</f>
        <v>0</v>
      </c>
      <c r="BJ104" s="107">
        <f>VLOOKUP(BD104,CENY!$B$11:$M$2005,12,FALSE)</f>
        <v>0.73</v>
      </c>
      <c r="BK104" s="107">
        <f t="shared" si="8"/>
        <v>0</v>
      </c>
    </row>
    <row r="105" spans="47:63">
      <c r="AU105" s="441">
        <f>OBJ!B357</f>
        <v>9279197</v>
      </c>
      <c r="AV105" s="23" t="str">
        <f>VLOOKUP(AU105,CENY!$B$11:$G$1034,2,FALSE)</f>
        <v>SAMOŘEZNÝ ŠROUB 3,5X12 PANHEAD POZINK.</v>
      </c>
      <c r="AW105" s="24">
        <f>VLOOKUP(AU105,CENY!$B$11:$G$1034,3,FALSE)</f>
        <v>1000</v>
      </c>
      <c r="AX105" s="24"/>
      <c r="AY105" s="77">
        <v>0</v>
      </c>
      <c r="AZ105" s="451">
        <f t="shared" si="6"/>
        <v>0</v>
      </c>
      <c r="BA105" s="107">
        <f>VLOOKUP(AU105,CENY!$B$11:$M$2005,12,FALSE)</f>
        <v>1.51</v>
      </c>
      <c r="BB105" s="107">
        <f>IF(BA105="","",BA105*AY105)</f>
        <v>0</v>
      </c>
      <c r="BC105" s="97" t="s">
        <v>509</v>
      </c>
      <c r="BD105" s="441">
        <f>OBJ!B357</f>
        <v>9279197</v>
      </c>
      <c r="BE105" s="23" t="str">
        <f>VLOOKUP(BD105,CENY!$B$11:$G$1034,2,FALSE)</f>
        <v>SAMOŘEZNÝ ŠROUB 3,5X12 PANHEAD POZINK.</v>
      </c>
      <c r="BF105" s="24">
        <f>VLOOKUP(BD105,CENY!$B$11:$G$1034,3,FALSE)</f>
        <v>1000</v>
      </c>
      <c r="BG105" s="24"/>
      <c r="BH105" s="77">
        <f>AY105</f>
        <v>0</v>
      </c>
      <c r="BI105" s="451">
        <f>IF(BH105="","",IF($AW$4=0,BH105,0))</f>
        <v>0</v>
      </c>
      <c r="BJ105" s="107">
        <f>VLOOKUP(BD105,CENY!$B$11:$M$2005,12,FALSE)</f>
        <v>1.51</v>
      </c>
      <c r="BK105" s="107">
        <f t="shared" si="8"/>
        <v>0</v>
      </c>
    </row>
    <row r="106" spans="47:63">
      <c r="AU106" s="441">
        <f>OBJ!B358</f>
        <v>9137114</v>
      </c>
      <c r="AV106" s="23" t="str">
        <f>VLOOKUP(AU106,CENY!$B$11:$G$1034,2,FALSE)</f>
        <v>EUROŠROUB DBS 60 X 14</v>
      </c>
      <c r="AW106" s="24">
        <f>VLOOKUP(AU106,CENY!$B$11:$G$1034,3,FALSE)</f>
        <v>200</v>
      </c>
      <c r="AX106" s="24"/>
      <c r="AY106" s="25">
        <f>SUMPRODUCT(AX21:AX60,AY21:AY60)</f>
        <v>0</v>
      </c>
      <c r="AZ106" s="451">
        <f t="shared" si="6"/>
        <v>0</v>
      </c>
      <c r="BA106" s="107">
        <f>VLOOKUP(AU106,CENY!$B$11:$M$2005,12,FALSE)</f>
        <v>1.2</v>
      </c>
      <c r="BB106" s="107">
        <f>IF(BA106="","",BA106*AY106)</f>
        <v>0</v>
      </c>
      <c r="BC106" s="97" t="s">
        <v>510</v>
      </c>
      <c r="BD106" s="441">
        <f>OBJ!B358</f>
        <v>9137114</v>
      </c>
      <c r="BE106" s="23" t="str">
        <f>VLOOKUP(BD106,CENY!$B$11:$G$1034,2,FALSE)</f>
        <v>EUROŠROUB DBS 60 X 14</v>
      </c>
      <c r="BF106" s="24">
        <f>VLOOKUP(BD106,CENY!$B$11:$G$1034,3,FALSE)</f>
        <v>200</v>
      </c>
      <c r="BG106" s="24"/>
      <c r="BH106" s="25">
        <f>AY106</f>
        <v>0</v>
      </c>
      <c r="BI106" s="451">
        <f>IF(BH106="","",IF($AW$4=0,BH106,0))</f>
        <v>0</v>
      </c>
      <c r="BJ106" s="107">
        <f>VLOOKUP(BD106,CENY!$B$11:$M$2005,12,FALSE)</f>
        <v>1.2</v>
      </c>
      <c r="BK106" s="107">
        <f t="shared" si="8"/>
        <v>0</v>
      </c>
    </row>
    <row r="107" spans="47:63">
      <c r="AU107" s="22"/>
      <c r="AV107" s="23"/>
      <c r="AW107" s="24"/>
      <c r="AX107" s="24"/>
      <c r="AY107" s="25"/>
      <c r="AZ107" s="451" t="str">
        <f>IF(AY107="","",IF($AW$4=1,AY107,0))</f>
        <v/>
      </c>
      <c r="BA107" s="107"/>
      <c r="BB107" s="107" t="str">
        <f>IF(BA107="","",BA107*AY107)</f>
        <v/>
      </c>
      <c r="BD107" s="441"/>
      <c r="BE107" s="23"/>
      <c r="BF107" s="24"/>
      <c r="BG107" s="24"/>
      <c r="BH107" s="25"/>
      <c r="BI107" s="451" t="str">
        <f t="shared" si="7"/>
        <v/>
      </c>
      <c r="BJ107" s="107"/>
      <c r="BK107" s="107" t="str">
        <f t="shared" si="8"/>
        <v/>
      </c>
    </row>
  </sheetData>
  <sheetProtection password="DD97" sheet="1"/>
  <mergeCells count="10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M19:N19"/>
    <mergeCell ref="Q19:R19"/>
    <mergeCell ref="S19:T19"/>
    <mergeCell ref="AN19:AO19"/>
    <mergeCell ref="B20:G20"/>
    <mergeCell ref="H20:L20"/>
    <mergeCell ref="M20:N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AN27:AO27"/>
    <mergeCell ref="AN28:AO28"/>
    <mergeCell ref="AN29:AO29"/>
    <mergeCell ref="B28:G28"/>
    <mergeCell ref="H28:L28"/>
    <mergeCell ref="M28:N28"/>
    <mergeCell ref="Q28:R28"/>
    <mergeCell ref="S28:T28"/>
    <mergeCell ref="U28:V28"/>
    <mergeCell ref="AC30:AD30"/>
    <mergeCell ref="O20:P20"/>
    <mergeCell ref="O19:P19"/>
    <mergeCell ref="O27:P27"/>
    <mergeCell ref="O28:P28"/>
    <mergeCell ref="Y28:Z28"/>
    <mergeCell ref="AA28:AB28"/>
    <mergeCell ref="AC28:AD28"/>
    <mergeCell ref="B30:G30"/>
    <mergeCell ref="H30:L30"/>
    <mergeCell ref="M30:N30"/>
    <mergeCell ref="S30:T30"/>
    <mergeCell ref="U30:V30"/>
    <mergeCell ref="W28:X28"/>
    <mergeCell ref="W30:X30"/>
    <mergeCell ref="Y30:Z30"/>
    <mergeCell ref="AA30:AB30"/>
    <mergeCell ref="B27:G27"/>
    <mergeCell ref="H27:L27"/>
    <mergeCell ref="M27:N27"/>
    <mergeCell ref="Q27:R27"/>
    <mergeCell ref="S27:T27"/>
    <mergeCell ref="B19:G19"/>
    <mergeCell ref="H19:L19"/>
  </mergeCells>
  <conditionalFormatting sqref="AY24:AY29 AY37:AY40 BH36:BH41 BH43:BH48 BH73:BH78 BH22:BH23 AY31:AY35 BH50:BH58 AY15:AY22 AY54:AY57 BH31:BH34 BH64:BH71 BH80:BH93 BH5:BH20 AY5:AY13 AZ6:AZ101">
    <cfRule type="cellIs" dxfId="568" priority="67" stopIfTrue="1" operator="equal">
      <formula>0</formula>
    </cfRule>
  </conditionalFormatting>
  <conditionalFormatting sqref="AY50:AY53 AY63 AY42:AY43 AY47 AY66 AY45">
    <cfRule type="cellIs" dxfId="567" priority="65" stopIfTrue="1" operator="equal">
      <formula>0</formula>
    </cfRule>
  </conditionalFormatting>
  <conditionalFormatting sqref="O17:AF17 S19:T19 S20:AD20 W22:AD22 S27:T27 S28:AD28 S30:AD30">
    <cfRule type="expression" dxfId="566" priority="66" stopIfTrue="1">
      <formula>$AW$4=0</formula>
    </cfRule>
  </conditionalFormatting>
  <conditionalFormatting sqref="AY73 AY79:AY80">
    <cfRule type="cellIs" dxfId="565" priority="64" stopIfTrue="1" operator="equal">
      <formula>0</formula>
    </cfRule>
  </conditionalFormatting>
  <conditionalFormatting sqref="AY81">
    <cfRule type="cellIs" dxfId="564" priority="63" stopIfTrue="1" operator="equal">
      <formula>0</formula>
    </cfRule>
  </conditionalFormatting>
  <conditionalFormatting sqref="AY85:AY94">
    <cfRule type="cellIs" dxfId="563" priority="62" stopIfTrue="1" operator="equal">
      <formula>0</formula>
    </cfRule>
  </conditionalFormatting>
  <conditionalFormatting sqref="AY48:AY49">
    <cfRule type="cellIs" dxfId="562" priority="61" stopIfTrue="1" operator="equal">
      <formula>0</formula>
    </cfRule>
  </conditionalFormatting>
  <conditionalFormatting sqref="AY59">
    <cfRule type="cellIs" dxfId="561" priority="60" stopIfTrue="1" operator="equal">
      <formula>0</formula>
    </cfRule>
  </conditionalFormatting>
  <conditionalFormatting sqref="AY68:AY70">
    <cfRule type="cellIs" dxfId="560" priority="59" stopIfTrue="1" operator="equal">
      <formula>0</formula>
    </cfRule>
  </conditionalFormatting>
  <conditionalFormatting sqref="AY71">
    <cfRule type="cellIs" dxfId="559" priority="58" stopIfTrue="1" operator="equal">
      <formula>0</formula>
    </cfRule>
  </conditionalFormatting>
  <conditionalFormatting sqref="AY72">
    <cfRule type="cellIs" dxfId="558" priority="57" stopIfTrue="1" operator="equal">
      <formula>0</formula>
    </cfRule>
  </conditionalFormatting>
  <conditionalFormatting sqref="AY82:AY84">
    <cfRule type="cellIs" dxfId="557" priority="56" stopIfTrue="1" operator="equal">
      <formula>0</formula>
    </cfRule>
  </conditionalFormatting>
  <conditionalFormatting sqref="BH95:BH97 BH99">
    <cfRule type="cellIs" dxfId="556" priority="55" stopIfTrue="1" operator="equal">
      <formula>0</formula>
    </cfRule>
  </conditionalFormatting>
  <conditionalFormatting sqref="AY95:AY101">
    <cfRule type="cellIs" dxfId="555" priority="53" stopIfTrue="1" operator="equal">
      <formula>0</formula>
    </cfRule>
  </conditionalFormatting>
  <conditionalFormatting sqref="AY60:AY61">
    <cfRule type="cellIs" dxfId="554" priority="52" stopIfTrue="1" operator="equal">
      <formula>0</formula>
    </cfRule>
  </conditionalFormatting>
  <conditionalFormatting sqref="BH100:BH101">
    <cfRule type="cellIs" dxfId="553" priority="50" stopIfTrue="1" operator="equal">
      <formula>0</formula>
    </cfRule>
  </conditionalFormatting>
  <conditionalFormatting sqref="AY14">
    <cfRule type="cellIs" dxfId="552" priority="48" stopIfTrue="1" operator="equal">
      <formula>0</formula>
    </cfRule>
  </conditionalFormatting>
  <conditionalFormatting sqref="AY23">
    <cfRule type="cellIs" dxfId="551" priority="46" stopIfTrue="1" operator="equal">
      <formula>0</formula>
    </cfRule>
  </conditionalFormatting>
  <conditionalFormatting sqref="AY36">
    <cfRule type="cellIs" dxfId="550" priority="45" stopIfTrue="1" operator="equal">
      <formula>0</formula>
    </cfRule>
  </conditionalFormatting>
  <conditionalFormatting sqref="AY41">
    <cfRule type="cellIs" dxfId="549" priority="44" stopIfTrue="1" operator="equal">
      <formula>0</formula>
    </cfRule>
  </conditionalFormatting>
  <conditionalFormatting sqref="AY46">
    <cfRule type="cellIs" dxfId="548" priority="43" stopIfTrue="1" operator="equal">
      <formula>0</formula>
    </cfRule>
  </conditionalFormatting>
  <conditionalFormatting sqref="AY58">
    <cfRule type="cellIs" dxfId="547" priority="42" stopIfTrue="1" operator="equal">
      <formula>0</formula>
    </cfRule>
  </conditionalFormatting>
  <conditionalFormatting sqref="AY62">
    <cfRule type="cellIs" dxfId="546" priority="41" stopIfTrue="1" operator="equal">
      <formula>0</formula>
    </cfRule>
  </conditionalFormatting>
  <conditionalFormatting sqref="AY64">
    <cfRule type="cellIs" dxfId="545" priority="40" stopIfTrue="1" operator="equal">
      <formula>0</formula>
    </cfRule>
  </conditionalFormatting>
  <conditionalFormatting sqref="AY67">
    <cfRule type="cellIs" dxfId="544" priority="39" stopIfTrue="1" operator="equal">
      <formula>0</formula>
    </cfRule>
  </conditionalFormatting>
  <conditionalFormatting sqref="AY74:AY78">
    <cfRule type="cellIs" dxfId="543" priority="38" stopIfTrue="1" operator="equal">
      <formula>0</formula>
    </cfRule>
  </conditionalFormatting>
  <conditionalFormatting sqref="F13:K13">
    <cfRule type="expression" dxfId="542" priority="37" stopIfTrue="1">
      <formula>$AW$4=1</formula>
    </cfRule>
  </conditionalFormatting>
  <conditionalFormatting sqref="BH24:BH27">
    <cfRule type="cellIs" dxfId="541" priority="36" stopIfTrue="1" operator="equal">
      <formula>0</formula>
    </cfRule>
  </conditionalFormatting>
  <conditionalFormatting sqref="BH28">
    <cfRule type="cellIs" dxfId="540" priority="35" stopIfTrue="1" operator="equal">
      <formula>0</formula>
    </cfRule>
  </conditionalFormatting>
  <conditionalFormatting sqref="BH29">
    <cfRule type="cellIs" dxfId="539" priority="34" stopIfTrue="1" operator="equal">
      <formula>0</formula>
    </cfRule>
  </conditionalFormatting>
  <conditionalFormatting sqref="BH30">
    <cfRule type="cellIs" dxfId="538" priority="33" stopIfTrue="1" operator="equal">
      <formula>0</formula>
    </cfRule>
  </conditionalFormatting>
  <conditionalFormatting sqref="BH35">
    <cfRule type="cellIs" dxfId="537" priority="31" stopIfTrue="1" operator="equal">
      <formula>0</formula>
    </cfRule>
  </conditionalFormatting>
  <conditionalFormatting sqref="BH42">
    <cfRule type="cellIs" dxfId="536" priority="30" stopIfTrue="1" operator="equal">
      <formula>0</formula>
    </cfRule>
  </conditionalFormatting>
  <conditionalFormatting sqref="BH59">
    <cfRule type="cellIs" dxfId="535" priority="29" stopIfTrue="1" operator="equal">
      <formula>0</formula>
    </cfRule>
  </conditionalFormatting>
  <conditionalFormatting sqref="BH60:BH63">
    <cfRule type="cellIs" dxfId="534" priority="28" stopIfTrue="1" operator="equal">
      <formula>0</formula>
    </cfRule>
  </conditionalFormatting>
  <conditionalFormatting sqref="BH72">
    <cfRule type="cellIs" dxfId="533" priority="26" stopIfTrue="1" operator="equal">
      <formula>0</formula>
    </cfRule>
  </conditionalFormatting>
  <conditionalFormatting sqref="BH79">
    <cfRule type="cellIs" dxfId="532" priority="25" stopIfTrue="1" operator="equal">
      <formula>0</formula>
    </cfRule>
  </conditionalFormatting>
  <conditionalFormatting sqref="BH94">
    <cfRule type="cellIs" dxfId="531" priority="24" stopIfTrue="1" operator="equal">
      <formula>0</formula>
    </cfRule>
  </conditionalFormatting>
  <conditionalFormatting sqref="BH98">
    <cfRule type="cellIs" dxfId="530" priority="23" stopIfTrue="1" operator="equal">
      <formula>0</formula>
    </cfRule>
  </conditionalFormatting>
  <conditionalFormatting sqref="AE22:AF22">
    <cfRule type="expression" dxfId="529" priority="21" stopIfTrue="1">
      <formula>$AW$4=0</formula>
    </cfRule>
  </conditionalFormatting>
  <conditionalFormatting sqref="BH21">
    <cfRule type="cellIs" dxfId="528" priority="20" stopIfTrue="1" operator="equal">
      <formula>0</formula>
    </cfRule>
  </conditionalFormatting>
  <conditionalFormatting sqref="AY65">
    <cfRule type="cellIs" dxfId="527" priority="19" stopIfTrue="1" operator="equal">
      <formula>0</formula>
    </cfRule>
  </conditionalFormatting>
  <conditionalFormatting sqref="AY44">
    <cfRule type="cellIs" dxfId="526" priority="16" stopIfTrue="1" operator="equal">
      <formula>0</formula>
    </cfRule>
  </conditionalFormatting>
  <conditionalFormatting sqref="AY30">
    <cfRule type="cellIs" dxfId="525" priority="18" stopIfTrue="1" operator="equal">
      <formula>0</formula>
    </cfRule>
  </conditionalFormatting>
  <conditionalFormatting sqref="BH49">
    <cfRule type="cellIs" dxfId="524" priority="17" stopIfTrue="1" operator="equal">
      <formula>0</formula>
    </cfRule>
  </conditionalFormatting>
  <conditionalFormatting sqref="AZ5">
    <cfRule type="cellIs" dxfId="523" priority="15" stopIfTrue="1" operator="equal">
      <formula>0</formula>
    </cfRule>
  </conditionalFormatting>
  <conditionalFormatting sqref="BI5">
    <cfRule type="cellIs" dxfId="522" priority="14" stopIfTrue="1" operator="equal">
      <formula>0</formula>
    </cfRule>
  </conditionalFormatting>
  <conditionalFormatting sqref="BI6:BI101">
    <cfRule type="cellIs" dxfId="521" priority="12" stopIfTrue="1" operator="equal">
      <formula>0</formula>
    </cfRule>
  </conditionalFormatting>
  <conditionalFormatting sqref="BH107">
    <cfRule type="cellIs" dxfId="520" priority="11" stopIfTrue="1" operator="equal">
      <formula>0</formula>
    </cfRule>
  </conditionalFormatting>
  <conditionalFormatting sqref="BI107">
    <cfRule type="cellIs" dxfId="519" priority="10" stopIfTrue="1" operator="equal">
      <formula>0</formula>
    </cfRule>
  </conditionalFormatting>
  <conditionalFormatting sqref="AZ102:AZ106">
    <cfRule type="cellIs" dxfId="518" priority="9" stopIfTrue="1" operator="equal">
      <formula>0</formula>
    </cfRule>
  </conditionalFormatting>
  <conditionalFormatting sqref="AY102:AY106">
    <cfRule type="cellIs" dxfId="517" priority="8" stopIfTrue="1" operator="equal">
      <formula>0</formula>
    </cfRule>
  </conditionalFormatting>
  <conditionalFormatting sqref="BH102 BH105:BH106">
    <cfRule type="cellIs" dxfId="516" priority="7" stopIfTrue="1" operator="equal">
      <formula>0</formula>
    </cfRule>
  </conditionalFormatting>
  <conditionalFormatting sqref="BI102:BI106">
    <cfRule type="cellIs" dxfId="515" priority="6" stopIfTrue="1" operator="equal">
      <formula>0</formula>
    </cfRule>
  </conditionalFormatting>
  <conditionalFormatting sqref="BH103:BH104">
    <cfRule type="cellIs" dxfId="514" priority="5" stopIfTrue="1" operator="equal">
      <formula>0</formula>
    </cfRule>
  </conditionalFormatting>
  <conditionalFormatting sqref="AZ107">
    <cfRule type="cellIs" dxfId="513" priority="4" stopIfTrue="1" operator="equal">
      <formula>0</formula>
    </cfRule>
  </conditionalFormatting>
  <conditionalFormatting sqref="AY107">
    <cfRule type="cellIs" dxfId="512" priority="3" stopIfTrue="1" operator="equal">
      <formula>0</formula>
    </cfRule>
  </conditionalFormatting>
  <conditionalFormatting sqref="AI17:AO17">
    <cfRule type="expression" dxfId="511" priority="2" stopIfTrue="1">
      <formula>$AW$4=0</formula>
    </cfRule>
  </conditionalFormatting>
  <conditionalFormatting sqref="AI25:AO25">
    <cfRule type="expression" dxfId="510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3" tint="0.39997558519241921"/>
  </sheetPr>
  <dimension ref="A1:BK108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SUM(BB5:BB963)</f>
        <v>0</v>
      </c>
      <c r="BD4" s="105" t="s">
        <v>40</v>
      </c>
      <c r="BK4" s="444">
        <f>SUM(BK5:BK954)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AVANTECH YOU BOKY V SADĚ INLAY V187 MM L350 MM STŘÍBRNÁ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890.83</v>
      </c>
      <c r="BB5" s="107">
        <f t="shared" ref="BB5:BB67" si="0">IF(BA5="","",BA5*AY5)</f>
        <v>0</v>
      </c>
      <c r="BD5" s="441">
        <f>OBJ!B169</f>
        <v>9257131</v>
      </c>
      <c r="BE5" s="23" t="str">
        <f>VLOOKUP(BD5,CENY!$B$11:$G$1034,2,FALSE)</f>
        <v>AVANTECH YOU BOK INLAY V187 MM NL350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324.87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453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AVANTECH YOU BOKY V SADĚ INLAY V187 MM L400 MM STŘÍBRNÁ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8" si="1">IF(AY6="","",IF($AW$4=1,AY6,0))</f>
        <v>0</v>
      </c>
      <c r="BA6" s="107">
        <f>VLOOKUP(AU6,CENY!$B$11:$M$2005,12,FALSE)</f>
        <v>902.57</v>
      </c>
      <c r="BB6" s="107">
        <f t="shared" si="0"/>
        <v>0</v>
      </c>
      <c r="BD6" s="441">
        <f>OBJ!B170</f>
        <v>9257132</v>
      </c>
      <c r="BE6" s="23" t="str">
        <f>VLOOKUP(BD6,CENY!$B$11:$G$1034,2,FALSE)</f>
        <v>AVANTECH YOU BOK INLAY V187 MM NL350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8" si="2">IF(BH6="","",IF($AW$4=0,BH6,0))</f>
        <v>0</v>
      </c>
      <c r="BJ6" s="107">
        <f>VLOOKUP(BD6,CENY!$B$11:$M$2005,12,FALSE)</f>
        <v>324.87</v>
      </c>
      <c r="BK6" s="107">
        <f t="shared" ref="BK6:BK68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AVANTECH YOU BOKY V SADĚ INLAY V187 MM L450 MM STŘÍBRNÁ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914.31</v>
      </c>
      <c r="BB7" s="107">
        <f t="shared" si="0"/>
        <v>0</v>
      </c>
      <c r="BD7" s="441">
        <f>OBJ!B171</f>
        <v>9257133</v>
      </c>
      <c r="BE7" s="23" t="str">
        <f>VLOOKUP(BD7,CENY!$B$11:$G$1034,2,FALSE)</f>
        <v>AVANTECH YOU BOK INLAY V187 MM NL400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330.74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AVANTECH YOU BOKY V SADĚ INLAY V187 MM L500 MM STŘÍBRNÁ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926.05</v>
      </c>
      <c r="BB8" s="107">
        <f t="shared" si="0"/>
        <v>0</v>
      </c>
      <c r="BD8" s="441">
        <f>OBJ!B172</f>
        <v>9257134</v>
      </c>
      <c r="BE8" s="23" t="str">
        <f>VLOOKUP(BD8,CENY!$B$11:$G$1034,2,FALSE)</f>
        <v>AVANTECH YOU BOK INLAY V187 MM NL400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330.74</v>
      </c>
      <c r="BK8" s="107">
        <f t="shared" si="3"/>
        <v>0</v>
      </c>
    </row>
    <row r="9" spans="1:63" ht="14.4" customHeigh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U9" s="441">
        <f>OBJ!B165</f>
        <v>9257177</v>
      </c>
      <c r="AV9" s="23" t="str">
        <f>VLOOKUP(AU9,CENY!$B$11:$G$1034,2,FALSE)</f>
        <v>AVANTECH YOU BOKY V SADĚ INLAY V187 MM L550 MM STŘÍBRNÁ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937.8</v>
      </c>
      <c r="BB9" s="107">
        <f t="shared" si="0"/>
        <v>0</v>
      </c>
      <c r="BD9" s="441">
        <f>OBJ!B173</f>
        <v>9257135</v>
      </c>
      <c r="BE9" s="23" t="str">
        <f>VLOOKUP(BD9,CENY!$B$11:$G$1034,2,FALSE)</f>
        <v>AVANTECH YOU BOK INLAY V187 MM NL450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336.61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OBJ!B166</f>
        <v>9257178</v>
      </c>
      <c r="AV10" s="23" t="str">
        <f>VLOOKUP(AU10,CENY!$B$11:$G$1034,2,FALSE)</f>
        <v>AVANTECH YOU BOKY V SADĚ INLAY V187 MM L600 MM STŘÍBRNÁ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955.51</v>
      </c>
      <c r="BB10" s="107">
        <f t="shared" si="0"/>
        <v>0</v>
      </c>
      <c r="BD10" s="441">
        <f>OBJ!B174</f>
        <v>9257136</v>
      </c>
      <c r="BE10" s="23" t="str">
        <f>VLOOKUP(BD10,CENY!$B$11:$G$1034,2,FALSE)</f>
        <v>AVANTECH YOU BOK INLAY V187 MM NL450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336.61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AVANTECH YOU BOKY V SADĚ INLAY V187 MM L650 MM STŘÍBRNÁ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979.59</v>
      </c>
      <c r="BB11" s="107">
        <f t="shared" si="0"/>
        <v>0</v>
      </c>
      <c r="BD11" s="441">
        <f>OBJ!B175</f>
        <v>9257137</v>
      </c>
      <c r="BE11" s="23" t="str">
        <f>VLOOKUP(BD11,CENY!$B$11:$G$1034,2,FALSE)</f>
        <v>AVANTECH YOU BOK INLAY V187 MM NL500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342.48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OBJ!B176</f>
        <v>9257138</v>
      </c>
      <c r="BE12" s="23" t="str">
        <f>VLOOKUP(BD12,CENY!$B$11:$G$1034,2,FALSE)</f>
        <v>AVANTECH YOU BOK INLAY V187 MM NL500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342.48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OBJ!B209</f>
        <v>9283178</v>
      </c>
      <c r="AV13" s="23" t="str">
        <f>VLOOKUP(AU13,CENY!$B$11:$G$1034,2,FALSE)</f>
        <v>AVANTECH YOU SKLENĚNÁ VÝPLŇ 10 MM K BOKŮM INLAY NL350 MM</v>
      </c>
      <c r="AW13" s="24">
        <f>VLOOKUP(AU13,CENY!$B$11:$G$1034,3,FALSE)</f>
        <v>1</v>
      </c>
      <c r="AX13" s="24"/>
      <c r="AY13" s="25">
        <f>1*(S19+S20+S27+S28+S30)</f>
        <v>0</v>
      </c>
      <c r="AZ13" s="451">
        <f t="shared" si="1"/>
        <v>0</v>
      </c>
      <c r="BA13" s="107">
        <f>VLOOKUP(AU13,CENY!$B$11:$M$2005,12,FALSE)</f>
        <v>670.1</v>
      </c>
      <c r="BB13" s="107">
        <f t="shared" si="0"/>
        <v>0</v>
      </c>
      <c r="BD13" s="441">
        <f>OBJ!B177</f>
        <v>9257139</v>
      </c>
      <c r="BE13" s="23" t="str">
        <f>VLOOKUP(BD13,CENY!$B$11:$G$1034,2,FALSE)</f>
        <v>AVANTECH YOU BOK INLAY V187 MM NL550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348.35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AVANTECH YOU SKLENĚNÁ VÝPLŇ 10 MM K BOKŮM INLAY NL400 MM</v>
      </c>
      <c r="AW14" s="24">
        <f>VLOOKUP(AU14,CENY!$B$11:$G$1034,3,FALSE)</f>
        <v>1</v>
      </c>
      <c r="AX14" s="24"/>
      <c r="AY14" s="25">
        <f>1*(U20+U28+U30)</f>
        <v>0</v>
      </c>
      <c r="AZ14" s="451">
        <f t="shared" si="1"/>
        <v>0</v>
      </c>
      <c r="BA14" s="107">
        <f>VLOOKUP(AU14,CENY!$B$11:$M$2005,12,FALSE)</f>
        <v>708.04</v>
      </c>
      <c r="BB14" s="107">
        <f t="shared" si="0"/>
        <v>0</v>
      </c>
      <c r="BD14" s="441">
        <f>OBJ!B178</f>
        <v>9257140</v>
      </c>
      <c r="BE14" s="23" t="str">
        <f>VLOOKUP(BD14,CENY!$B$11:$G$1034,2,FALSE)</f>
        <v>AVANTECH YOU BOK INLAY V187 MM NL550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348.35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AVANTECH YOU SKLENĚNÁ VÝPLŇ 10 MM K BOKŮM INLAY NL450 MM</v>
      </c>
      <c r="AW15" s="24">
        <f>VLOOKUP(AU15,CENY!$B$11:$G$1034,3,FALSE)</f>
        <v>1</v>
      </c>
      <c r="AX15" s="24"/>
      <c r="AY15" s="25">
        <f>1*(W20+W22+W28+W30)</f>
        <v>0</v>
      </c>
      <c r="AZ15" s="451">
        <f t="shared" si="1"/>
        <v>0</v>
      </c>
      <c r="BA15" s="107">
        <f>VLOOKUP(AU15,CENY!$B$11:$M$2005,12,FALSE)</f>
        <v>745.99</v>
      </c>
      <c r="BB15" s="107">
        <f t="shared" si="0"/>
        <v>0</v>
      </c>
      <c r="BD15" s="441">
        <f>OBJ!B179</f>
        <v>9257141</v>
      </c>
      <c r="BE15" s="23" t="str">
        <f>VLOOKUP(BD15,CENY!$B$11:$G$1034,2,FALSE)</f>
        <v>AVANTECH YOU BOK INLAY V187 MM NL600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357.21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AVANTECH YOU SKLENĚNÁ VÝPLŇ 10 MM K BOKŮM INLAY NL500 MM</v>
      </c>
      <c r="AW16" s="24">
        <f>VLOOKUP(AU16,CENY!$B$11:$G$1034,3,FALSE)</f>
        <v>1</v>
      </c>
      <c r="AX16" s="24"/>
      <c r="AY16" s="25">
        <f>1*(Y20+Y22+Y28+Y30)</f>
        <v>0</v>
      </c>
      <c r="AZ16" s="451">
        <f t="shared" si="1"/>
        <v>0</v>
      </c>
      <c r="BA16" s="107">
        <f>VLOOKUP(AU16,CENY!$B$11:$M$2005,12,FALSE)</f>
        <v>783.93</v>
      </c>
      <c r="BB16" s="107">
        <f t="shared" si="0"/>
        <v>0</v>
      </c>
      <c r="BD16" s="441">
        <f>OBJ!B180</f>
        <v>9257142</v>
      </c>
      <c r="BE16" s="23" t="str">
        <f>VLOOKUP(BD16,CENY!$B$11:$G$1034,2,FALSE)</f>
        <v>AVANTECH YOU BOK INLAY V187 MM NL600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357.21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OBJ!B213</f>
        <v>9283182</v>
      </c>
      <c r="AV17" s="23" t="str">
        <f>VLOOKUP(AU17,CENY!$B$11:$G$1034,2,FALSE)</f>
        <v>AVANTECH YOU SKLENĚNÁ VÝPLŇ 10 MM K BOKŮM INLAY NL550 MM</v>
      </c>
      <c r="AW17" s="24">
        <f>VLOOKUP(AU17,CENY!$B$11:$G$1034,3,FALSE)</f>
        <v>1</v>
      </c>
      <c r="AX17" s="24"/>
      <c r="AY17" s="25">
        <f>1*(AA20+AA22+AA28+AA30)</f>
        <v>0</v>
      </c>
      <c r="AZ17" s="451">
        <f t="shared" si="1"/>
        <v>0</v>
      </c>
      <c r="BA17" s="107">
        <f>VLOOKUP(AU17,CENY!$B$11:$M$2005,12,FALSE)</f>
        <v>859.8</v>
      </c>
      <c r="BB17" s="107">
        <f t="shared" si="0"/>
        <v>0</v>
      </c>
      <c r="BD17" s="441">
        <f>OBJ!B181</f>
        <v>9257143</v>
      </c>
      <c r="BE17" s="23" t="str">
        <f>VLOOKUP(BD17,CENY!$B$11:$G$1034,2,FALSE)</f>
        <v>AVANTECH YOU BOK INLAY V187 MM NL650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369.25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OBJ!B214</f>
        <v>9283183</v>
      </c>
      <c r="AV18" s="23" t="str">
        <f>VLOOKUP(AU18,CENY!$B$11:$G$1034,2,FALSE)</f>
        <v>AVANTECH YOU SKLENĚNÁ VÝPLŇ 10 MM K BOKŮM INLAY NL600 MM</v>
      </c>
      <c r="AW18" s="24">
        <f>VLOOKUP(AU18,CENY!$B$11:$G$1034,3,FALSE)</f>
        <v>1</v>
      </c>
      <c r="AX18" s="24"/>
      <c r="AY18" s="25">
        <f>1*(AC20+AC22+AC28+AC30)</f>
        <v>0</v>
      </c>
      <c r="AZ18" s="451">
        <f t="shared" si="1"/>
        <v>0</v>
      </c>
      <c r="BA18" s="107">
        <f>VLOOKUP(AU18,CENY!$B$11:$M$2005,12,FALSE)</f>
        <v>935.66</v>
      </c>
      <c r="BB18" s="107">
        <f t="shared" si="0"/>
        <v>0</v>
      </c>
      <c r="BD18" s="441">
        <f>OBJ!B182</f>
        <v>9257144</v>
      </c>
      <c r="BE18" s="23" t="str">
        <f>VLOOKUP(BD18,CENY!$B$11:$G$1034,2,FALSE)</f>
        <v>AVANTECH YOU BOK INLAY V187 MM NL650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369.25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OBJ!B215</f>
        <v>9283184</v>
      </c>
      <c r="AV19" s="23" t="str">
        <f>VLOOKUP(AU19,CENY!$B$11:$G$1034,2,FALSE)</f>
        <v>AVANTECH YOU SKLENĚNÁ VÝPLŇ 10 MM K BOKŮM INLAY NL650 MM</v>
      </c>
      <c r="AW19" s="24">
        <f>VLOOKUP(AU19,CENY!$B$11:$G$1034,3,FALSE)</f>
        <v>1</v>
      </c>
      <c r="AX19" s="24"/>
      <c r="AY19" s="25">
        <f>1*(AE22)</f>
        <v>0</v>
      </c>
      <c r="AZ19" s="451">
        <f t="shared" si="1"/>
        <v>0</v>
      </c>
      <c r="BA19" s="107">
        <f>VLOOKUP(AU19,CENY!$B$11:$M$2005,12,FALSE)</f>
        <v>1011.52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1">
        <f>OBJ!B184</f>
        <v>9257257</v>
      </c>
      <c r="BE20" s="23" t="str">
        <f>VLOOKUP(BD20,CENY!$B$11:$G$1034,2,FALSE)</f>
        <v>AVANTECH YOU PŘÍCHYTKA ČELA PRO BOK INLAY, K NAŠROUBOVÁNÍ</v>
      </c>
      <c r="BF20" s="24">
        <f>VLOOKUP(BD20,CENY!$B$11:$G$1034,3,FALSE)</f>
        <v>200</v>
      </c>
      <c r="BG20" s="24"/>
      <c r="BH20" s="25">
        <f>2*(SUM(S19)+SUM(S20:AD20)+SUM(W22:AF22)+SUM(S27)+SUM(S28:AD28)+SUM(S30:AD30))</f>
        <v>0</v>
      </c>
      <c r="BI20" s="451">
        <f t="shared" si="2"/>
        <v>0</v>
      </c>
      <c r="BJ20" s="107">
        <f>VLOOKUP(BD20,CENY!$B$11:$M$2005,12,FALSE)</f>
        <v>53.15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 10KG PLNOVÝSUV 350 MM EB21 SILENT SYSTEM SADA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561.63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AVANTECH YOU STABILIZÁTOR ZAD V101/139/187/251 MM</v>
      </c>
      <c r="BF21" s="24">
        <f>VLOOKUP(BD21,CENY!$B$11:$G$1034,3,FALSE)</f>
        <v>200</v>
      </c>
      <c r="BG21" s="24"/>
      <c r="BH21" s="25">
        <f>2*(SUM(S19)+SUM(S20:AD20)+SUM(W22:AF22)+SUM(S27)+SUM(S28:AD28)+SUM(S30:AD30))</f>
        <v>0</v>
      </c>
      <c r="BI21" s="451">
        <f t="shared" si="2"/>
        <v>0</v>
      </c>
      <c r="BJ21" s="107">
        <f>VLOOKUP(BD21,CENY!$B$11:$M$2005,12,FALSE)</f>
        <v>13.29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 40KG PLNOVÝSUV 350 MM EB21 SILENT SYSTEM SADA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561.63</v>
      </c>
      <c r="BB23" s="107">
        <f t="shared" si="0"/>
        <v>0</v>
      </c>
      <c r="BD23" s="441">
        <f>OBJ!B209</f>
        <v>9283178</v>
      </c>
      <c r="BE23" s="23" t="str">
        <f>VLOOKUP(BD23,CENY!$B$11:$G$1034,2,FALSE)</f>
        <v>AVANTECH YOU SKLENĚNÁ VÝPLŇ 10 MM K BOKŮM INLAY NL350 MM</v>
      </c>
      <c r="BF23" s="24">
        <f>VLOOKUP(BD23,CENY!$B$11:$G$1034,3,FALSE)</f>
        <v>1</v>
      </c>
      <c r="BG23" s="24"/>
      <c r="BH23" s="25">
        <f>1*(S19+S20+S27+S28+S30)</f>
        <v>0</v>
      </c>
      <c r="BI23" s="451">
        <f t="shared" si="2"/>
        <v>0</v>
      </c>
      <c r="BJ23" s="107">
        <f>VLOOKUP(BD23,CENY!$B$11:$M$2005,12,FALSE)</f>
        <v>670.1</v>
      </c>
      <c r="BK23" s="107">
        <f t="shared" si="3"/>
        <v>0</v>
      </c>
    </row>
    <row r="24" spans="2:63" ht="14.4" customHeight="1">
      <c r="AU24" s="441">
        <f>OBJ!B239</f>
        <v>9257004</v>
      </c>
      <c r="AV24" s="23" t="str">
        <f>VLOOKUP(AU24,CENY!$B$11:$G$1034,2,FALSE)</f>
        <v>ACTRO YOU 40KG PLNOVÝSUV 400 MM EB21 SILENT SYSTEM SADA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567.85</v>
      </c>
      <c r="BB24" s="107">
        <f t="shared" si="0"/>
        <v>0</v>
      </c>
      <c r="BD24" s="441">
        <f>OBJ!B210</f>
        <v>9283179</v>
      </c>
      <c r="BE24" s="23" t="str">
        <f>VLOOKUP(BD24,CENY!$B$11:$G$1034,2,FALSE)</f>
        <v>AVANTECH YOU SKLENĚNÁ VÝPLŇ 10 MM K BOKŮM INLAY NL400 MM</v>
      </c>
      <c r="BF24" s="24">
        <f>VLOOKUP(BD24,CENY!$B$11:$G$1034,3,FALSE)</f>
        <v>1</v>
      </c>
      <c r="BG24" s="24"/>
      <c r="BH24" s="25">
        <f>1*(U20+U28+U30)</f>
        <v>0</v>
      </c>
      <c r="BI24" s="451">
        <f t="shared" si="2"/>
        <v>0</v>
      </c>
      <c r="BJ24" s="107">
        <f>VLOOKUP(BD24,CENY!$B$11:$M$2005,12,FALSE)</f>
        <v>708.04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 40KG PLNOVÝSUV 450 MM EB21 SILENT SYSTEM SADA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574.04</v>
      </c>
      <c r="BB25" s="107">
        <f t="shared" si="0"/>
        <v>0</v>
      </c>
      <c r="BD25" s="441">
        <f>OBJ!B211</f>
        <v>9283180</v>
      </c>
      <c r="BE25" s="23" t="str">
        <f>VLOOKUP(BD25,CENY!$B$11:$G$1034,2,FALSE)</f>
        <v>AVANTECH YOU SKLENĚNÁ VÝPLŇ 10 MM K BOKŮM INLAY NL450 MM</v>
      </c>
      <c r="BF25" s="24">
        <f>VLOOKUP(BD25,CENY!$B$11:$G$1034,3,FALSE)</f>
        <v>1</v>
      </c>
      <c r="BG25" s="24"/>
      <c r="BH25" s="25">
        <f>1*(W20+W22+W28+W30)</f>
        <v>0</v>
      </c>
      <c r="BI25" s="451">
        <f t="shared" si="2"/>
        <v>0</v>
      </c>
      <c r="BJ25" s="107">
        <f>VLOOKUP(BD25,CENY!$B$11:$M$2005,12,FALSE)</f>
        <v>745.99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 40KG PLNOVÝSUV 500 MM EB21 SILENT SYSTEM SADA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580.26</v>
      </c>
      <c r="BB26" s="107">
        <f t="shared" si="0"/>
        <v>0</v>
      </c>
      <c r="BD26" s="441">
        <f>OBJ!B212</f>
        <v>9283181</v>
      </c>
      <c r="BE26" s="23" t="str">
        <f>VLOOKUP(BD26,CENY!$B$11:$G$1034,2,FALSE)</f>
        <v>AVANTECH YOU SKLENĚNÁ VÝPLŇ 10 MM K BOKŮM INLAY NL500 MM</v>
      </c>
      <c r="BF26" s="24">
        <f>VLOOKUP(BD26,CENY!$B$11:$G$1034,3,FALSE)</f>
        <v>1</v>
      </c>
      <c r="BG26" s="24"/>
      <c r="BH26" s="25">
        <f>1*(Y20+Y22+Y28+Y30)</f>
        <v>0</v>
      </c>
      <c r="BI26" s="451">
        <f t="shared" si="2"/>
        <v>0</v>
      </c>
      <c r="BJ26" s="107">
        <f>VLOOKUP(BD26,CENY!$B$11:$M$2005,12,FALSE)</f>
        <v>783.93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 40KG PLNOVÝSUV 550 MM EB21 SILENT SYSTEM SADA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613.44000000000005</v>
      </c>
      <c r="BB27" s="107">
        <f t="shared" si="0"/>
        <v>0</v>
      </c>
      <c r="BD27" s="441">
        <f>OBJ!B213</f>
        <v>9283182</v>
      </c>
      <c r="BE27" s="23" t="str">
        <f>VLOOKUP(BD27,CENY!$B$11:$G$1034,2,FALSE)</f>
        <v>AVANTECH YOU SKLENĚNÁ VÝPLŇ 10 MM K BOKŮM INLAY NL550 MM</v>
      </c>
      <c r="BF27" s="24">
        <f>VLOOKUP(BD27,CENY!$B$11:$G$1034,3,FALSE)</f>
        <v>1</v>
      </c>
      <c r="BG27" s="24"/>
      <c r="BH27" s="25">
        <f>1*(AA20+AA22+AA28+AA30)</f>
        <v>0</v>
      </c>
      <c r="BI27" s="451">
        <f t="shared" si="2"/>
        <v>0</v>
      </c>
      <c r="BJ27" s="107">
        <f>VLOOKUP(BD27,CENY!$B$11:$M$2005,12,FALSE)</f>
        <v>859.8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 40KG PLNOVÝSUV 600 MM EB21 SILENT SYSTÉM SADA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620.78</v>
      </c>
      <c r="BB28" s="107">
        <f t="shared" si="0"/>
        <v>0</v>
      </c>
      <c r="BD28" s="441">
        <f>OBJ!B214</f>
        <v>9283183</v>
      </c>
      <c r="BE28" s="23" t="str">
        <f>VLOOKUP(BD28,CENY!$B$11:$G$1034,2,FALSE)</f>
        <v>AVANTECH YOU SKLENĚNÁ VÝPLŇ 10 MM K BOKŮM INLAY NL600 MM</v>
      </c>
      <c r="BF28" s="24">
        <f>VLOOKUP(BD28,CENY!$B$11:$G$1034,3,FALSE)</f>
        <v>1</v>
      </c>
      <c r="BG28" s="24"/>
      <c r="BH28" s="25">
        <f>1*(AC20+AC22+AC28+AC30)</f>
        <v>0</v>
      </c>
      <c r="BI28" s="451">
        <f t="shared" si="2"/>
        <v>0</v>
      </c>
      <c r="BJ28" s="107">
        <f>VLOOKUP(BD28,CENY!$B$11:$M$2005,12,FALSE)</f>
        <v>935.66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OBJ!B215</f>
        <v>9283184</v>
      </c>
      <c r="BE29" s="23" t="str">
        <f>VLOOKUP(BD29,CENY!$B$11:$G$1034,2,FALSE)</f>
        <v>AVANTECH YOU SKLENĚNÁ VÝPLŇ 10 MM K BOKŮM INLAY NL650 MM</v>
      </c>
      <c r="BF29" s="24">
        <f>VLOOKUP(BD29,CENY!$B$11:$G$1034,3,FALSE)</f>
        <v>1</v>
      </c>
      <c r="BG29" s="24"/>
      <c r="BH29" s="25">
        <f>1*(AE22)</f>
        <v>0</v>
      </c>
      <c r="BI29" s="451">
        <f t="shared" si="2"/>
        <v>0</v>
      </c>
      <c r="BJ29" s="107">
        <f>VLOOKUP(BD29,CENY!$B$11:$M$2005,12,FALSE)</f>
        <v>1011.52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64"/>
      <c r="P30" s="465"/>
      <c r="Q30" s="464"/>
      <c r="R30" s="465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 70KG PLNOVÝSUV 450 MM EB21 SILENT SYSTEM SADA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691.9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OBJ!B262</f>
        <v>9257036</v>
      </c>
      <c r="AV31" s="23" t="str">
        <f>VLOOKUP(AU31,CENY!$B$11:$G$1034,2,FALSE)</f>
        <v>ACTRO YOU 70KG PLNOVÝSUV 500 MM EB21 SILENT SYSTEM SADA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698.13</v>
      </c>
      <c r="BB31" s="107">
        <f t="shared" si="0"/>
        <v>0</v>
      </c>
      <c r="BD31" s="441">
        <f>OBJ!B233</f>
        <v>9256965</v>
      </c>
      <c r="BE31" s="23" t="str">
        <f>VLOOKUP(BD31,CENY!$B$11:$G$1034,2,FALSE)</f>
        <v>ACTRO YOU 10KG PLNOVÝSUV 350 MM EB21 SILENT SYSTEM LEVÝ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243.93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OBJ!B263</f>
        <v>9257038</v>
      </c>
      <c r="AV32" s="23" t="str">
        <f>VLOOKUP(AU32,CENY!$B$11:$G$1034,2,FALSE)</f>
        <v>ACTRO YOU 70KG PLNOVÝSUV 550 MM EB21 SILENT SYSTEM SADA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731.3</v>
      </c>
      <c r="BB32" s="107">
        <f t="shared" si="0"/>
        <v>0</v>
      </c>
      <c r="BD32" s="441">
        <f>OBJ!B234</f>
        <v>9256966</v>
      </c>
      <c r="BE32" s="23" t="str">
        <f>VLOOKUP(BD32,CENY!$B$11:$G$1034,2,FALSE)</f>
        <v>ACTRO YOU 10KG PLNOVÝSUV 350 MM EB21 SILENT SYSTEM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OBJ!B264</f>
        <v>9257040</v>
      </c>
      <c r="AV33" s="23" t="str">
        <f>VLOOKUP(AU33,CENY!$B$11:$G$1034,2,FALSE)</f>
        <v>ACTRO YOU 70KG PLNOVÝSUV 600 MM EB21 SILENT SYSTEM SADA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798.31</v>
      </c>
      <c r="BB33" s="107">
        <f t="shared" si="0"/>
        <v>0</v>
      </c>
      <c r="BD33" s="441"/>
      <c r="BE33" s="23"/>
      <c r="BF33" s="24"/>
      <c r="BG33" s="24"/>
      <c r="BH33" s="25"/>
      <c r="BI33" s="451" t="str">
        <f t="shared" si="2"/>
        <v/>
      </c>
      <c r="BJ33" s="107"/>
      <c r="BK33" s="107" t="str">
        <f t="shared" si="3"/>
        <v/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OBJ!B265</f>
        <v>9257041</v>
      </c>
      <c r="AV34" s="23" t="str">
        <f>VLOOKUP(AU34,CENY!$B$11:$G$1034,2,FALSE)</f>
        <v>ACTRO YOU 70KG PLNOVÝSUV 650 MM EB21 SILENT SYSTEM SADA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828.55</v>
      </c>
      <c r="BB34" s="107">
        <f t="shared" si="0"/>
        <v>0</v>
      </c>
      <c r="BD34" s="441">
        <f>OBJ!B248</f>
        <v>9256980</v>
      </c>
      <c r="BE34" s="23" t="str">
        <f>VLOOKUP(BD34,CENY!$B$11:$G$1034,2,FALSE)</f>
        <v>ACTRO YOU 40KG PLNOVÝSUV 350 MM EB21 SILENT SYSTEM LEVÝ</v>
      </c>
      <c r="BF34" s="24">
        <f>VLOOKUP(BD34,CENY!$B$11:$G$1034,3,FALSE)</f>
        <v>10</v>
      </c>
      <c r="BG34" s="24"/>
      <c r="BH34" s="25">
        <f>AY23</f>
        <v>0</v>
      </c>
      <c r="BI34" s="451">
        <f t="shared" si="2"/>
        <v>0</v>
      </c>
      <c r="BJ34" s="107">
        <f>VLOOKUP(BD34,CENY!$B$11:$M$2005,12,FALSE)</f>
        <v>243.93</v>
      </c>
      <c r="BK34" s="107">
        <f t="shared" si="3"/>
        <v>0</v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OBJ!B249</f>
        <v>9256981</v>
      </c>
      <c r="BE35" s="23" t="str">
        <f>VLOOKUP(BD35,CENY!$B$11:$G$1034,2,FALSE)</f>
        <v>ACTRO YOU 40KG PLNOVÝSUV 350 MM EB21 SILENT SYSTEM PRAVÝ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243.93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PUSH TO OPEN SILENT ACTRO YOU / ACTRO 5D 10 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544.37</v>
      </c>
      <c r="BB36" s="107">
        <f t="shared" si="0"/>
        <v>0</v>
      </c>
      <c r="BD36" s="441">
        <f>OBJ!B250</f>
        <v>9256984</v>
      </c>
      <c r="BE36" s="23" t="str">
        <f>VLOOKUP(BD36,CENY!$B$11:$G$1034,2,FALSE)</f>
        <v>ACTRO YOU 40KG PLNOVÝSUV 400 MM EB21 SILENT SYSTEM LEVÝ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247.05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PUSH TO OPEN SILENT ACTRO YOU / ACTRO 5D 20 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>
        <f>OBJ!B251</f>
        <v>9256985</v>
      </c>
      <c r="BE37" s="23" t="str">
        <f>VLOOKUP(BD37,CENY!$B$11:$G$1034,2,FALSE)</f>
        <v>ACTRO YOU 40KG PLNOVÝSUV 400 MM EB21 SILENT SYSTEM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247.05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PUSH TO OPEN SILENT ACTRO YOU / ACTRO 5D 40 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544.37</v>
      </c>
      <c r="BB38" s="107">
        <f t="shared" si="0"/>
        <v>0</v>
      </c>
      <c r="BD38" s="441">
        <f>OBJ!B252</f>
        <v>9256988</v>
      </c>
      <c r="BE38" s="23" t="str">
        <f>VLOOKUP(BD38,CENY!$B$11:$G$1034,2,FALSE)</f>
        <v>ACTRO YOU 40KG PLNOVÝSUV 450 MM EB21 SILENT SYSTEM LEVÝ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250.14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PUSH TO OPEN SILENT ACTRO YOU / ACTRO 5D 70 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544.37</v>
      </c>
      <c r="BB39" s="107">
        <f t="shared" si="0"/>
        <v>0</v>
      </c>
      <c r="BD39" s="441">
        <f>OBJ!B253</f>
        <v>9256989</v>
      </c>
      <c r="BE39" s="23" t="str">
        <f>VLOOKUP(BD39,CENY!$B$11:$G$1034,2,FALSE)</f>
        <v>ACTRO YOU 40KG PLNOVÝSUV 450 MM EB21 SILENT SYSTEM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250.14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SYNCHRONIZAČNÍ TYČ 2000 MM</v>
      </c>
      <c r="AW40" s="24">
        <f>VLOOKUP(AU40,CENY!$B$11:$G$1034,3,FALSE)</f>
        <v>100</v>
      </c>
      <c r="AX40" s="24"/>
      <c r="AY40" s="25">
        <f>SUM(AN19:AO22)+SUM(AN27:AO29)+SUM(S30:AD30)</f>
        <v>0</v>
      </c>
      <c r="AZ40" s="451">
        <f t="shared" si="1"/>
        <v>0</v>
      </c>
      <c r="BA40" s="107">
        <f>VLOOKUP(AU40,CENY!$B$11:$M$2005,12,FALSE)</f>
        <v>144.30000000000001</v>
      </c>
      <c r="BB40" s="107">
        <f t="shared" si="0"/>
        <v>0</v>
      </c>
      <c r="BD40" s="441">
        <f>OBJ!B254</f>
        <v>9256992</v>
      </c>
      <c r="BE40" s="23" t="str">
        <f>VLOOKUP(BD40,CENY!$B$11:$G$1034,2,FALSE)</f>
        <v>ACTRO YOU 40KG PLNOVÝSUV 500 MM EB21 SILENT SYSTEM LEVÝ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253.25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OBJ!B255</f>
        <v>9256993</v>
      </c>
      <c r="BE41" s="23" t="str">
        <f>VLOOKUP(BD41,CENY!$B$11:$G$1034,2,FALSE)</f>
        <v>ACTRO YOU 40KG PLNOVÝSUV 500 MM EB21 SILENT SYSTEM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253.25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 10 KG PLNOVÝSUV 350 MM EB21 SILENT SYSTEM SADA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421.61</v>
      </c>
      <c r="BB42" s="107">
        <f t="shared" si="0"/>
        <v>0</v>
      </c>
      <c r="BD42" s="441">
        <f>OBJ!B256</f>
        <v>9256996</v>
      </c>
      <c r="BE42" s="23" t="str">
        <f>VLOOKUP(BD42,CENY!$B$11:$G$1034,2,FALSE)</f>
        <v>ACTRO YOU 40KG PLNOVÝSUV 550 MM EB21 SILENT SYSTEM LEVÝ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269.83999999999997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OBJ!B257</f>
        <v>9256997</v>
      </c>
      <c r="BE43" s="23" t="str">
        <f>VLOOKUP(BD43,CENY!$B$11:$G$1034,2,FALSE)</f>
        <v>ACTRO YOU 40KG PLNOVÝSUV 550 MM EB21 SILENT SYSTEM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269.83999999999997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 PLNOVÝSUV 350 MM EB21 SILENT SYSTEM SADA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376.77</v>
      </c>
      <c r="BB44" s="107">
        <f t="shared" si="0"/>
        <v>0</v>
      </c>
      <c r="BD44" s="441">
        <f>OBJ!B258</f>
        <v>9268679</v>
      </c>
      <c r="BE44" s="23" t="str">
        <f>VLOOKUP(BD44,CENY!$B$11:$G$1034,2,FALSE)</f>
        <v>ACTRO YOU 40KG PLNOVÝSUV 600 MM EB21 SILENT SYSTÉM LEVÝ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273.51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 PLNOVÝSUV 400 MM EB21 SILENT SYSTEM SADA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384.24</v>
      </c>
      <c r="BB45" s="107">
        <f t="shared" si="0"/>
        <v>0</v>
      </c>
      <c r="BD45" s="441">
        <f>OBJ!B259</f>
        <v>9268680</v>
      </c>
      <c r="BE45" s="23" t="str">
        <f>VLOOKUP(BD45,CENY!$B$11:$G$1034,2,FALSE)</f>
        <v>ACTRO YOU 40KG PLNOVÝSUV 600 MM EB21 SILENT SYSTÉM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273.51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 PLNOVÝSUV 450 MM EB21 SILENT SYSTEM SADA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391.72</v>
      </c>
      <c r="BB46" s="107">
        <f t="shared" si="0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2:63" ht="14.4" customHeight="1">
      <c r="AU47" s="441">
        <f>OBJ!B302</f>
        <v>9256892</v>
      </c>
      <c r="AV47" s="23" t="str">
        <f>VLOOKUP(AU47,CENY!$B$11:$G$1034,2,FALSE)</f>
        <v>QUADRO YOU PLNOVÝSUV 500 MM EB21 SILENT SYSTEM SADA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399.19</v>
      </c>
      <c r="BB47" s="107">
        <f t="shared" si="0"/>
        <v>0</v>
      </c>
      <c r="BD47" s="441">
        <f>OBJ!B266</f>
        <v>9257013</v>
      </c>
      <c r="BE47" s="23" t="str">
        <f>VLOOKUP(BD47,CENY!$B$11:$G$1034,2,FALSE)</f>
        <v>ACTRO YOU 70KG PLNOVÝSUV 450 MM EB21 SILENT SYSTEM LEVÝ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309.07</v>
      </c>
      <c r="BK47" s="107">
        <f t="shared" si="3"/>
        <v>0</v>
      </c>
    </row>
    <row r="48" spans="2:63" ht="14.4" customHeight="1">
      <c r="AU48" s="441">
        <f>OBJ!B303</f>
        <v>9256894</v>
      </c>
      <c r="AV48" s="23" t="str">
        <f>VLOOKUP(AU48,CENY!$B$11:$G$1034,2,FALSE)</f>
        <v>QUADRO YOU PLNOVÝSUV 550 MM EB21 SILENT SYSTEM SADA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412.64</v>
      </c>
      <c r="BB48" s="107">
        <f t="shared" si="0"/>
        <v>0</v>
      </c>
      <c r="BD48" s="441">
        <f>OBJ!B267</f>
        <v>9257014</v>
      </c>
      <c r="BE48" s="23" t="str">
        <f>VLOOKUP(BD48,CENY!$B$11:$G$1034,2,FALSE)</f>
        <v>ACTRO YOU 70KG PLNOVÝSUV 450 MM EB21 SILENT SYSTEM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309.07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 PLNOVÝSUV 600 MM EB21 SILENT SYSTEM SADA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420.11</v>
      </c>
      <c r="BB49" s="107">
        <f t="shared" si="0"/>
        <v>0</v>
      </c>
      <c r="BD49" s="441">
        <f>OBJ!B268</f>
        <v>9257017</v>
      </c>
      <c r="BE49" s="23" t="str">
        <f>VLOOKUP(BD49,CENY!$B$11:$G$1034,2,FALSE)</f>
        <v>ACTRO YOU 70KG PLNOVÝSUV 500 MM EB21 SILENT SYSTEM LEVÝ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312.18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OBJ!B269</f>
        <v>9257018</v>
      </c>
      <c r="BE50" s="23" t="str">
        <f>VLOOKUP(BD50,CENY!$B$11:$G$1034,2,FALSE)</f>
        <v>ACTRO YOU 70KG PLNOVÝSUV 500 MM EB21 SILENT SYSTEM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312.18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PUSH TO OPEN SILENT QUADRO YOU 10 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544.37</v>
      </c>
      <c r="BB51" s="107">
        <f t="shared" si="0"/>
        <v>0</v>
      </c>
      <c r="BD51" s="441">
        <f>OBJ!B270</f>
        <v>9257021</v>
      </c>
      <c r="BE51" s="23" t="str">
        <f>VLOOKUP(BD51,CENY!$B$11:$G$1034,2,FALSE)</f>
        <v>ACTRO YOU 70KG PLNOVÝSUV 550 MM EB21 SILENT SYSTEM LEVÝ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328.77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PUSH TO OPEN SILENT QUADRO YOU 20 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544.37</v>
      </c>
      <c r="BB52" s="107">
        <f t="shared" si="0"/>
        <v>0</v>
      </c>
      <c r="BD52" s="441">
        <f>OBJ!B271</f>
        <v>9257022</v>
      </c>
      <c r="BE52" s="23" t="str">
        <f>VLOOKUP(BD52,CENY!$B$11:$G$1034,2,FALSE)</f>
        <v>ACTRO YOU 70KG PLNOVÝSUV 550 MM EB21 SILENT SYSTEM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328.77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PUSH TO OPEN SILENT QUADRO YOU 30 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544.37</v>
      </c>
      <c r="BB53" s="107">
        <f t="shared" si="0"/>
        <v>0</v>
      </c>
      <c r="BD53" s="441">
        <f>OBJ!B272</f>
        <v>9257025</v>
      </c>
      <c r="BE53" s="23" t="str">
        <f>VLOOKUP(BD53,CENY!$B$11:$G$1034,2,FALSE)</f>
        <v>ACTRO YOU 70KG PLNOVÝSUV 600 MM EB21 SILENT SYSTEM LEVÝ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362.28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OBJ!B273</f>
        <v>9257026</v>
      </c>
      <c r="BE54" s="23" t="str">
        <f>VLOOKUP(BD54,CENY!$B$11:$G$1034,2,FALSE)</f>
        <v>ACTRO YOU 70KG PLNOVÝSUV 600 MM EB21 SILENT SYSTEM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362.28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 PLNOVÝSUV 350 MM EB21 PUSH TO OPEN SADA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421.61</v>
      </c>
      <c r="BB55" s="107">
        <f t="shared" si="0"/>
        <v>0</v>
      </c>
      <c r="BD55" s="441">
        <f>OBJ!B274</f>
        <v>9257027</v>
      </c>
      <c r="BE55" s="23" t="str">
        <f>VLOOKUP(BD55,CENY!$B$11:$G$1034,2,FALSE)</f>
        <v>ACTRO YOU 70KG PLNOVÝSUV 650 MM EB21 SILENT SYSTEM LEVÝ</v>
      </c>
      <c r="BF55" s="24">
        <f>VLOOKUP(BD55,CENY!$B$11:$G$1034,3,FALSE)</f>
        <v>5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377.39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 PLNOVÝSUV 400 MM EB21 PUSH TO OPEN SADA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429.08</v>
      </c>
      <c r="BB56" s="107">
        <f t="shared" si="0"/>
        <v>0</v>
      </c>
      <c r="BD56" s="441">
        <f>OBJ!B275</f>
        <v>9257028</v>
      </c>
      <c r="BE56" s="23" t="str">
        <f>VLOOKUP(BD56,CENY!$B$11:$G$1034,2,FALSE)</f>
        <v>ACTRO YOU 70KG PLNOVÝSUV 650 MM EB21 SILENT SYSTEM PRAVÝ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377.39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 PLNOVÝSUV 450 MM EB21 PUSH TO OPEN SADA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436.55</v>
      </c>
      <c r="BB57" s="107">
        <f t="shared" si="0"/>
        <v>0</v>
      </c>
      <c r="BD57" s="441"/>
      <c r="BE57" s="23"/>
      <c r="BF57" s="24"/>
      <c r="BG57" s="24"/>
      <c r="BH57" s="25"/>
      <c r="BI57" s="451" t="str">
        <f t="shared" si="2"/>
        <v/>
      </c>
      <c r="BJ57" s="107"/>
      <c r="BK57" s="107" t="str">
        <f t="shared" si="3"/>
        <v/>
      </c>
    </row>
    <row r="58" spans="47:63" ht="14.4" customHeight="1">
      <c r="AU58" s="441">
        <f>OBJ!B331</f>
        <v>9256937</v>
      </c>
      <c r="AV58" s="23" t="str">
        <f>VLOOKUP(AU58,CENY!$B$11:$G$1034,2,FALSE)</f>
        <v>QUADRO YOU PLNOVÝSUV 500 MM EB21 PUSH TO OPEN SADA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444.02</v>
      </c>
      <c r="BB58" s="107">
        <f t="shared" si="0"/>
        <v>0</v>
      </c>
      <c r="BD58" s="441">
        <f>OBJ!B277</f>
        <v>9257890</v>
      </c>
      <c r="BE58" s="23" t="str">
        <f>VLOOKUP(BD58,CENY!$B$11:$G$1034,2,FALSE)</f>
        <v>PUSH TO OPEN SILENT ACTRO YOU / ACTRO 5D 10 KG</v>
      </c>
      <c r="BF58" s="24">
        <f>VLOOKUP(BD58,CENY!$B$11:$G$1034,3,FALSE)</f>
        <v>1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544.37</v>
      </c>
      <c r="BK58" s="107">
        <f t="shared" si="3"/>
        <v>0</v>
      </c>
    </row>
    <row r="59" spans="47:63" ht="14.4" customHeight="1">
      <c r="AU59" s="441">
        <f>OBJ!B332</f>
        <v>9256939</v>
      </c>
      <c r="AV59" s="23" t="str">
        <f>VLOOKUP(AU59,CENY!$B$11:$G$1034,2,FALSE)</f>
        <v>QUADRO YOU PLNOVÝSUV 550 MM EB21 PUSH TO OPEN SADA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457.48</v>
      </c>
      <c r="BB59" s="107">
        <f t="shared" si="0"/>
        <v>0</v>
      </c>
      <c r="BD59" s="441">
        <f>OBJ!B278</f>
        <v>9257891</v>
      </c>
      <c r="BE59" s="23" t="str">
        <f>VLOOKUP(BD59,CENY!$B$11:$G$1034,2,FALSE)</f>
        <v>PUSH TO OPEN SILENT ACTRO YOU / ACTRO 5D 20 KG</v>
      </c>
      <c r="BF59" s="24">
        <f>VLOOKUP(BD59,CENY!$B$11:$G$1034,3,FALSE)</f>
        <v>1</v>
      </c>
      <c r="BG59" s="24"/>
      <c r="BH59" s="25">
        <f>AY37</f>
        <v>0</v>
      </c>
      <c r="BI59" s="451">
        <f t="shared" si="2"/>
        <v>0</v>
      </c>
      <c r="BJ59" s="107">
        <f>VLOOKUP(BD59,CENY!$B$11:$M$2005,12,FALSE)</f>
        <v>544.37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 PLNOVÝSUV 600 MM EB21 PUSH TO OPEN SADA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464.95</v>
      </c>
      <c r="BB60" s="107">
        <f t="shared" si="0"/>
        <v>0</v>
      </c>
      <c r="BD60" s="441">
        <f>OBJ!B279</f>
        <v>9257892</v>
      </c>
      <c r="BE60" s="23" t="str">
        <f>VLOOKUP(BD60,CENY!$B$11:$G$1034,2,FALSE)</f>
        <v>PUSH TO OPEN SILENT ACTRO YOU / ACTRO 5D 40 KG</v>
      </c>
      <c r="BF60" s="24">
        <f>VLOOKUP(BD60,CENY!$B$11:$G$1034,3,FALSE)</f>
        <v>1</v>
      </c>
      <c r="BG60" s="24"/>
      <c r="BH60" s="25">
        <f>AY38</f>
        <v>0</v>
      </c>
      <c r="BI60" s="451">
        <f t="shared" si="2"/>
        <v>0</v>
      </c>
      <c r="BJ60" s="107">
        <f>VLOOKUP(BD60,CENY!$B$11:$M$2005,12,FALSE)</f>
        <v>544.37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OBJ!B280</f>
        <v>9257893</v>
      </c>
      <c r="BE61" s="23" t="str">
        <f>VLOOKUP(BD61,CENY!$B$11:$G$1034,2,FALSE)</f>
        <v>PUSH TO OPEN SILENT ACTRO YOU / ACTRO 5D 70 KG</v>
      </c>
      <c r="BF61" s="24">
        <f>VLOOKUP(BD61,CENY!$B$11:$G$1034,3,FALSE)</f>
        <v>1</v>
      </c>
      <c r="BG61" s="24"/>
      <c r="BH61" s="25">
        <f>AY39</f>
        <v>0</v>
      </c>
      <c r="BI61" s="451">
        <f t="shared" si="2"/>
        <v>0</v>
      </c>
      <c r="BJ61" s="107">
        <f>VLOOKUP(BD61,CENY!$B$11:$M$2005,12,FALSE)</f>
        <v>544.37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13.07</v>
      </c>
      <c r="BB62" s="107">
        <f t="shared" si="0"/>
        <v>0</v>
      </c>
      <c r="BD62" s="441">
        <f>OBJ!B281</f>
        <v>9236718</v>
      </c>
      <c r="BE62" s="23" t="str">
        <f>VLOOKUP(BD62,CENY!$B$11:$G$1034,2,FALSE)</f>
        <v>PUSH TO OPEN SYNCHRONIZAČNÍ TYČ 2000 MM</v>
      </c>
      <c r="BF62" s="24">
        <f>VLOOKUP(BD62,CENY!$B$11:$G$1034,3,FALSE)</f>
        <v>100</v>
      </c>
      <c r="BG62" s="24"/>
      <c r="BH62" s="25">
        <f>AY40</f>
        <v>0</v>
      </c>
      <c r="BI62" s="451">
        <f t="shared" si="2"/>
        <v>0</v>
      </c>
      <c r="BJ62" s="107">
        <f>VLOOKUP(BD62,CENY!$B$11:$M$2005,12,FALSE)</f>
        <v>144.30000000000001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0"/>
        <v/>
      </c>
      <c r="BD63" s="441"/>
      <c r="BE63" s="23"/>
      <c r="BF63" s="24"/>
      <c r="BG63" s="24"/>
      <c r="BH63" s="25"/>
      <c r="BI63" s="451" t="str">
        <f t="shared" si="2"/>
        <v/>
      </c>
      <c r="BJ63" s="107"/>
      <c r="BK63" s="107" t="str">
        <f t="shared" si="3"/>
        <v/>
      </c>
    </row>
    <row r="64" spans="47:63" ht="14.4" customHeight="1">
      <c r="AU64" s="442">
        <v>9257258</v>
      </c>
      <c r="AV64" s="443" t="str">
        <f>VLOOKUP(AU64,CENY!$B$11:$G$1034,2,FALSE)</f>
        <v>AVANTECH YOU PŘÍCHYTKA ČELA PRO BOK INLAY, K ZALISOVÁNÍ</v>
      </c>
      <c r="AW64" s="24">
        <f>VLOOKUP(AU64,CENY!$B$11:$G$1034,3,FALSE)</f>
        <v>200</v>
      </c>
      <c r="AX64" s="24"/>
      <c r="AY64" s="77">
        <f>IF(FORM!AM8=FORM!AU11,(2*(+SUM(O19:T19)+SUM(O20:AD20)+SUM(W22:AF22)+SUM(O27:T27)+SUM(O28:AD28)+SUM(O30:AD30))),0)</f>
        <v>0</v>
      </c>
      <c r="AZ64" s="451">
        <f t="shared" si="1"/>
        <v>0</v>
      </c>
      <c r="BA64" s="107">
        <f>VLOOKUP(AU64,CENY!$B$11:$M$2005,12,FALSE)</f>
        <v>53.8</v>
      </c>
      <c r="BB64" s="107">
        <f t="shared" si="0"/>
        <v>0</v>
      </c>
      <c r="BD64" s="441">
        <f>OBJ!B294</f>
        <v>9256950</v>
      </c>
      <c r="BE64" s="23" t="str">
        <f>VLOOKUP(BD64,CENY!$B$11:$G$1034,2,FALSE)</f>
        <v>QUADRO YOU 10 KG PLNOVÝSUV 350 MM EB21 SILENT SYSTEM LEVÝ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176.43</v>
      </c>
      <c r="BK64" s="107">
        <f t="shared" si="3"/>
        <v>0</v>
      </c>
    </row>
    <row r="65" spans="47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>
        <f>OBJ!B295</f>
        <v>9256951</v>
      </c>
      <c r="BE65" s="23" t="str">
        <f>VLOOKUP(BD65,CENY!$B$11:$G$1034,2,FALSE)</f>
        <v>QUADRO YOU 10 KG PLNOVÝSUV 350 MM EB21 SILENT SYSTEM PRAVÝ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176.43</v>
      </c>
      <c r="BK65" s="107">
        <f t="shared" si="3"/>
        <v>0</v>
      </c>
    </row>
    <row r="66" spans="47:63" ht="14.4" customHeight="1">
      <c r="AU66" s="441">
        <f>OBJ!B207</f>
        <v>0</v>
      </c>
      <c r="AV66" s="23" t="e">
        <f>VLOOKUP(AU66,CENY!$B$11:$G$1034,2,FALSE)</f>
        <v>#N/A</v>
      </c>
      <c r="AW66" s="24" t="e">
        <f>VLOOKUP(AU66,CENY!$B$11:$G$1034,3,FALSE)</f>
        <v>#N/A</v>
      </c>
      <c r="AX66" s="24"/>
      <c r="AY66" s="77">
        <f>IF(FORM!AM21&lt;&gt;FORM!AW16,(2*(+SUM(O19:T19)+SUM(O20:AD20)+SUM(W22:AF22)+SUM(O27:T27)+SUM(O28:AD28)+SUM(O30:AD30))),0)</f>
        <v>0</v>
      </c>
      <c r="AZ66" s="451">
        <f t="shared" si="1"/>
        <v>0</v>
      </c>
      <c r="BA66" s="449" t="str">
        <f>IF(AU66=0,"",VLOOKUP(AU66,CENY!$B$11:$M$2005,12,FALSE))</f>
        <v/>
      </c>
      <c r="BB66" s="107" t="str">
        <f t="shared" si="0"/>
        <v/>
      </c>
      <c r="BD66" s="441"/>
      <c r="BE66" s="23"/>
      <c r="BF66" s="24"/>
      <c r="BG66" s="24"/>
      <c r="BH66" s="25"/>
      <c r="BI66" s="451" t="str">
        <f t="shared" si="2"/>
        <v/>
      </c>
      <c r="BJ66" s="107"/>
      <c r="BK66" s="107" t="str">
        <f t="shared" si="3"/>
        <v/>
      </c>
    </row>
    <row r="67" spans="47:63" ht="14.4" customHeight="1"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OBJ!B309</f>
        <v>9256860</v>
      </c>
      <c r="BE67" s="23" t="str">
        <f>VLOOKUP(BD67,CENY!$B$11:$G$1034,2,FALSE)</f>
        <v>QUADRO YOU PLNOVÝSUV 350 MM EB21 SILENT SYSTEM LEVÝ</v>
      </c>
      <c r="BF67" s="24">
        <f>VLOOKUP(BD67,CENY!$B$11:$G$1034,3,FALSE)</f>
        <v>20</v>
      </c>
      <c r="BG67" s="24"/>
      <c r="BH67" s="25">
        <f>AY44</f>
        <v>0</v>
      </c>
      <c r="BI67" s="451">
        <f t="shared" si="2"/>
        <v>0</v>
      </c>
      <c r="BJ67" s="107">
        <f>VLOOKUP(BD67,CENY!$B$11:$M$2005,12,FALSE)</f>
        <v>176.43</v>
      </c>
      <c r="BK67" s="107">
        <f t="shared" si="3"/>
        <v>0</v>
      </c>
    </row>
    <row r="68" spans="47:63" ht="14.4" customHeight="1">
      <c r="AU68" s="441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ref="BB68:BB105" si="4">IF(BA68="","",BA68*AY68)</f>
        <v/>
      </c>
      <c r="BD68" s="441">
        <f>OBJ!B310</f>
        <v>9256861</v>
      </c>
      <c r="BE68" s="23" t="str">
        <f>VLOOKUP(BD68,CENY!$B$11:$G$1034,2,FALSE)</f>
        <v>QUADRO YOU PLNOVÝSUV 350 MM EB21 SILENT SYSTEM PRAVÝ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176.43</v>
      </c>
      <c r="BK68" s="107">
        <f t="shared" si="3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ref="AZ69:AZ106" si="5">IF(AY69="","",IF($AW$4=1,AY69,0))</f>
        <v/>
      </c>
      <c r="BA69" s="107"/>
      <c r="BB69" s="107" t="str">
        <f t="shared" si="4"/>
        <v/>
      </c>
      <c r="BD69" s="441">
        <f>OBJ!B311</f>
        <v>9256864</v>
      </c>
      <c r="BE69" s="23" t="str">
        <f>VLOOKUP(BD69,CENY!$B$11:$G$1034,2,FALSE)</f>
        <v>QUADRO YOU PLNOVÝSUV 400 MM EB21 SILENT SYSTEM LEVÝ</v>
      </c>
      <c r="BF69" s="24">
        <f>VLOOKUP(BD69,CENY!$B$11:$G$1034,3,FALSE)</f>
        <v>20</v>
      </c>
      <c r="BG69" s="24"/>
      <c r="BH69" s="25">
        <f>AY45</f>
        <v>0</v>
      </c>
      <c r="BI69" s="451">
        <f t="shared" ref="BI69:BI108" si="6">IF(BH69="","",IF($AW$4=0,BH69,0))</f>
        <v>0</v>
      </c>
      <c r="BJ69" s="107">
        <f>VLOOKUP(BD69,CENY!$B$11:$M$2005,12,FALSE)</f>
        <v>180.17</v>
      </c>
      <c r="BK69" s="107">
        <f t="shared" ref="BK69:BK108" si="7">IF(BJ69="","",BJ69*BH69)</f>
        <v>0</v>
      </c>
    </row>
    <row r="70" spans="47:63" ht="14.4" customHeight="1">
      <c r="AU70" s="441"/>
      <c r="AV70" s="23"/>
      <c r="AW70" s="24"/>
      <c r="AX70" s="24"/>
      <c r="AY70" s="25"/>
      <c r="AZ70" s="451" t="str">
        <f t="shared" si="5"/>
        <v/>
      </c>
      <c r="BA70" s="107"/>
      <c r="BB70" s="107" t="str">
        <f t="shared" si="4"/>
        <v/>
      </c>
      <c r="BD70" s="441">
        <f>OBJ!B312</f>
        <v>9256865</v>
      </c>
      <c r="BE70" s="23" t="str">
        <f>VLOOKUP(BD70,CENY!$B$11:$G$1034,2,FALSE)</f>
        <v>QUADRO YOU PLNOVÝSUV 400 MM EB21 SILENT SYSTEM PRAVÝ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si="6"/>
        <v>0</v>
      </c>
      <c r="BJ70" s="107">
        <f>VLOOKUP(BD70,CENY!$B$11:$M$2005,12,FALSE)</f>
        <v>180.17</v>
      </c>
      <c r="BK70" s="107">
        <f t="shared" si="7"/>
        <v>0</v>
      </c>
    </row>
    <row r="71" spans="47:63" ht="14.4" customHeight="1"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OBJ!B313</f>
        <v>9256868</v>
      </c>
      <c r="BE71" s="23" t="str">
        <f>VLOOKUP(BD71,CENY!$B$11:$G$1034,2,FALSE)</f>
        <v>QUADRO YOU PLNOVÝSUV 450 MM EB21 SILENT SYSTEM LEVÝ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183.9</v>
      </c>
      <c r="BK71" s="107">
        <f t="shared" si="7"/>
        <v>0</v>
      </c>
    </row>
    <row r="72" spans="47:63" ht="14.4" customHeight="1"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OBJ!B314</f>
        <v>9256869</v>
      </c>
      <c r="BE72" s="23" t="str">
        <f>VLOOKUP(BD72,CENY!$B$11:$G$1034,2,FALSE)</f>
        <v>QUADRO YOU PLNOVÝSUV 450 MM EB21 SILENT SYSTEM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183.9</v>
      </c>
      <c r="BK72" s="107">
        <f t="shared" si="7"/>
        <v>0</v>
      </c>
    </row>
    <row r="73" spans="47:63" ht="14.4" customHeight="1"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OBJ!B315</f>
        <v>9256872</v>
      </c>
      <c r="BE73" s="23" t="str">
        <f>VLOOKUP(BD73,CENY!$B$11:$G$1034,2,FALSE)</f>
        <v>QUADRO YOU PLNOVÝSUV 500 MM EB21 SILENT SYSTEM LEVÝ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187.64</v>
      </c>
      <c r="BK73" s="107">
        <f t="shared" si="7"/>
        <v>0</v>
      </c>
    </row>
    <row r="74" spans="47:63" ht="14.4" customHeight="1"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OBJ!B316</f>
        <v>9256873</v>
      </c>
      <c r="BE74" s="23" t="str">
        <f>VLOOKUP(BD74,CENY!$B$11:$G$1034,2,FALSE)</f>
        <v>QUADRO YOU PLNOVÝSUV 500 MM EB21 SILENT SYSTEM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187.64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OBJ!B317</f>
        <v>9256876</v>
      </c>
      <c r="BE75" s="23" t="str">
        <f>VLOOKUP(BD75,CENY!$B$11:$G$1034,2,FALSE)</f>
        <v>QUADRO YOU PLNOVÝSUV 550 MM EB21 SILENT SYSTEM LEVÝ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194.36</v>
      </c>
      <c r="BK75" s="107">
        <f t="shared" si="7"/>
        <v>0</v>
      </c>
    </row>
    <row r="76" spans="47:63" ht="14.4" customHeight="1"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OBJ!B318</f>
        <v>9256877</v>
      </c>
      <c r="BE76" s="23" t="str">
        <f>VLOOKUP(BD76,CENY!$B$11:$G$1034,2,FALSE)</f>
        <v>QUADRO YOU PLNOVÝSUV 550 MM EB21 SILENT SYSTEM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194.36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OBJ!B319</f>
        <v>9256880</v>
      </c>
      <c r="BE77" s="23" t="str">
        <f>VLOOKUP(BD77,CENY!$B$11:$G$1034,2,FALSE)</f>
        <v>QUADRO YOU PLNOVÝSUV 600 MM EB21 SILENT SYSTEM LEVÝ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198.1</v>
      </c>
      <c r="BK77" s="107">
        <f t="shared" si="7"/>
        <v>0</v>
      </c>
    </row>
    <row r="78" spans="47:63" ht="14.4" customHeight="1"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OBJ!B320</f>
        <v>9256881</v>
      </c>
      <c r="BE78" s="23" t="str">
        <f>VLOOKUP(BD78,CENY!$B$11:$G$1034,2,FALSE)</f>
        <v>QUADRO YOU PLNOVÝSUV 600 MM EB21 SILENT SYSTEM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198.1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/>
      <c r="BE79" s="23"/>
      <c r="BF79" s="24"/>
      <c r="BG79" s="24"/>
      <c r="BH79" s="25"/>
      <c r="BI79" s="451" t="str">
        <f t="shared" si="6"/>
        <v/>
      </c>
      <c r="BJ79" s="107"/>
      <c r="BK79" s="107" t="str">
        <f t="shared" si="7"/>
        <v/>
      </c>
    </row>
    <row r="80" spans="47:63" ht="14.4" customHeight="1"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OBJ!B322</f>
        <v>9257894</v>
      </c>
      <c r="BE80" s="23" t="str">
        <f>VLOOKUP(BD80,CENY!$B$11:$G$1034,2,FALSE)</f>
        <v>PUSH TO OPEN SILENT QUADRO YOU 10 KG</v>
      </c>
      <c r="BF80" s="24">
        <f>VLOOKUP(BD80,CENY!$B$11:$G$1034,3,FALSE)</f>
        <v>1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544.37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OBJ!B323</f>
        <v>9257895</v>
      </c>
      <c r="BE81" s="23" t="str">
        <f>VLOOKUP(BD81,CENY!$B$11:$G$1034,2,FALSE)</f>
        <v>PUSH TO OPEN SILENT QUADRO YOU 20 KG</v>
      </c>
      <c r="BF81" s="24">
        <f>VLOOKUP(BD81,CENY!$B$11:$G$1034,3,FALSE)</f>
        <v>1</v>
      </c>
      <c r="BG81" s="24"/>
      <c r="BH81" s="25">
        <f>AY52</f>
        <v>0</v>
      </c>
      <c r="BI81" s="451">
        <f t="shared" si="6"/>
        <v>0</v>
      </c>
      <c r="BJ81" s="107">
        <f>VLOOKUP(BD81,CENY!$B$11:$M$2005,12,FALSE)</f>
        <v>544.37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OBJ!B324</f>
        <v>9257896</v>
      </c>
      <c r="BE82" s="23" t="str">
        <f>VLOOKUP(BD82,CENY!$B$11:$G$1034,2,FALSE)</f>
        <v>PUSH TO OPEN SILENT QUADRO YOU 30 KG</v>
      </c>
      <c r="BF82" s="24">
        <f>VLOOKUP(BD82,CENY!$B$11:$G$1034,3,FALSE)</f>
        <v>1</v>
      </c>
      <c r="BG82" s="24"/>
      <c r="BH82" s="25">
        <f>AY53</f>
        <v>0</v>
      </c>
      <c r="BI82" s="451">
        <f t="shared" si="6"/>
        <v>0</v>
      </c>
      <c r="BJ82" s="107">
        <f>VLOOKUP(BD82,CENY!$B$11:$M$2005,12,FALSE)</f>
        <v>544.37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47:63" ht="14.4" customHeight="1">
      <c r="AU84" s="22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>
        <f>OBJ!B338</f>
        <v>9256905</v>
      </c>
      <c r="BE84" s="23" t="str">
        <f>VLOOKUP(BD84,CENY!$B$11:$G$1034,2,FALSE)</f>
        <v>QUADRO YOU PLNOVÝSUV 350 MM EB21 PUSH TO OPEN LEVÝ</v>
      </c>
      <c r="BF84" s="24">
        <f>VLOOKUP(BD84,CENY!$B$11:$G$1034,3,FALSE)</f>
        <v>20</v>
      </c>
      <c r="BG84" s="24"/>
      <c r="BH84" s="25">
        <f>AY55</f>
        <v>0</v>
      </c>
      <c r="BI84" s="451">
        <f t="shared" si="6"/>
        <v>0</v>
      </c>
      <c r="BJ84" s="107">
        <f>VLOOKUP(BD84,CENY!$B$11:$M$2005,12,FALSE)</f>
        <v>198.85</v>
      </c>
      <c r="BK84" s="107">
        <f t="shared" si="7"/>
        <v>0</v>
      </c>
    </row>
    <row r="85" spans="47:63" ht="14.4" customHeight="1">
      <c r="AU85" s="22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OBJ!B339</f>
        <v>9256906</v>
      </c>
      <c r="BE85" s="23" t="str">
        <f>VLOOKUP(BD85,CENY!$B$11:$G$1034,2,FALSE)</f>
        <v>QUADRO YOU PLNOVÝSUV 350 MM EB21 PUSH TO OPEN PRAVÝ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6"/>
        <v>0</v>
      </c>
      <c r="BJ85" s="107">
        <f>VLOOKUP(BD85,CENY!$B$11:$M$2005,12,FALSE)</f>
        <v>198.85</v>
      </c>
      <c r="BK85" s="107">
        <f t="shared" si="7"/>
        <v>0</v>
      </c>
    </row>
    <row r="86" spans="47:63" ht="14.4" customHeight="1">
      <c r="AU86" s="22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OBJ!B340</f>
        <v>9256909</v>
      </c>
      <c r="BE86" s="23" t="str">
        <f>VLOOKUP(BD86,CENY!$B$11:$G$1034,2,FALSE)</f>
        <v>QUADRO YOU PLNOVÝSUV 400 MM EB21 PUSH TO OPEN LEVÝ</v>
      </c>
      <c r="BF86" s="24">
        <f>VLOOKUP(BD86,CENY!$B$11:$G$1034,3,FALSE)</f>
        <v>20</v>
      </c>
      <c r="BG86" s="24"/>
      <c r="BH86" s="25">
        <f>AY56</f>
        <v>0</v>
      </c>
      <c r="BI86" s="451">
        <f t="shared" si="6"/>
        <v>0</v>
      </c>
      <c r="BJ86" s="107">
        <f>VLOOKUP(BD86,CENY!$B$11:$M$2005,12,FALSE)</f>
        <v>202.58</v>
      </c>
      <c r="BK86" s="107">
        <f t="shared" si="7"/>
        <v>0</v>
      </c>
    </row>
    <row r="87" spans="47:63" ht="14.4" customHeight="1">
      <c r="AU87" s="22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OBJ!B341</f>
        <v>9256910</v>
      </c>
      <c r="BE87" s="23" t="str">
        <f>VLOOKUP(BD87,CENY!$B$11:$G$1034,2,FALSE)</f>
        <v>QUADRO YOU PLNOVÝSUV 400 MM EB21 PUSH TO OPEN PRAVÝ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6"/>
        <v>0</v>
      </c>
      <c r="BJ87" s="107">
        <f>VLOOKUP(BD87,CENY!$B$11:$M$2005,12,FALSE)</f>
        <v>202.58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OBJ!B342</f>
        <v>9256913</v>
      </c>
      <c r="BE88" s="23" t="str">
        <f>VLOOKUP(BD88,CENY!$B$11:$G$1034,2,FALSE)</f>
        <v>QUADRO YOU PLNOVÝSUV 450 MM EB21 PUSH TO OPEN LEVÝ</v>
      </c>
      <c r="BF88" s="24">
        <f>VLOOKUP(BD88,CENY!$B$11:$G$1034,3,FALSE)</f>
        <v>20</v>
      </c>
      <c r="BG88" s="24"/>
      <c r="BH88" s="25">
        <f>AY57</f>
        <v>0</v>
      </c>
      <c r="BI88" s="451">
        <f t="shared" si="6"/>
        <v>0</v>
      </c>
      <c r="BJ88" s="107">
        <f>VLOOKUP(BD88,CENY!$B$11:$M$2005,12,FALSE)</f>
        <v>206.32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>
        <f>OBJ!B343</f>
        <v>9256914</v>
      </c>
      <c r="BE89" s="23" t="str">
        <f>VLOOKUP(BD89,CENY!$B$11:$G$1034,2,FALSE)</f>
        <v>QUADRO YOU PLNOVÝSUV 450 MM EB21 PUSH TO OPEN PRAVÝ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6"/>
        <v>0</v>
      </c>
      <c r="BJ89" s="107">
        <f>VLOOKUP(BD89,CENY!$B$11:$M$2005,12,FALSE)</f>
        <v>206.32</v>
      </c>
      <c r="BK89" s="107">
        <f t="shared" si="7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OBJ!B344</f>
        <v>9256917</v>
      </c>
      <c r="BE90" s="23" t="str">
        <f>VLOOKUP(BD90,CENY!$B$11:$G$1034,2,FALSE)</f>
        <v>QUADRO YOU PLNOVÝSUV 500 MM EB21 PUSH TO OPEN LEVÝ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210.06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OBJ!B345</f>
        <v>9256918</v>
      </c>
      <c r="BE91" s="23" t="str">
        <f>VLOOKUP(BD91,CENY!$B$11:$G$1034,2,FALSE)</f>
        <v>QUADRO YOU PLNOVÝSUV 500 MM EB21 PUSH TO OPEN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210.06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OBJ!B346</f>
        <v>9256921</v>
      </c>
      <c r="BE92" s="23" t="str">
        <f>VLOOKUP(BD92,CENY!$B$11:$G$1034,2,FALSE)</f>
        <v>QUADRO YOU PLNOVÝSUV 550 MM EB21 PUSH TO OPEN LEVÝ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216.78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OBJ!B347</f>
        <v>9256922</v>
      </c>
      <c r="BE93" s="23" t="str">
        <f>VLOOKUP(BD93,CENY!$B$11:$G$1034,2,FALSE)</f>
        <v>QUADRO YOU PLNOVÝSUV 550 MM EB21 PUSH TO OPEN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216.78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OBJ!B348</f>
        <v>9256925</v>
      </c>
      <c r="BE94" s="23" t="str">
        <f>VLOOKUP(BD94,CENY!$B$11:$G$1034,2,FALSE)</f>
        <v>QUADRO YOU PLNOVÝSUV 600 MM EB21 PUSH TO OPEN LEVÝ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223.51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OBJ!B349</f>
        <v>9256926</v>
      </c>
      <c r="BE95" s="23" t="str">
        <f>VLOOKUP(BD95,CENY!$B$11:$G$1034,2,FALSE)</f>
        <v>QUADRO YOU PLNOVÝSUV 600 MM EB21 PUSH TO OPEN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223.51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/>
      <c r="BE96" s="23"/>
      <c r="BF96" s="24"/>
      <c r="BG96" s="24"/>
      <c r="BH96" s="25"/>
      <c r="BI96" s="451" t="str">
        <f t="shared" si="6"/>
        <v/>
      </c>
      <c r="BJ96" s="107"/>
      <c r="BK96" s="107" t="str">
        <f t="shared" si="7"/>
        <v/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OBJ!B351</f>
        <v>9219966</v>
      </c>
      <c r="BE97" s="23" t="str">
        <f>VLOOKUP(BD97,CENY!$B$11:$G$1034,2,FALSE)</f>
        <v>PUSH TO OPEN SYNCHRO ADAPTÉR TYP A</v>
      </c>
      <c r="BF97" s="24">
        <f>VLOOKUP(BD97,CENY!$B$11:$G$1034,3,FALSE)</f>
        <v>200</v>
      </c>
      <c r="BG97" s="24"/>
      <c r="BH97" s="25">
        <f>AY62</f>
        <v>0</v>
      </c>
      <c r="BI97" s="451">
        <f t="shared" si="6"/>
        <v>0</v>
      </c>
      <c r="BJ97" s="107">
        <f>VLOOKUP(BD97,CENY!$B$11:$M$2005,12,FALSE)</f>
        <v>13.07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/>
      <c r="BE98" s="23"/>
      <c r="BF98" s="24"/>
      <c r="BG98" s="24"/>
      <c r="BH98" s="25"/>
      <c r="BI98" s="451" t="str">
        <f t="shared" si="6"/>
        <v/>
      </c>
      <c r="BJ98" s="107"/>
      <c r="BK98" s="107" t="str">
        <f t="shared" si="7"/>
        <v/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OBJ!B207</f>
        <v>0</v>
      </c>
      <c r="BE99" s="23" t="e">
        <f>VLOOKUP(BD99,CENY!$B$11:$G$1034,2,FALSE)</f>
        <v>#N/A</v>
      </c>
      <c r="BF99" s="24" t="e">
        <f>VLOOKUP(BD99,CENY!$B$11:$G$1034,3,FALSE)</f>
        <v>#N/A</v>
      </c>
      <c r="BG99" s="24"/>
      <c r="BH99" s="25">
        <f>AY66</f>
        <v>0</v>
      </c>
      <c r="BI99" s="451">
        <f t="shared" si="6"/>
        <v>0</v>
      </c>
      <c r="BJ99" s="449" t="str">
        <f>IF(BD99=0,"",VLOOKUP(BD99,CENY!$B$11:$M$2005,12,FALSE))</f>
        <v/>
      </c>
      <c r="BK99" s="107" t="str">
        <f t="shared" si="7"/>
        <v/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/>
      <c r="BE100" s="23"/>
      <c r="BF100" s="24"/>
      <c r="BG100" s="24"/>
      <c r="BH100" s="25"/>
      <c r="BI100" s="451" t="str">
        <f t="shared" si="6"/>
        <v/>
      </c>
      <c r="BJ100" s="107"/>
      <c r="BK100" s="107" t="str">
        <f t="shared" si="7"/>
        <v/>
      </c>
    </row>
    <row r="101" spans="47:63">
      <c r="AU101" s="441">
        <f>OBJ!B354</f>
        <v>45167</v>
      </c>
      <c r="AV101" s="23" t="str">
        <f>VLOOKUP(AU101,CENY!$B$11:$G$1034,2,FALSE)</f>
        <v>VRUT PANHEAD 35X12</v>
      </c>
      <c r="AW101" s="24">
        <f>VLOOKUP(AU101,CENY!$B$11:$G$1034,3,FALSE)</f>
        <v>200</v>
      </c>
      <c r="AX101" s="24"/>
      <c r="AY101" s="25">
        <f>SUMPRODUCT(AX5:AX11,AY5:AY11)</f>
        <v>0</v>
      </c>
      <c r="AZ101" s="451">
        <f t="shared" si="5"/>
        <v>0</v>
      </c>
      <c r="BA101" s="107">
        <f>VLOOKUP(AU101,CENY!$B$11:$M$2005,12,FALSE)</f>
        <v>0.54</v>
      </c>
      <c r="BB101" s="107">
        <f t="shared" si="4"/>
        <v>0</v>
      </c>
      <c r="BC101" s="97" t="s">
        <v>506</v>
      </c>
      <c r="BD101" s="441">
        <f>OBJ!B354</f>
        <v>45167</v>
      </c>
      <c r="BE101" s="23" t="str">
        <f>VLOOKUP(BD101,CENY!$B$11:$G$1034,2,FALSE)</f>
        <v>VRUT PANHEAD 35X12</v>
      </c>
      <c r="BF101" s="24">
        <f>VLOOKUP(BD101,CENY!$B$11:$G$1034,3,FALSE)</f>
        <v>200</v>
      </c>
      <c r="BG101" s="24"/>
      <c r="BH101" s="25">
        <f>AY101+BH21*2</f>
        <v>0</v>
      </c>
      <c r="BI101" s="451">
        <f>IF(BH101="","",IF($AW$4=0,BH101,0))</f>
        <v>0</v>
      </c>
      <c r="BJ101" s="107">
        <f>VLOOKUP(BD101,CENY!$B$11:$M$2005,12,FALSE)</f>
        <v>0.54</v>
      </c>
      <c r="BK101" s="107">
        <f>IF(BJ101="","",BJ101*BH101)</f>
        <v>0</v>
      </c>
    </row>
    <row r="102" spans="47:63">
      <c r="AU102" s="441">
        <f>OBJ!B355</f>
        <v>45168</v>
      </c>
      <c r="AV102" s="23" t="str">
        <f>VLOOKUP(AU102,CENY!$B$11:$G$1034,2,FALSE)</f>
        <v>VRUT PANHEAD 35X20</v>
      </c>
      <c r="AW102" s="24">
        <f>VLOOKUP(AU102,CENY!$B$11:$G$1034,3,FALSE)</f>
        <v>200</v>
      </c>
      <c r="AX102" s="24"/>
      <c r="AY102" s="497">
        <v>0</v>
      </c>
      <c r="AZ102" s="451">
        <f t="shared" si="5"/>
        <v>0</v>
      </c>
      <c r="BA102" s="107">
        <f>VLOOKUP(AU102,CENY!$B$11:$M$2005,12,FALSE)</f>
        <v>0.78</v>
      </c>
      <c r="BB102" s="107">
        <f t="shared" si="4"/>
        <v>0</v>
      </c>
      <c r="BC102" s="97" t="s">
        <v>507</v>
      </c>
      <c r="BD102" s="441">
        <f>OBJ!B355</f>
        <v>45168</v>
      </c>
      <c r="BE102" s="23" t="str">
        <f>VLOOKUP(BD102,CENY!$B$11:$G$1034,2,FALSE)</f>
        <v>VRUT PANHEAD 35X20</v>
      </c>
      <c r="BF102" s="24">
        <f>VLOOKUP(BD102,CENY!$B$11:$G$1034,3,FALSE)</f>
        <v>200</v>
      </c>
      <c r="BG102" s="24"/>
      <c r="BH102" s="497">
        <f>IF(FORM!$AM$8=FORM!$AU$10,BH20*3,0)</f>
        <v>0</v>
      </c>
      <c r="BI102" s="451">
        <f>IF(BH102="","",IF($AW$4=0,BH102,0))</f>
        <v>0</v>
      </c>
      <c r="BJ102" s="107">
        <f>VLOOKUP(BD102,CENY!$B$11:$M$2005,12,FALSE)</f>
        <v>0.78</v>
      </c>
      <c r="BK102" s="107">
        <f>IF(BJ102="","",BJ102*BH102)</f>
        <v>0</v>
      </c>
    </row>
    <row r="103" spans="47:63">
      <c r="AU103" s="441">
        <f>OBJ!B356</f>
        <v>9278224</v>
      </c>
      <c r="AV103" s="23" t="str">
        <f>VLOOKUP(AU103,CENY!$B$11:$G$1034,2,FALSE)</f>
        <v>AVANTECH YOU VRUT 3,5X30 PANHEAD POZINK.</v>
      </c>
      <c r="AW103" s="24">
        <f>VLOOKUP(AU103,CENY!$B$11:$G$1034,3,FALSE)</f>
        <v>200</v>
      </c>
      <c r="AX103" s="24"/>
      <c r="AY103" s="497">
        <v>0</v>
      </c>
      <c r="AZ103" s="451">
        <f t="shared" si="5"/>
        <v>0</v>
      </c>
      <c r="BA103" s="107">
        <f>VLOOKUP(AU103,CENY!$B$11:$M$2005,12,FALSE)</f>
        <v>0.73</v>
      </c>
      <c r="BB103" s="107">
        <f t="shared" si="4"/>
        <v>0</v>
      </c>
      <c r="BC103" s="97" t="s">
        <v>508</v>
      </c>
      <c r="BD103" s="441">
        <f>OBJ!B356</f>
        <v>9278224</v>
      </c>
      <c r="BE103" s="23" t="str">
        <f>VLOOKUP(BD103,CENY!$B$11:$G$1034,2,FALSE)</f>
        <v>AVANTECH YOU VRUT 3,5X30 PANHEAD POZINK.</v>
      </c>
      <c r="BF103" s="24">
        <f>VLOOKUP(BD103,CENY!$B$11:$G$1034,3,FALSE)</f>
        <v>200</v>
      </c>
      <c r="BG103" s="24"/>
      <c r="BH103" s="497">
        <f>2*SUM(BH5:BH18)</f>
        <v>0</v>
      </c>
      <c r="BI103" s="451">
        <f>IF(BH103="","",IF($AW$4=0,BH103,0))</f>
        <v>0</v>
      </c>
      <c r="BJ103" s="107">
        <f>VLOOKUP(BD103,CENY!$B$11:$M$2005,12,FALSE)</f>
        <v>0.73</v>
      </c>
      <c r="BK103" s="107">
        <f>IF(BJ103="","",BJ103*BH103)</f>
        <v>0</v>
      </c>
    </row>
    <row r="104" spans="47:63">
      <c r="AU104" s="441">
        <f>OBJ!B357</f>
        <v>9279197</v>
      </c>
      <c r="AV104" s="23" t="str">
        <f>VLOOKUP(AU104,CENY!$B$11:$G$1034,2,FALSE)</f>
        <v>SAMOŘEZNÝ ŠROUB 3,5X12 PANHEAD POZINK.</v>
      </c>
      <c r="AW104" s="24">
        <f>VLOOKUP(AU104,CENY!$B$11:$G$1034,3,FALSE)</f>
        <v>1000</v>
      </c>
      <c r="AX104" s="24"/>
      <c r="AY104" s="77">
        <v>0</v>
      </c>
      <c r="AZ104" s="451">
        <f t="shared" si="5"/>
        <v>0</v>
      </c>
      <c r="BA104" s="107">
        <f>VLOOKUP(AU104,CENY!$B$11:$M$2005,12,FALSE)</f>
        <v>1.51</v>
      </c>
      <c r="BB104" s="107">
        <f t="shared" si="4"/>
        <v>0</v>
      </c>
      <c r="BC104" s="97" t="s">
        <v>509</v>
      </c>
      <c r="BD104" s="441">
        <f>OBJ!B357</f>
        <v>9279197</v>
      </c>
      <c r="BE104" s="23" t="str">
        <f>VLOOKUP(BD104,CENY!$B$11:$G$1034,2,FALSE)</f>
        <v>SAMOŘEZNÝ ŠROUB 3,5X12 PANHEAD POZINK.</v>
      </c>
      <c r="BF104" s="24">
        <f>VLOOKUP(BD104,CENY!$B$11:$G$1034,3,FALSE)</f>
        <v>1000</v>
      </c>
      <c r="BG104" s="24"/>
      <c r="BH104" s="77">
        <f>AY104</f>
        <v>0</v>
      </c>
      <c r="BI104" s="451">
        <f>IF(BH104="","",IF($AW$4=0,BH104,0))</f>
        <v>0</v>
      </c>
      <c r="BJ104" s="107">
        <f>VLOOKUP(BD104,CENY!$B$11:$M$2005,12,FALSE)</f>
        <v>1.51</v>
      </c>
      <c r="BK104" s="107">
        <f>IF(BJ104="","",BJ104*BH104)</f>
        <v>0</v>
      </c>
    </row>
    <row r="105" spans="47:63">
      <c r="AU105" s="441">
        <f>OBJ!B358</f>
        <v>9137114</v>
      </c>
      <c r="AV105" s="23" t="str">
        <f>VLOOKUP(AU105,CENY!$B$11:$G$1034,2,FALSE)</f>
        <v>EUROŠROUB DBS 60 X 14</v>
      </c>
      <c r="AW105" s="24">
        <f>VLOOKUP(AU105,CENY!$B$11:$G$1034,3,FALSE)</f>
        <v>200</v>
      </c>
      <c r="AX105" s="24"/>
      <c r="AY105" s="25">
        <f>SUMPRODUCT(AX21:AX60,AY21:AY60)</f>
        <v>0</v>
      </c>
      <c r="AZ105" s="451">
        <f t="shared" si="5"/>
        <v>0</v>
      </c>
      <c r="BA105" s="107">
        <f>VLOOKUP(AU105,CENY!$B$11:$M$2005,12,FALSE)</f>
        <v>1.2</v>
      </c>
      <c r="BB105" s="107">
        <f t="shared" si="4"/>
        <v>0</v>
      </c>
      <c r="BC105" s="97" t="s">
        <v>510</v>
      </c>
      <c r="BD105" s="441">
        <f>OBJ!B358</f>
        <v>9137114</v>
      </c>
      <c r="BE105" s="23" t="str">
        <f>VLOOKUP(BD105,CENY!$B$11:$G$1034,2,FALSE)</f>
        <v>EUROŠROUB DBS 60 X 14</v>
      </c>
      <c r="BF105" s="24">
        <f>VLOOKUP(BD105,CENY!$B$11:$G$1034,3,FALSE)</f>
        <v>200</v>
      </c>
      <c r="BG105" s="24"/>
      <c r="BH105" s="25">
        <f>AY105</f>
        <v>0</v>
      </c>
      <c r="BI105" s="451">
        <f>IF(BH105="","",IF($AW$4=0,BH105,0))</f>
        <v>0</v>
      </c>
      <c r="BJ105" s="107">
        <f>VLOOKUP(BD105,CENY!$B$11:$M$2005,12,FALSE)</f>
        <v>1.2</v>
      </c>
      <c r="BK105" s="107">
        <f>IF(BJ105="","",BJ105*BH105)</f>
        <v>0</v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>IF(BA106="","",BA106*AY106)</f>
        <v/>
      </c>
      <c r="BD106" s="441"/>
      <c r="BE106" s="23"/>
      <c r="BF106" s="24"/>
      <c r="BG106" s="24"/>
      <c r="BH106" s="25"/>
      <c r="BI106" s="451" t="str">
        <f t="shared" si="6"/>
        <v/>
      </c>
      <c r="BJ106" s="107"/>
      <c r="BK106" s="107" t="str">
        <f t="shared" si="7"/>
        <v/>
      </c>
    </row>
    <row r="107" spans="47:63">
      <c r="BD107" s="441"/>
      <c r="BE107" s="23"/>
      <c r="BF107" s="24"/>
      <c r="BG107" s="24"/>
      <c r="BH107" s="25"/>
      <c r="BI107" s="451" t="str">
        <f t="shared" si="6"/>
        <v/>
      </c>
      <c r="BJ107" s="107"/>
      <c r="BK107" s="107" t="str">
        <f t="shared" si="7"/>
        <v/>
      </c>
    </row>
    <row r="108" spans="47:63">
      <c r="BD108" s="441"/>
      <c r="BE108" s="23"/>
      <c r="BF108" s="24"/>
      <c r="BG108" s="24"/>
      <c r="BH108" s="25"/>
      <c r="BI108" s="451" t="str">
        <f t="shared" si="6"/>
        <v/>
      </c>
      <c r="BJ108" s="107"/>
      <c r="BK108" s="107" t="str">
        <f t="shared" si="7"/>
        <v/>
      </c>
    </row>
  </sheetData>
  <sheetProtection password="DD97" sheet="1"/>
  <mergeCells count="10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B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AN29:AO29"/>
    <mergeCell ref="B30:G30"/>
    <mergeCell ref="H30:L30"/>
    <mergeCell ref="M30:N30"/>
    <mergeCell ref="S30:T30"/>
    <mergeCell ref="U30:V30"/>
    <mergeCell ref="W30:X30"/>
    <mergeCell ref="Y30:Z30"/>
    <mergeCell ref="AA30:AB30"/>
    <mergeCell ref="AC30:AD30"/>
  </mergeCells>
  <conditionalFormatting sqref="AY24:AY29 AY37:AY40 BH35:BH40 BH42:BH47 BH72:BH77 AY31:AY35 BH49:BH57 AY15:AY22 AY54:AY57 BH30:BH33 BH63:BH70 BH79:BH92 BH5:BH22 AY5:AY13 BI6:BI100 AZ6:AZ100 AZ106">
    <cfRule type="cellIs" dxfId="509" priority="59" stopIfTrue="1" operator="equal">
      <formula>0</formula>
    </cfRule>
  </conditionalFormatting>
  <conditionalFormatting sqref="AY50:AY53 AY63 AY42:AY43 AY47 AY65 AY45">
    <cfRule type="cellIs" dxfId="508" priority="57" stopIfTrue="1" operator="equal">
      <formula>0</formula>
    </cfRule>
  </conditionalFormatting>
  <conditionalFormatting sqref="O17:AF17 S19:T19 S20:AD20 W22:AD22 S27:T27 S28:AD28 S30:AD30">
    <cfRule type="expression" dxfId="507" priority="58" stopIfTrue="1">
      <formula>$AW$4=0</formula>
    </cfRule>
  </conditionalFormatting>
  <conditionalFormatting sqref="AY72 AY78:AY79">
    <cfRule type="cellIs" dxfId="506" priority="56" stopIfTrue="1" operator="equal">
      <formula>0</formula>
    </cfRule>
  </conditionalFormatting>
  <conditionalFormatting sqref="AY80">
    <cfRule type="cellIs" dxfId="505" priority="55" stopIfTrue="1" operator="equal">
      <formula>0</formula>
    </cfRule>
  </conditionalFormatting>
  <conditionalFormatting sqref="AY84:AY93">
    <cfRule type="cellIs" dxfId="504" priority="54" stopIfTrue="1" operator="equal">
      <formula>0</formula>
    </cfRule>
  </conditionalFormatting>
  <conditionalFormatting sqref="AY48:AY49">
    <cfRule type="cellIs" dxfId="503" priority="53" stopIfTrue="1" operator="equal">
      <formula>0</formula>
    </cfRule>
  </conditionalFormatting>
  <conditionalFormatting sqref="AY59">
    <cfRule type="cellIs" dxfId="502" priority="52" stopIfTrue="1" operator="equal">
      <formula>0</formula>
    </cfRule>
  </conditionalFormatting>
  <conditionalFormatting sqref="AY67:AY69">
    <cfRule type="cellIs" dxfId="501" priority="51" stopIfTrue="1" operator="equal">
      <formula>0</formula>
    </cfRule>
  </conditionalFormatting>
  <conditionalFormatting sqref="AY70">
    <cfRule type="cellIs" dxfId="500" priority="50" stopIfTrue="1" operator="equal">
      <formula>0</formula>
    </cfRule>
  </conditionalFormatting>
  <conditionalFormatting sqref="AY71">
    <cfRule type="cellIs" dxfId="499" priority="49" stopIfTrue="1" operator="equal">
      <formula>0</formula>
    </cfRule>
  </conditionalFormatting>
  <conditionalFormatting sqref="AY81:AY83">
    <cfRule type="cellIs" dxfId="498" priority="48" stopIfTrue="1" operator="equal">
      <formula>0</formula>
    </cfRule>
  </conditionalFormatting>
  <conditionalFormatting sqref="BH94:BH96 BH98">
    <cfRule type="cellIs" dxfId="497" priority="47" stopIfTrue="1" operator="equal">
      <formula>0</formula>
    </cfRule>
  </conditionalFormatting>
  <conditionalFormatting sqref="AY94:AY100 AY106">
    <cfRule type="cellIs" dxfId="496" priority="45" stopIfTrue="1" operator="equal">
      <formula>0</formula>
    </cfRule>
  </conditionalFormatting>
  <conditionalFormatting sqref="AY60:AY61">
    <cfRule type="cellIs" dxfId="495" priority="44" stopIfTrue="1" operator="equal">
      <formula>0</formula>
    </cfRule>
  </conditionalFormatting>
  <conditionalFormatting sqref="BH99:BH100">
    <cfRule type="cellIs" dxfId="494" priority="43" stopIfTrue="1" operator="equal">
      <formula>0</formula>
    </cfRule>
  </conditionalFormatting>
  <conditionalFormatting sqref="AY14">
    <cfRule type="cellIs" dxfId="493" priority="42" stopIfTrue="1" operator="equal">
      <formula>0</formula>
    </cfRule>
  </conditionalFormatting>
  <conditionalFormatting sqref="AY23">
    <cfRule type="cellIs" dxfId="492" priority="41" stopIfTrue="1" operator="equal">
      <formula>0</formula>
    </cfRule>
  </conditionalFormatting>
  <conditionalFormatting sqref="AY36">
    <cfRule type="cellIs" dxfId="491" priority="40" stopIfTrue="1" operator="equal">
      <formula>0</formula>
    </cfRule>
  </conditionalFormatting>
  <conditionalFormatting sqref="AY41">
    <cfRule type="cellIs" dxfId="490" priority="39" stopIfTrue="1" operator="equal">
      <formula>0</formula>
    </cfRule>
  </conditionalFormatting>
  <conditionalFormatting sqref="AY46">
    <cfRule type="cellIs" dxfId="489" priority="38" stopIfTrue="1" operator="equal">
      <formula>0</formula>
    </cfRule>
  </conditionalFormatting>
  <conditionalFormatting sqref="AY58">
    <cfRule type="cellIs" dxfId="488" priority="37" stopIfTrue="1" operator="equal">
      <formula>0</formula>
    </cfRule>
  </conditionalFormatting>
  <conditionalFormatting sqref="AY62">
    <cfRule type="cellIs" dxfId="487" priority="36" stopIfTrue="1" operator="equal">
      <formula>0</formula>
    </cfRule>
  </conditionalFormatting>
  <conditionalFormatting sqref="AY64">
    <cfRule type="cellIs" dxfId="486" priority="35" stopIfTrue="1" operator="equal">
      <formula>0</formula>
    </cfRule>
  </conditionalFormatting>
  <conditionalFormatting sqref="AY66">
    <cfRule type="cellIs" dxfId="485" priority="34" stopIfTrue="1" operator="equal">
      <formula>0</formula>
    </cfRule>
  </conditionalFormatting>
  <conditionalFormatting sqref="AY73:AY77">
    <cfRule type="cellIs" dxfId="484" priority="33" stopIfTrue="1" operator="equal">
      <formula>0</formula>
    </cfRule>
  </conditionalFormatting>
  <conditionalFormatting sqref="F13:K13">
    <cfRule type="expression" dxfId="483" priority="32" stopIfTrue="1">
      <formula>$AW$4=1</formula>
    </cfRule>
  </conditionalFormatting>
  <conditionalFormatting sqref="BH23:BH26">
    <cfRule type="cellIs" dxfId="482" priority="31" stopIfTrue="1" operator="equal">
      <formula>0</formula>
    </cfRule>
  </conditionalFormatting>
  <conditionalFormatting sqref="BH27">
    <cfRule type="cellIs" dxfId="481" priority="30" stopIfTrue="1" operator="equal">
      <formula>0</formula>
    </cfRule>
  </conditionalFormatting>
  <conditionalFormatting sqref="BH28">
    <cfRule type="cellIs" dxfId="480" priority="29" stopIfTrue="1" operator="equal">
      <formula>0</formula>
    </cfRule>
  </conditionalFormatting>
  <conditionalFormatting sqref="BH29">
    <cfRule type="cellIs" dxfId="479" priority="28" stopIfTrue="1" operator="equal">
      <formula>0</formula>
    </cfRule>
  </conditionalFormatting>
  <conditionalFormatting sqref="BH34">
    <cfRule type="cellIs" dxfId="478" priority="27" stopIfTrue="1" operator="equal">
      <formula>0</formula>
    </cfRule>
  </conditionalFormatting>
  <conditionalFormatting sqref="BH41">
    <cfRule type="cellIs" dxfId="477" priority="26" stopIfTrue="1" operator="equal">
      <formula>0</formula>
    </cfRule>
  </conditionalFormatting>
  <conditionalFormatting sqref="BH58">
    <cfRule type="cellIs" dxfId="476" priority="25" stopIfTrue="1" operator="equal">
      <formula>0</formula>
    </cfRule>
  </conditionalFormatting>
  <conditionalFormatting sqref="BH59:BH62">
    <cfRule type="cellIs" dxfId="475" priority="24" stopIfTrue="1" operator="equal">
      <formula>0</formula>
    </cfRule>
  </conditionalFormatting>
  <conditionalFormatting sqref="BH71">
    <cfRule type="cellIs" dxfId="474" priority="23" stopIfTrue="1" operator="equal">
      <formula>0</formula>
    </cfRule>
  </conditionalFormatting>
  <conditionalFormatting sqref="BH78">
    <cfRule type="cellIs" dxfId="473" priority="22" stopIfTrue="1" operator="equal">
      <formula>0</formula>
    </cfRule>
  </conditionalFormatting>
  <conditionalFormatting sqref="BH93">
    <cfRule type="cellIs" dxfId="472" priority="21" stopIfTrue="1" operator="equal">
      <formula>0</formula>
    </cfRule>
  </conditionalFormatting>
  <conditionalFormatting sqref="BH97">
    <cfRule type="cellIs" dxfId="471" priority="20" stopIfTrue="1" operator="equal">
      <formula>0</formula>
    </cfRule>
  </conditionalFormatting>
  <conditionalFormatting sqref="AE22:AF22">
    <cfRule type="expression" dxfId="470" priority="18" stopIfTrue="1">
      <formula>$AW$4=0</formula>
    </cfRule>
  </conditionalFormatting>
  <conditionalFormatting sqref="AY44">
    <cfRule type="cellIs" dxfId="469" priority="13" stopIfTrue="1" operator="equal">
      <formula>0</formula>
    </cfRule>
  </conditionalFormatting>
  <conditionalFormatting sqref="AY30">
    <cfRule type="cellIs" dxfId="468" priority="15" stopIfTrue="1" operator="equal">
      <formula>0</formula>
    </cfRule>
  </conditionalFormatting>
  <conditionalFormatting sqref="BH48">
    <cfRule type="cellIs" dxfId="467" priority="14" stopIfTrue="1" operator="equal">
      <formula>0</formula>
    </cfRule>
  </conditionalFormatting>
  <conditionalFormatting sqref="AZ5">
    <cfRule type="cellIs" dxfId="466" priority="12" stopIfTrue="1" operator="equal">
      <formula>0</formula>
    </cfRule>
  </conditionalFormatting>
  <conditionalFormatting sqref="BI5">
    <cfRule type="cellIs" dxfId="465" priority="11" stopIfTrue="1" operator="equal">
      <formula>0</formula>
    </cfRule>
  </conditionalFormatting>
  <conditionalFormatting sqref="BH106:BH108">
    <cfRule type="cellIs" dxfId="464" priority="9" stopIfTrue="1" operator="equal">
      <formula>0</formula>
    </cfRule>
  </conditionalFormatting>
  <conditionalFormatting sqref="BI106:BI108">
    <cfRule type="cellIs" dxfId="463" priority="8" stopIfTrue="1" operator="equal">
      <formula>0</formula>
    </cfRule>
  </conditionalFormatting>
  <conditionalFormatting sqref="AZ101:AZ105">
    <cfRule type="cellIs" dxfId="462" priority="7" stopIfTrue="1" operator="equal">
      <formula>0</formula>
    </cfRule>
  </conditionalFormatting>
  <conditionalFormatting sqref="AY101:AY105">
    <cfRule type="cellIs" dxfId="461" priority="6" stopIfTrue="1" operator="equal">
      <formula>0</formula>
    </cfRule>
  </conditionalFormatting>
  <conditionalFormatting sqref="BH101 BH104:BH105">
    <cfRule type="cellIs" dxfId="460" priority="5" stopIfTrue="1" operator="equal">
      <formula>0</formula>
    </cfRule>
  </conditionalFormatting>
  <conditionalFormatting sqref="BI101:BI105">
    <cfRule type="cellIs" dxfId="459" priority="4" stopIfTrue="1" operator="equal">
      <formula>0</formula>
    </cfRule>
  </conditionalFormatting>
  <conditionalFormatting sqref="BH102:BH103">
    <cfRule type="cellIs" dxfId="458" priority="3" stopIfTrue="1" operator="equal">
      <formula>0</formula>
    </cfRule>
  </conditionalFormatting>
  <conditionalFormatting sqref="AI17:AO17">
    <cfRule type="expression" dxfId="457" priority="2" stopIfTrue="1">
      <formula>$AW$4=0</formula>
    </cfRule>
  </conditionalFormatting>
  <conditionalFormatting sqref="AI25:AO25">
    <cfRule type="expression" dxfId="456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rgb="FFFF0000"/>
  </sheetPr>
  <dimension ref="A1:BK143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1230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SUM(BB5:BB998)</f>
        <v>0</v>
      </c>
      <c r="BD4" s="105" t="s">
        <v>40</v>
      </c>
      <c r="BK4" s="444">
        <f>SUM(BK5:BK993)</f>
        <v>0</v>
      </c>
    </row>
    <row r="5" spans="1:63" ht="14.4" customHeight="1">
      <c r="AU5" s="441">
        <f>OBJ!B39</f>
        <v>9255244</v>
      </c>
      <c r="AV5" s="23" t="str">
        <f>VLOOKUP(AU5,CENY!$B$11:$G$1034,2,FALSE)</f>
        <v>AVANTECH YOU BOKY V SADĚ V101 MM NL270 MM STŘÍBRNÁ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561.98</v>
      </c>
      <c r="BB5" s="107">
        <f t="shared" ref="BB5:BB68" si="0">IF(BA5="","",BA5*AY5)</f>
        <v>0</v>
      </c>
      <c r="BD5" s="441">
        <f>OBJ!B50</f>
        <v>9255008</v>
      </c>
      <c r="BE5" s="23" t="str">
        <f>VLOOKUP(BD5,CENY!$B$11:$G$1034,2,FALSE)</f>
        <v>AVANTECH YOU BOK V101 MM NL270 MM STŘÍBRNÝ LEVÝ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177.84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389</v>
      </c>
      <c r="G6" s="554"/>
      <c r="H6" s="554"/>
      <c r="I6" s="554"/>
      <c r="J6" s="554"/>
      <c r="K6" s="554"/>
      <c r="AU6" s="441">
        <f>OBJ!B40</f>
        <v>9255245</v>
      </c>
      <c r="AV6" s="23" t="str">
        <f>VLOOKUP(AU6,CENY!$B$11:$G$1034,2,FALSE)</f>
        <v>AVANTECH YOU BOKY V SADĚ V101 MM NL300 MM STŘÍBRNÁ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9" si="1">IF(AY6="","",IF($AW$4=1,AY6,0))</f>
        <v>0</v>
      </c>
      <c r="BA6" s="107">
        <f>VLOOKUP(AU6,CENY!$B$11:$M$2005,12,FALSE)</f>
        <v>566.15</v>
      </c>
      <c r="BB6" s="107">
        <f t="shared" si="0"/>
        <v>0</v>
      </c>
      <c r="BD6" s="441">
        <f>OBJ!B51</f>
        <v>9255009</v>
      </c>
      <c r="BE6" s="23" t="str">
        <f>VLOOKUP(BD6,CENY!$B$11:$G$1034,2,FALSE)</f>
        <v>AVANTECH YOU BOK V101 MM NL270 MM STŘÍBRNÝ PRAVÝ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177.84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OBJ!B41</f>
        <v>9255246</v>
      </c>
      <c r="AV7" s="23" t="str">
        <f>VLOOKUP(AU7,CENY!$B$11:$G$1034,2,FALSE)</f>
        <v>AVANTECH YOU BOKY V SADĚ V101 MM NL350 MM STŘÍBRNÁ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573.11</v>
      </c>
      <c r="BB7" s="107">
        <f t="shared" si="0"/>
        <v>0</v>
      </c>
      <c r="BD7" s="441">
        <f>OBJ!B52</f>
        <v>9255010</v>
      </c>
      <c r="BE7" s="23" t="str">
        <f>VLOOKUP(BD7,CENY!$B$11:$G$1034,2,FALSE)</f>
        <v>AVANTECH YOU BOK V101 MM NL300 MM STŘÍBRNÝ LEVÝ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179.82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OBJ!B42</f>
        <v>9255247</v>
      </c>
      <c r="AV8" s="23" t="str">
        <f>VLOOKUP(AU8,CENY!$B$11:$G$1034,2,FALSE)</f>
        <v>AVANTECH YOU BOKY V SADĚ V101 MM NL400 MM STŘÍBRNÁ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580.07000000000005</v>
      </c>
      <c r="BB8" s="107">
        <f t="shared" si="0"/>
        <v>0</v>
      </c>
      <c r="BD8" s="441">
        <f>OBJ!B53</f>
        <v>9255011</v>
      </c>
      <c r="BE8" s="23" t="str">
        <f>VLOOKUP(BD8,CENY!$B$11:$G$1034,2,FALSE)</f>
        <v>AVANTECH YOU BOK V101 MM NL300 MM STŘÍBRNÝ PRAVÝ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179.82</v>
      </c>
      <c r="BK8" s="107">
        <f t="shared" si="3"/>
        <v>0</v>
      </c>
    </row>
    <row r="9" spans="1:63" ht="14.4" customHeight="1" thickTop="1">
      <c r="B9" s="555"/>
      <c r="C9" s="563"/>
      <c r="D9" s="563"/>
      <c r="E9" s="564"/>
      <c r="F9" s="565"/>
      <c r="G9" s="566"/>
      <c r="H9" s="566"/>
      <c r="I9" s="566"/>
      <c r="J9" s="566"/>
      <c r="K9" s="567"/>
      <c r="AK9" s="649" t="str">
        <f>verze!E160</f>
        <v>Je nutné natypovat šířky čel ?</v>
      </c>
      <c r="AL9" s="650"/>
      <c r="AM9" s="650"/>
      <c r="AN9" s="650"/>
      <c r="AO9" s="650"/>
      <c r="AP9" s="651"/>
      <c r="AU9" s="441">
        <f>OBJ!B43</f>
        <v>9255248</v>
      </c>
      <c r="AV9" s="23" t="str">
        <f>VLOOKUP(AU9,CENY!$B$11:$G$1034,2,FALSE)</f>
        <v>AVANTECH YOU BOKY V SADĚ V101 MM NL450 MM STŘÍBRNÁ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587.04</v>
      </c>
      <c r="BB9" s="107">
        <f t="shared" si="0"/>
        <v>0</v>
      </c>
      <c r="BD9" s="441">
        <f>OBJ!B54</f>
        <v>9255012</v>
      </c>
      <c r="BE9" s="23" t="str">
        <f>VLOOKUP(BD9,CENY!$B$11:$G$1034,2,FALSE)</f>
        <v>AVANTECH YOU BOK V101 MM NL350 MM STŘÍBRNÝ LEVÝ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183.13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OBJ!B44</f>
        <v>9255249</v>
      </c>
      <c r="AV10" s="23" t="str">
        <f>VLOOKUP(AU10,CENY!$B$11:$G$1034,2,FALSE)</f>
        <v>AVANTECH YOU BOKY V SADĚ V101 MM NL500 MM STŘÍBRNÁ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594</v>
      </c>
      <c r="BB10" s="107">
        <f t="shared" si="0"/>
        <v>0</v>
      </c>
      <c r="BD10" s="441">
        <f>OBJ!B55</f>
        <v>9255013</v>
      </c>
      <c r="BE10" s="23" t="str">
        <f>VLOOKUP(BD10,CENY!$B$11:$G$1034,2,FALSE)</f>
        <v>AVANTECH YOU BOK V101 MM NL350 MM STŘÍBRNÝ PRAVÝ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183.13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OBJ!B45</f>
        <v>9255250</v>
      </c>
      <c r="AV11" s="23" t="str">
        <f>VLOOKUP(AU11,CENY!$B$11:$G$1034,2,FALSE)</f>
        <v>AVANTECH YOU BOKY V SADĚ V101 MM NL550 MM STŘÍBRNÁ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600.96</v>
      </c>
      <c r="BB11" s="107">
        <f t="shared" si="0"/>
        <v>0</v>
      </c>
      <c r="BD11" s="441">
        <f>OBJ!B56</f>
        <v>9255014</v>
      </c>
      <c r="BE11" s="23" t="str">
        <f>VLOOKUP(BD11,CENY!$B$11:$G$1034,2,FALSE)</f>
        <v>AVANTECH YOU BOK V101 MM NL400 MM STŘÍBRNÝ LEVÝ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186.44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OBJ!B46</f>
        <v>9255251</v>
      </c>
      <c r="AV12" s="23" t="str">
        <f>VLOOKUP(AU12,CENY!$B$11:$G$1034,2,FALSE)</f>
        <v>AVANTECH YOU BOKY V SADĚ V101 MM NL600 MM STŘÍBRNÁ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611.46</v>
      </c>
      <c r="BB12" s="107">
        <f t="shared" si="0"/>
        <v>0</v>
      </c>
      <c r="BD12" s="441">
        <f>OBJ!B57</f>
        <v>9255015</v>
      </c>
      <c r="BE12" s="23" t="str">
        <f>VLOOKUP(BD12,CENY!$B$11:$G$1034,2,FALSE)</f>
        <v>AVANTECH YOU BOK V101 MM NL400 MM STŘÍBRNÝ PRAVÝ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186.44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OBJ!B47</f>
        <v>9255252</v>
      </c>
      <c r="AV13" s="23" t="str">
        <f>VLOOKUP(AU13,CENY!$B$11:$G$1034,2,FALSE)</f>
        <v>AVANTECH YOU BOKY V SADĚ V101 MM NL650 MM STŘÍBRNÁ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625.73</v>
      </c>
      <c r="BB13" s="107">
        <f t="shared" si="0"/>
        <v>0</v>
      </c>
      <c r="BD13" s="441">
        <f>OBJ!B58</f>
        <v>9255016</v>
      </c>
      <c r="BE13" s="23" t="str">
        <f>VLOOKUP(BD13,CENY!$B$11:$G$1034,2,FALSE)</f>
        <v>AVANTECH YOU BOK V101 MM NL450 MM STŘÍBRNÝ LEVÝ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189.75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OBJ!B59</f>
        <v>9255017</v>
      </c>
      <c r="BE14" s="23" t="str">
        <f>VLOOKUP(BD14,CENY!$B$11:$G$1034,2,FALSE)</f>
        <v>AVANTECH YOU BOK V101 MM NL450 MM STŘÍBRNÝ PRAVÝ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189.75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AVANTECH YOU DEKORATIVNÍ PROFIL NL270 MM STŘÍBRNÝ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9.18</v>
      </c>
      <c r="BB15" s="107">
        <f t="shared" si="0"/>
        <v>0</v>
      </c>
      <c r="BD15" s="441">
        <f>OBJ!B60</f>
        <v>9255018</v>
      </c>
      <c r="BE15" s="23" t="str">
        <f>VLOOKUP(BD15,CENY!$B$11:$G$1034,2,FALSE)</f>
        <v>AVANTECH YOU BOK V101 MM NL500 MM STŘÍBRNÝ LEVÝ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193.06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AVANTECH YOU DEKORATIVNÍ PROFIL NL300 MM STŘÍBRNÝ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9.2799999999999994</v>
      </c>
      <c r="BB16" s="107">
        <f t="shared" si="0"/>
        <v>0</v>
      </c>
      <c r="BD16" s="441">
        <f>OBJ!B61</f>
        <v>9255019</v>
      </c>
      <c r="BE16" s="23" t="str">
        <f>VLOOKUP(BD16,CENY!$B$11:$G$1034,2,FALSE)</f>
        <v>AVANTECH YOU BOK V101 MM NL500 MM STŘÍBRNÝ PRAVÝ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193.06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AVANTECH YOU DEKORATIVNÍ PROFIL NL350 MM STŘÍBRNÝ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9.4499999999999993</v>
      </c>
      <c r="BB17" s="107">
        <f t="shared" si="0"/>
        <v>0</v>
      </c>
      <c r="BD17" s="441">
        <f>OBJ!B62</f>
        <v>9255020</v>
      </c>
      <c r="BE17" s="23" t="str">
        <f>VLOOKUP(BD17,CENY!$B$11:$G$1034,2,FALSE)</f>
        <v>AVANTECH YOU BOK V101 MM NL550 MM STŘÍBRNÝ LEVÝ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196.37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AVANTECH YOU DEKORATIVNÍ PROFIL NL400 MM STŘÍBRNÝ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9.6199999999999992</v>
      </c>
      <c r="BB18" s="107">
        <f t="shared" si="0"/>
        <v>0</v>
      </c>
      <c r="BD18" s="441">
        <f>OBJ!B63</f>
        <v>9255021</v>
      </c>
      <c r="BE18" s="23" t="str">
        <f>VLOOKUP(BD18,CENY!$B$11:$G$1034,2,FALSE)</f>
        <v>AVANTECH YOU BOK V101 MM NL550 MM STŘÍBRNÝ PRAVÝ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196.37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AVANTECH YOU DEKORATIVNÍ PROFIL NL450 MM STŘÍBRNÝ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9.8000000000000007</v>
      </c>
      <c r="BB19" s="107">
        <f t="shared" si="0"/>
        <v>0</v>
      </c>
      <c r="BD19" s="441">
        <f>OBJ!B64</f>
        <v>9255022</v>
      </c>
      <c r="BE19" s="23" t="str">
        <f>VLOOKUP(BD19,CENY!$B$11:$G$1034,2,FALSE)</f>
        <v>AVANTECH YOU BOK V101 MM NL600 MM STŘÍBRNÝ LEVÝ</v>
      </c>
      <c r="BF19" s="24">
        <f>VLOOKUP(BD19,CENY!$B$11:$G$1034,3,FALSE)</f>
        <v>20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201.36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AVANTECH YOU DEKORATIVNÍ PROFIL NL500 MM STŘÍBRNÝ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9.9700000000000006</v>
      </c>
      <c r="BB20" s="107">
        <f t="shared" si="0"/>
        <v>0</v>
      </c>
      <c r="BD20" s="441">
        <f>OBJ!B65</f>
        <v>9255023</v>
      </c>
      <c r="BE20" s="23" t="str">
        <f>VLOOKUP(BD20,CENY!$B$11:$G$1034,2,FALSE)</f>
        <v>AVANTECH YOU BOK V101 MM NL600 MM STŘÍBRNÝ PRAVÝ</v>
      </c>
      <c r="BF20" s="24">
        <f>VLOOKUP(BD20,CENY!$B$11:$G$1034,3,FALSE)</f>
        <v>20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201.36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AVANTECH YOU DEKORATIVNÍ PROFIL NL550 MM STŘÍBRNÝ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10.14</v>
      </c>
      <c r="BB21" s="107">
        <f t="shared" si="0"/>
        <v>0</v>
      </c>
      <c r="BD21" s="441">
        <f>OBJ!B66</f>
        <v>9255024</v>
      </c>
      <c r="BE21" s="23" t="str">
        <f>VLOOKUP(BD21,CENY!$B$11:$G$1034,2,FALSE)</f>
        <v>AVANTECH YOU BOK V101 MM NL650 MM STŘÍBRNÝ LEVÝ</v>
      </c>
      <c r="BF21" s="24">
        <f>VLOOKUP(BD21,CENY!$B$11:$G$1034,3,FALSE)</f>
        <v>20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208.15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AVANTECH YOU DEKORATIVNÍ PROFIL NL600 MM STŘÍBRNÝ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10.39</v>
      </c>
      <c r="BB22" s="107">
        <f t="shared" si="0"/>
        <v>0</v>
      </c>
      <c r="BD22" s="441">
        <f>OBJ!B67</f>
        <v>9255025</v>
      </c>
      <c r="BE22" s="23" t="str">
        <f>VLOOKUP(BD22,CENY!$B$11:$G$1034,2,FALSE)</f>
        <v>AVANTECH YOU BOK V101 MM NL650 MM STŘÍBRNÝ PRAVÝ</v>
      </c>
      <c r="BF22" s="24">
        <f>VLOOKUP(BD22,CENY!$B$11:$G$1034,3,FALSE)</f>
        <v>20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208.15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AVANTECH YOU DEKORATIVNÍ PROFIL NL650 MM STŘÍBRNÝ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10.74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2">
        <v>9255835</v>
      </c>
      <c r="BE24" s="443" t="str">
        <f>VLOOKUP(BD24,CENY!$B$11:$G$1034,2,FALSE)</f>
        <v>AVANTECH YOU PŘÍCHYTKA ČELA V101 MM K NAŠROUBOVÁNÍ</v>
      </c>
      <c r="BF24" s="24">
        <f>VLOOKUP(BD24,CENY!$B$11:$G$1034,3,FALSE)</f>
        <v>200</v>
      </c>
      <c r="BG24" s="24"/>
      <c r="BH24" s="77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26.57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 10KG PLNOVÝSUV 270 MM EB21 SILENT SYSTEM SADA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AVANTECH YOU STABILIZÁTOR ZAD V101/139/187/251 MM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13.29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 10KG PLNOVÝSUV 300 MM EB21 SILENT SYSTEM SADA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561.63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 10KG PLNOVÝSUV 350 MM EB21 SILENT SYSTEM SADA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561.63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AVANTECH YOU DEKORATIVNÍ PROFIL NL270 MM STŘÍBRNÝ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9.18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AVANTECH YOU DEKORATIVNÍ PROFIL NL300 MM STŘÍBRNÝ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9.2799999999999994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 40KG PLNOVÝSUV 270 MM EB21 SILENT SYSTEM SADA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561.63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AVANTECH YOU DEKORATIVNÍ PROFIL NL350 MM STŘÍBRNÝ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9.4499999999999993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 40KG PLNOVÝSUV 300 MM EB21 SILENT SYSTEM SADA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561.63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AVANTECH YOU DEKORATIVNÍ PROFIL NL400 MM STŘÍBRNÝ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9.6199999999999992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 40KG PLNOVÝSUV 350 MM EB21 SILENT SYSTEM SADA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561.63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AVANTECH YOU DEKORATIVNÍ PROFIL NL450 MM STŘÍBRNÝ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9.8000000000000007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OBJ!B239</f>
        <v>9257004</v>
      </c>
      <c r="AV32" s="23" t="str">
        <f>VLOOKUP(AU32,CENY!$B$11:$G$1034,2,FALSE)</f>
        <v>ACTRO YOU 40KG PLNOVÝSUV 400 MM EB21 SILENT SYSTEM SADA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567.85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AVANTECH YOU DEKORATIVNÍ PROFIL NL500 MM STŘÍBRNÝ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9.9700000000000006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OBJ!B240</f>
        <v>9257006</v>
      </c>
      <c r="AV33" s="23" t="str">
        <f>VLOOKUP(AU33,CENY!$B$11:$G$1034,2,FALSE)</f>
        <v>ACTRO YOU 40KG PLNOVÝSUV 450 MM EB21 SILENT SYSTEM SADA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574.04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AVANTECH YOU DEKORATIVNÍ PROFIL NL550 MM STŘÍBRNÝ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10.14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OBJ!B241</f>
        <v>9257008</v>
      </c>
      <c r="AV34" s="23" t="str">
        <f>VLOOKUP(AU34,CENY!$B$11:$G$1034,2,FALSE)</f>
        <v>ACTRO YOU 40KG PLNOVÝSUV 500 MM EB21 SILENT SYSTEM SADA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580.26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AVANTECH YOU DEKORATIVNÍ PROFIL NL600 MM STŘÍBRNÝ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10.39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 40KG PLNOVÝSUV 550 MM EB21 SILENT SYSTEM SADA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613.44000000000005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AVANTECH YOU DEKORATIVNÍ PROFIL NL650 MM STŘÍBRNÝ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10.74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 40KG PLNOVÝSUV 600 MM EB21 SILENT SYSTÉM SADA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620.78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 10KG PLNOVÝSUV 270 MM EB21 SILENT SYSTEM LEVÝ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 70KG PLNOVÝSUV 450 MM EB21 SILENT SYSTEM SADA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691.9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 10KG PLNOVÝSUV 270 MM EB21 SILENT SYSTEM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 70KG PLNOVÝSUV 500 MM EB21 SILENT SYSTEM SADA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698.13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 10KG PLNOVÝSUV 300 MM EB21 SILENT SYSTEM LEVÝ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 70KG PLNOVÝSUV 550 MM EB21 SILENT SYSTEM SADA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731.3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 10KG PLNOVÝSUV 300 MM EB21 SILENT SYSTEM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243.93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 70KG PLNOVÝSUV 600 MM EB21 SILENT SYSTEM SADA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798.31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 10KG PLNOVÝSUV 350 MM EB21 SILENT SYSTEM LEVÝ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243.93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 70KG PLNOVÝSUV 650 MM EB21 SILENT SYSTEM SADA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828.55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 10KG PLNOVÝSUV 350 MM EB21 SILENT SYSTEM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243.93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PUSH TO OPEN SILENT ACTRO YOU / ACTRO 5D 10 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544.37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 40KG PLNOVÝSUV 270 MM EB21 SILENT SYSTEM LEVÝ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243.93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PUSH TO OPEN SILENT ACTRO YOU / ACTRO 5D 20 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544.37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 40KG PLNOVÝSUV 270 MM EB21 SILENT SYSTEM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243.93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PUSH TO OPEN SILENT ACTRO YOU / ACTRO 5D 40 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544.37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 40KG PLNOVÝSUV 300 MM EB21 SILENT SYSTEM LEVÝ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243.93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PUSH TO OPEN SILENT ACTRO YOU / ACTRO 5D 70 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544.37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 40KG PLNOVÝSUV 300 MM EB21 SILENT SYSTEM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243.93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SYNCHRONIZAČNÍ TYČ 2000 MM</v>
      </c>
      <c r="AW48" s="24">
        <f>VLOOKUP(AU48,CENY!$B$11:$G$1034,3,FALSE)</f>
        <v>100</v>
      </c>
      <c r="AX48" s="24"/>
      <c r="AY48" s="25">
        <f>IF((SUM(AN19:AO22)+SUM(AN27:AO29)+SUM(O30:AD30))=0,0,AY83)</f>
        <v>0</v>
      </c>
      <c r="AZ48" s="451">
        <f t="shared" si="1"/>
        <v>0</v>
      </c>
      <c r="BA48" s="107">
        <f>VLOOKUP(AU48,CENY!$B$11:$M$2005,12,FALSE)</f>
        <v>144.30000000000001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 40KG PLNOVÝSUV 350 MM EB21 SILENT SYSTEM LEVÝ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243.93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 40KG PLNOVÝSUV 350 MM EB21 SILENT SYSTEM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243.93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 10 KG PLNOVÝSUV 270 MM EB21 SILENT SYSTEM SADA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413.4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 40KG PLNOVÝSUV 400 MM EB21 SILENT SYSTEM LEVÝ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247.05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 10 KG PLNOVÝSUV 300 MM EB21 SILENT SYSTEM SADA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414.13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 40KG PLNOVÝSUV 400 MM EB21 SILENT SYSTEM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247.05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 10 KG PLNOVÝSUV 350 MM EB21 SILENT SYSTEM SADA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421.61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 40KG PLNOVÝSUV 450 MM EB21 SILENT SYSTEM LEVÝ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250.14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 40KG PLNOVÝSUV 450 MM EB21 SILENT SYSTEM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250.14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 PLNOVÝSUV 270 MM EB21 SILENT SYSTEM SADA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372.29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 40KG PLNOVÝSUV 500 MM EB21 SILENT SYSTEM LEVÝ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253.25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 PLNOVÝSUV 300 MM EB21 SILENT SYSTEM SADA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369.3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 40KG PLNOVÝSUV 500 MM EB21 SILENT SYSTEM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253.25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 PLNOVÝSUV 350 MM EB21 SILENT SYSTEM SADA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376.77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 40KG PLNOVÝSUV 550 MM EB21 SILENT SYSTEM LEVÝ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269.83999999999997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 PLNOVÝSUV 400 MM EB21 SILENT SYSTEM SADA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384.24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 40KG PLNOVÝSUV 550 MM EB21 SILENT SYSTEM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269.83999999999997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 PLNOVÝSUV 450 MM EB21 SILENT SYSTEM SADA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391.72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 40KG PLNOVÝSUV 600 MM EB21 SILENT SYSTÉM LEVÝ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273.51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 PLNOVÝSUV 500 MM EB21 SILENT SYSTEM SADA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399.19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 40KG PLNOVÝSUV 600 MM EB21 SILENT SYSTÉM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273.51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 PLNOVÝSUV 550 MM EB21 SILENT SYSTEM SADA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412.64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 PLNOVÝSUV 600 MM EB21 SILENT SYSTEM SADA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420.11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 70KG PLNOVÝSUV 450 MM EB21 SILENT SYSTEM LEVÝ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309.07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 70KG PLNOVÝSUV 450 MM EB21 SILENT SYSTEM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309.07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PUSH TO OPEN SILENT QUADRO YOU 10 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544.37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 70KG PLNOVÝSUV 500 MM EB21 SILENT SYSTEM LEVÝ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312.18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PUSH TO OPEN SILENT QUADRO YOU 20 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544.37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 70KG PLNOVÝSUV 500 MM EB21 SILENT SYSTEM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312.18</v>
      </c>
      <c r="BK64" s="107">
        <f t="shared" si="3"/>
        <v>0</v>
      </c>
    </row>
    <row r="65" spans="1:63" ht="14.4" customHeight="1">
      <c r="AU65" s="441">
        <f>OBJ!B324</f>
        <v>9257896</v>
      </c>
      <c r="AV65" s="23" t="str">
        <f>VLOOKUP(AU65,CENY!$B$11:$G$1034,2,FALSE)</f>
        <v>PUSH TO OPEN SILENT QUADRO YOU 30 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544.37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 70KG PLNOVÝSUV 550 MM EB21 SILENT SYSTEM LEVÝ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328.77</v>
      </c>
      <c r="BK65" s="107">
        <f t="shared" si="3"/>
        <v>0</v>
      </c>
    </row>
    <row r="66" spans="1:63" ht="12.9" customHeight="1" thickBot="1">
      <c r="A66" s="633"/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 70KG PLNOVÝSUV 550 MM EB21 SILENT SYSTEM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328.77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441">
        <f>OBJ!B326</f>
        <v>9256928</v>
      </c>
      <c r="AV67" s="23" t="str">
        <f>VLOOKUP(AU67,CENY!$B$11:$G$1034,2,FALSE)</f>
        <v>QUADRO YOU PLNOVÝSUV 270 MM EB21 PUSH TO OPEN SADA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413.4</v>
      </c>
      <c r="BB67" s="107">
        <f t="shared" si="0"/>
        <v>0</v>
      </c>
      <c r="BD67" s="441">
        <f>OBJ!B272</f>
        <v>9257025</v>
      </c>
      <c r="BE67" s="23" t="str">
        <f>VLOOKUP(BD67,CENY!$B$11:$G$1034,2,FALSE)</f>
        <v>ACTRO YOU 70KG PLNOVÝSUV 600 MM EB21 SILENT SYSTEM LEVÝ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362.28</v>
      </c>
      <c r="BK67" s="107">
        <f t="shared" si="3"/>
        <v>0</v>
      </c>
    </row>
    <row r="68" spans="1:63" ht="12.9" customHeight="1">
      <c r="A68" s="633"/>
      <c r="AU68" s="441">
        <f>OBJ!B327</f>
        <v>9256929</v>
      </c>
      <c r="AV68" s="23" t="str">
        <f>VLOOKUP(AU68,CENY!$B$11:$G$1034,2,FALSE)</f>
        <v>QUADRO YOU PLNOVÝSUV 300 MM EB21 PUSH TO OPEN SADA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si="1"/>
        <v>0</v>
      </c>
      <c r="BA68" s="107">
        <f>VLOOKUP(AU68,CENY!$B$11:$M$2005,12,FALSE)</f>
        <v>414.13</v>
      </c>
      <c r="BB68" s="107">
        <f t="shared" si="0"/>
        <v>0</v>
      </c>
      <c r="BD68" s="441">
        <f>OBJ!B273</f>
        <v>9257026</v>
      </c>
      <c r="BE68" s="23" t="str">
        <f>VLOOKUP(BD68,CENY!$B$11:$G$1034,2,FALSE)</f>
        <v>ACTRO YOU 70KG PLNOVÝSUV 600 MM EB21 SILENT SYSTEM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362.28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101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>
        <f>OBJ!B328</f>
        <v>9256931</v>
      </c>
      <c r="AV69" s="23" t="str">
        <f>VLOOKUP(AU69,CENY!$B$11:$G$1034,2,FALSE)</f>
        <v>QUADRO YOU PLNOVÝSUV 350 MM EB21 PUSH TO OPEN SADA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1"/>
        <v>0</v>
      </c>
      <c r="BA69" s="107">
        <f>VLOOKUP(AU69,CENY!$B$11:$M$2005,12,FALSE)</f>
        <v>421.61</v>
      </c>
      <c r="BB69" s="107">
        <f t="shared" ref="BB69:BB132" si="4">IF(BA69="","",BA69*AY69)</f>
        <v>0</v>
      </c>
      <c r="BD69" s="441">
        <f>OBJ!B274</f>
        <v>9257027</v>
      </c>
      <c r="BE69" s="23" t="str">
        <f>VLOOKUP(BD69,CENY!$B$11:$G$1034,2,FALSE)</f>
        <v>ACTRO YOU 70KG PLNOVÝSUV 650 MM EB21 SILENT SYSTEM LEVÝ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377.39</v>
      </c>
      <c r="BK69" s="107">
        <f t="shared" si="3"/>
        <v>0</v>
      </c>
    </row>
    <row r="70" spans="1:63" ht="14.4" customHeight="1">
      <c r="A70" s="633"/>
      <c r="AU70" s="441">
        <f>OBJ!B329</f>
        <v>9256933</v>
      </c>
      <c r="AV70" s="23" t="str">
        <f>VLOOKUP(AU70,CENY!$B$11:$G$1034,2,FALSE)</f>
        <v>QUADRO YOU PLNOVÝSUV 400 MM EB21 PUSH TO OPEN SADA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ref="AZ70:AZ131" si="5">IF(AY70="","",IF($AW$4=1,AY70,0))</f>
        <v>0</v>
      </c>
      <c r="BA70" s="107">
        <f>VLOOKUP(AU70,CENY!$B$11:$M$2005,12,FALSE)</f>
        <v>429.08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 70KG PLNOVÝSUV 650 MM EB21 SILENT SYSTEM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41" si="6">IF(BH70="","",IF($AW$4=0,BH70,0))</f>
        <v>0</v>
      </c>
      <c r="BJ70" s="107">
        <f>VLOOKUP(BD70,CENY!$B$11:$M$2005,12,FALSE)</f>
        <v>377.39</v>
      </c>
      <c r="BK70" s="107">
        <f t="shared" ref="BK70:BK141" si="7">IF(BJ70="","",BJ70*BH70)</f>
        <v>0</v>
      </c>
    </row>
    <row r="71" spans="1:63" ht="14.4" customHeight="1">
      <c r="A71" s="633"/>
      <c r="AU71" s="441">
        <f>OBJ!B330</f>
        <v>9256935</v>
      </c>
      <c r="AV71" s="23" t="str">
        <f>VLOOKUP(AU71,CENY!$B$11:$G$1034,2,FALSE)</f>
        <v>QUADRO YOU PLNOVÝSUV 450 MM EB21 PUSH TO OPEN SADA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436.55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1:63" ht="14.4" customHeight="1">
      <c r="A72" s="633"/>
      <c r="AU72" s="441">
        <f>OBJ!B331</f>
        <v>9256937</v>
      </c>
      <c r="AV72" s="23" t="str">
        <f>VLOOKUP(AU72,CENY!$B$11:$G$1034,2,FALSE)</f>
        <v>QUADRO YOU PLNOVÝSUV 500 MM EB21 PUSH TO OPEN SADA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444.02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PUSH TO OPEN SILENT ACTRO YOU / ACTRO 5D 10 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544.37</v>
      </c>
      <c r="BK72" s="107">
        <f t="shared" si="7"/>
        <v>0</v>
      </c>
    </row>
    <row r="73" spans="1:63" ht="14.4" customHeight="1">
      <c r="A73" s="633"/>
      <c r="AU73" s="441">
        <f>OBJ!B332</f>
        <v>9256939</v>
      </c>
      <c r="AV73" s="23" t="str">
        <f>VLOOKUP(AU73,CENY!$B$11:$G$1034,2,FALSE)</f>
        <v>QUADRO YOU PLNOVÝSUV 550 MM EB21 PUSH TO OPEN SADA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457.48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PUSH TO OPEN SILENT ACTRO YOU / ACTRO 5D 20 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544.37</v>
      </c>
      <c r="BK73" s="107">
        <f t="shared" si="7"/>
        <v>0</v>
      </c>
    </row>
    <row r="74" spans="1:63" ht="14.4" customHeight="1">
      <c r="A74" s="633"/>
      <c r="AU74" s="441">
        <f>OBJ!B333</f>
        <v>9256941</v>
      </c>
      <c r="AV74" s="23" t="str">
        <f>VLOOKUP(AU74,CENY!$B$11:$G$1034,2,FALSE)</f>
        <v>QUADRO YOU PLNOVÝSUV 600 MM EB21 PUSH TO OPEN SADA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464.95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PUSH TO OPEN SILENT ACTRO YOU / ACTRO 5D 40 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544.37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PUSH TO OPEN SILENT ACTRO YOU / ACTRO 5D 70 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544.37</v>
      </c>
      <c r="BK75" s="107">
        <f t="shared" si="7"/>
        <v>0</v>
      </c>
    </row>
    <row r="76" spans="1:63" ht="14.4" customHeight="1">
      <c r="A76" s="633"/>
      <c r="AU76" s="441">
        <f>OBJ!B351</f>
        <v>9219966</v>
      </c>
      <c r="AV76" s="23" t="str">
        <f>VLOOKUP(AU76,CENY!$B$11:$G$1034,2,FALSE)</f>
        <v>PUSH TO OPEN SYNCHRO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13.07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SYNCHRONIZAČNÍ TYČ 2000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144.30000000000001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1:63" ht="14.4" customHeight="1">
      <c r="A78" s="633"/>
      <c r="AU78" s="442">
        <v>9255836</v>
      </c>
      <c r="AV78" s="443" t="str">
        <f>VLOOKUP(AU78,CENY!$B$11:$G$1034,2,FALSE)</f>
        <v>AVANTECH YOU PŘÍCHYTKA ČELA V101 MM K ZALISOVÁNÍ</v>
      </c>
      <c r="AW78" s="24">
        <f>VLOOKUP(AU78,CENY!$B$11:$G$1034,3,FALSE)</f>
        <v>200</v>
      </c>
      <c r="AX78" s="24"/>
      <c r="AY78" s="77">
        <v>0</v>
      </c>
      <c r="AZ78" s="451">
        <f t="shared" si="5"/>
        <v>0</v>
      </c>
      <c r="BA78" s="107">
        <f>VLOOKUP(AU78,CENY!$B$11:$M$2005,12,FALSE)</f>
        <v>27.23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 10 KG PLNOVÝSUV 270 MM EB21 SILENT SYSTEM LEVÝ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174.19</v>
      </c>
      <c r="BK78" s="107">
        <f t="shared" si="7"/>
        <v>0</v>
      </c>
    </row>
    <row r="79" spans="1:63" ht="14.4" customHeight="1">
      <c r="A79" s="633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 10 KG PLNOVÝSUV 270 MM EB21 SILENT SYSTEM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174.19</v>
      </c>
      <c r="BK79" s="107">
        <f t="shared" si="7"/>
        <v>0</v>
      </c>
    </row>
    <row r="80" spans="1:63" ht="14.4" customHeight="1">
      <c r="A80" s="633"/>
      <c r="O80" s="656">
        <f t="shared" ref="O80:AI80" si="8">CEILING(O84/FLOOR(2000/O85,1),1)</f>
        <v>0</v>
      </c>
      <c r="P80" s="656"/>
      <c r="Q80" s="656">
        <f t="shared" si="8"/>
        <v>0</v>
      </c>
      <c r="R80" s="656"/>
      <c r="S80" s="656">
        <f t="shared" si="8"/>
        <v>0</v>
      </c>
      <c r="T80" s="656"/>
      <c r="U80" s="656">
        <f t="shared" si="8"/>
        <v>0</v>
      </c>
      <c r="V80" s="656"/>
      <c r="W80" s="656">
        <f t="shared" si="8"/>
        <v>0</v>
      </c>
      <c r="X80" s="656"/>
      <c r="Y80" s="656">
        <f t="shared" si="8"/>
        <v>0</v>
      </c>
      <c r="Z80" s="656"/>
      <c r="AA80" s="656">
        <f t="shared" si="8"/>
        <v>0</v>
      </c>
      <c r="AB80" s="656"/>
      <c r="AC80" s="656">
        <f t="shared" si="8"/>
        <v>0</v>
      </c>
      <c r="AD80" s="656"/>
      <c r="AE80" s="656">
        <f t="shared" si="8"/>
        <v>0</v>
      </c>
      <c r="AF80" s="656"/>
      <c r="AG80" s="656">
        <f t="shared" si="8"/>
        <v>0</v>
      </c>
      <c r="AH80" s="656"/>
      <c r="AI80" s="656">
        <f t="shared" si="8"/>
        <v>0</v>
      </c>
      <c r="AJ80" s="656"/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>IF(BA80="","",BA80*AY80)</f>
        <v/>
      </c>
      <c r="BD80" s="441">
        <f>OBJ!B292</f>
        <v>9256946</v>
      </c>
      <c r="BE80" s="23" t="str">
        <f>VLOOKUP(BD80,CENY!$B$11:$G$1034,2,FALSE)</f>
        <v>QUADRO YOU 10 KG PLNOVÝSUV 300 MM EB21 SILENT SYSTEM LEVÝ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172.7</v>
      </c>
      <c r="BK80" s="107">
        <f t="shared" si="7"/>
        <v>0</v>
      </c>
    </row>
    <row r="81" spans="1:63" ht="14.4" customHeight="1">
      <c r="A81" s="633"/>
      <c r="O81" s="655">
        <f>O85*O84</f>
        <v>0</v>
      </c>
      <c r="P81" s="655"/>
      <c r="Q81" s="655">
        <f>Q85*Q84</f>
        <v>0</v>
      </c>
      <c r="R81" s="655"/>
      <c r="S81" s="655">
        <f>S85*S84</f>
        <v>0</v>
      </c>
      <c r="T81" s="655"/>
      <c r="U81" s="655">
        <f>U85*U84</f>
        <v>0</v>
      </c>
      <c r="V81" s="655"/>
      <c r="W81" s="655">
        <f>W85*W84</f>
        <v>0</v>
      </c>
      <c r="X81" s="655"/>
      <c r="Y81" s="655">
        <f>Y85*Y84</f>
        <v>0</v>
      </c>
      <c r="Z81" s="655"/>
      <c r="AA81" s="655">
        <f>AA85*AA84</f>
        <v>0</v>
      </c>
      <c r="AB81" s="655"/>
      <c r="AC81" s="655">
        <f>AC85*AC84</f>
        <v>0</v>
      </c>
      <c r="AD81" s="655"/>
      <c r="AE81" s="655">
        <f>AE85*AE84</f>
        <v>0</v>
      </c>
      <c r="AF81" s="655"/>
      <c r="AG81" s="655">
        <f>AG85*AG84</f>
        <v>0</v>
      </c>
      <c r="AH81" s="655"/>
      <c r="AI81" s="655">
        <f>AI85*AI84</f>
        <v>0</v>
      </c>
      <c r="AJ81" s="655"/>
      <c r="AK81" s="633"/>
      <c r="AL81" s="633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 10 KG PLNOVÝSUV 300 MM EB21 SILENT SYSTEM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172.7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 10 KG PLNOVÝSUV 350 MM EB21 SILENT SYSTEM LEVÝ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176.43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OBJ!B187</f>
        <v>9257269</v>
      </c>
      <c r="AV83" s="23" t="str">
        <f>VLOOKUP(AU83,CENY!$B$11:$G$1034,2,FALSE)</f>
        <v>AVANTECH YOU ALU PROFIL VNITŘNÍ ČELO V101 MM L2000 MM STŘÍBRNÁ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1421.71</v>
      </c>
      <c r="BB83" s="107">
        <f>IF(BA83="","",BA83*AY83)</f>
        <v>0</v>
      </c>
      <c r="BD83" s="441">
        <f>OBJ!B295</f>
        <v>9256951</v>
      </c>
      <c r="BE83" s="23" t="str">
        <f>VLOOKUP(BD83,CENY!$B$11:$G$1034,2,FALSE)</f>
        <v>QUADRO YOU 10 KG PLNOVÝSUV 350 MM EB21 SILENT SYSTEM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176.43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OBJ!B191</f>
        <v>9257611</v>
      </c>
      <c r="AV84" s="23" t="str">
        <f>VLOOKUP(AU84,CENY!$B$11:$G$1034,2,FALSE)</f>
        <v>AVANTECH YOU SADA SPOJEK PRO VNITŘNÍ ČELO K BOKŮM V101 MM STŘÍBRNÁ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>IF(AY84="","",IF($AW$4=1,AY84,0))</f>
        <v>0</v>
      </c>
      <c r="BA84" s="107">
        <f>VLOOKUP(AU84,CENY!$B$11:$M$2005,12,FALSE)</f>
        <v>76.28</v>
      </c>
      <c r="BB84" s="107">
        <f>IF(BA84="","",BA84*AY84)</f>
        <v>0</v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1:63" ht="14.4" customHeight="1">
      <c r="A85" s="633"/>
      <c r="O85" s="657">
        <f>O83-2*FORM!$AM$24-12</f>
        <v>252</v>
      </c>
      <c r="P85" s="657"/>
      <c r="Q85" s="657">
        <f>Q83-2*FORM!$AM$24-12</f>
        <v>352</v>
      </c>
      <c r="R85" s="657"/>
      <c r="S85" s="657">
        <f>S83-2*FORM!$AM$24-12</f>
        <v>402</v>
      </c>
      <c r="T85" s="657"/>
      <c r="U85" s="657">
        <f>U83-2*FORM!$AM$24-12</f>
        <v>452</v>
      </c>
      <c r="V85" s="657"/>
      <c r="W85" s="657">
        <f>W83-2*FORM!$AM$24-12</f>
        <v>502</v>
      </c>
      <c r="X85" s="657"/>
      <c r="Y85" s="657">
        <f>Y83-2*FORM!$AM$24-12</f>
        <v>552</v>
      </c>
      <c r="Z85" s="657"/>
      <c r="AA85" s="657">
        <f>AA83-2*FORM!$AM$24-12</f>
        <v>652</v>
      </c>
      <c r="AB85" s="657"/>
      <c r="AC85" s="657">
        <f>AC83-2*FORM!$AM$24-12</f>
        <v>752</v>
      </c>
      <c r="AD85" s="657"/>
      <c r="AE85" s="657">
        <f>AE83-2*FORM!$AM$24-12</f>
        <v>852</v>
      </c>
      <c r="AF85" s="657"/>
      <c r="AG85" s="657">
        <f>AG83-2*FORM!$AM$24-12</f>
        <v>952</v>
      </c>
      <c r="AH85" s="657"/>
      <c r="AI85" s="657">
        <f>AI83-2*FORM!$AM$24-12</f>
        <v>1152</v>
      </c>
      <c r="AJ85" s="657"/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 PLNOVÝSUV 270 MM EB21 SILENT SYSTEM LEVÝ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174.19</v>
      </c>
      <c r="BK85" s="107">
        <f t="shared" si="7"/>
        <v>0</v>
      </c>
    </row>
    <row r="86" spans="1:63" ht="14.4" customHeight="1">
      <c r="A86" s="633"/>
      <c r="AR86" s="177" t="str">
        <f>IF(AU89=0,verze!E169&amp;" "&amp;AU87&amp;" "&amp;verze!E170,"")</f>
        <v>Je potřebné vybrat 0 ks vnitřních čel.</v>
      </c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 PLNOVÝSUV 270 MM EB21 SILENT SYSTEM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174.19</v>
      </c>
      <c r="BK86" s="107">
        <f t="shared" si="7"/>
        <v>0</v>
      </c>
    </row>
    <row r="87" spans="1:63" ht="14.4" customHeight="1">
      <c r="A87" s="633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 PLNOVÝSUV 300 MM EB21 SILENT SYSTEM LEVÝ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172.7</v>
      </c>
      <c r="BK87" s="107">
        <f t="shared" si="7"/>
        <v>0</v>
      </c>
    </row>
    <row r="88" spans="1:63" ht="14.4" customHeight="1">
      <c r="A88" s="633"/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 PLNOVÝSUV 300 MM EB21 SILENT SYSTEM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172.7</v>
      </c>
      <c r="BK88" s="107">
        <f t="shared" si="7"/>
        <v>0</v>
      </c>
    </row>
    <row r="89" spans="1:63" ht="14.4" customHeight="1">
      <c r="A89" s="633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>
        <f>OBJ!B309</f>
        <v>9256860</v>
      </c>
      <c r="BE89" s="23" t="str">
        <f>VLOOKUP(BD89,CENY!$B$11:$G$1034,2,FALSE)</f>
        <v>QUADRO YOU PLNOVÝSUV 350 MM EB21 SILENT SYSTEM LEVÝ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176.43</v>
      </c>
      <c r="BK89" s="107">
        <f t="shared" si="7"/>
        <v>0</v>
      </c>
    </row>
    <row r="90" spans="1:63" ht="14.4" customHeight="1">
      <c r="A90" s="633"/>
      <c r="AU90" s="24">
        <f>AU87-AU89</f>
        <v>0</v>
      </c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OBJ!B310</f>
        <v>9256861</v>
      </c>
      <c r="BE90" s="23" t="str">
        <f>VLOOKUP(BD90,CENY!$B$11:$G$1034,2,FALSE)</f>
        <v>QUADRO YOU PLNOVÝSUV 350 MM EB21 SILENT SYSTEM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176.43</v>
      </c>
      <c r="BK90" s="107">
        <f t="shared" si="7"/>
        <v>0</v>
      </c>
    </row>
    <row r="91" spans="1:63" ht="14.4" customHeight="1">
      <c r="A91" s="633"/>
      <c r="AU91" s="24">
        <f>ABS(AU90)</f>
        <v>0</v>
      </c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OBJ!B311</f>
        <v>9256864</v>
      </c>
      <c r="BE91" s="23" t="str">
        <f>VLOOKUP(BD91,CENY!$B$11:$G$1034,2,FALSE)</f>
        <v>QUADRO YOU PLNOVÝSUV 400 MM EB21 SILENT SYSTEM LEVÝ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180.17</v>
      </c>
      <c r="BK91" s="107">
        <f t="shared" si="7"/>
        <v>0</v>
      </c>
    </row>
    <row r="92" spans="1:63" ht="14.4" customHeight="1">
      <c r="A92" s="633"/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OBJ!B312</f>
        <v>9256865</v>
      </c>
      <c r="BE92" s="23" t="str">
        <f>VLOOKUP(BD92,CENY!$B$11:$G$1034,2,FALSE)</f>
        <v>QUADRO YOU PLNOVÝSUV 400 MM EB21 SILENT SYSTEM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180.17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OBJ!B313</f>
        <v>9256868</v>
      </c>
      <c r="BE93" s="23" t="str">
        <f>VLOOKUP(BD93,CENY!$B$11:$G$1034,2,FALSE)</f>
        <v>QUADRO YOU PLNOVÝSUV 450 MM EB21 SILENT SYSTEM LEVÝ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183.9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 PLNOVÝSUV 450 MM EB21 SILENT SYSTEM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183.9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 PLNOVÝSUV 500 MM EB21 SILENT SYSTEM LEVÝ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187.64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 PLNOVÝSUV 500 MM EB21 SILENT SYSTEM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187.64</v>
      </c>
      <c r="BK96" s="107">
        <f t="shared" si="7"/>
        <v>0</v>
      </c>
    </row>
    <row r="97" spans="1:63" ht="14.4" customHeight="1">
      <c r="A97" s="633"/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 PLNOVÝSUV 550 MM EB21 SILENT SYSTEM LEVÝ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194.36</v>
      </c>
      <c r="BK97" s="107">
        <f t="shared" si="7"/>
        <v>0</v>
      </c>
    </row>
    <row r="98" spans="1:63" ht="14.4" customHeight="1">
      <c r="A98" s="633"/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 PLNOVÝSUV 550 MM EB21 SILENT SYSTEM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194.36</v>
      </c>
      <c r="BK98" s="107">
        <f t="shared" si="7"/>
        <v>0</v>
      </c>
    </row>
    <row r="99" spans="1:63" ht="14.4" customHeight="1">
      <c r="A99" s="633"/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 PLNOVÝSUV 600 MM EB21 SILENT SYSTEM LEVÝ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198.1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 PLNOVÝSUV 600 MM EB21 SILENT SYSTEM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198.1</v>
      </c>
      <c r="BK100" s="107">
        <f t="shared" si="7"/>
        <v>0</v>
      </c>
    </row>
    <row r="101" spans="1:63">
      <c r="A101" s="633"/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PUSH TO OPEN SILENT QUADRO YOU 10 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544.37</v>
      </c>
      <c r="BK102" s="107">
        <f t="shared" si="7"/>
        <v>0</v>
      </c>
    </row>
    <row r="103" spans="1:63">
      <c r="A103" s="633"/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PUSH TO OPEN SILENT QUADRO YOU 20 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544.37</v>
      </c>
      <c r="BK103" s="107">
        <f t="shared" si="7"/>
        <v>0</v>
      </c>
    </row>
    <row r="104" spans="1:63">
      <c r="A104" s="633"/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PUSH TO OPEN SILENT QUADRO YOU 30 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544.37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 PLNOVÝSUV 270 MM EB21 PUSH TO OPEN LEVÝ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194.74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 PLNOVÝSUV 270 MM EB21 PUSH TO OPEN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194.74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 PLNOVÝSUV 300 MM EB21 PUSH TO OPEN LEVÝ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195.11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 PLNOVÝSUV 300 MM EB21 PUSH TO OPEN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195.11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 PLNOVÝSUV 350 MM EB21 PUSH TO OPEN LEVÝ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198.85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 PLNOVÝSUV 350 MM EB21 PUSH TO OPEN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198.85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 PLNOVÝSUV 400 MM EB21 PUSH TO OPEN LEVÝ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202.58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 PLNOVÝSUV 400 MM EB21 PUSH TO OPEN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202.58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 PLNOVÝSUV 450 MM EB21 PUSH TO OPEN LEVÝ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206.32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 PLNOVÝSUV 450 MM EB21 PUSH TO OPEN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206.32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 PLNOVÝSUV 500 MM EB21 PUSH TO OPEN LEVÝ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210.06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 PLNOVÝSUV 500 MM EB21 PUSH TO OPEN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210.06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 PLNOVÝSUV 550 MM EB21 PUSH TO OPEN LEVÝ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216.78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 PLNOVÝSUV 550 MM EB21 PUSH TO OPEN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216.78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 PLNOVÝSUV 600 MM EB21 PUSH TO OPEN LEVÝ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223.51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 PLNOVÝSUV 600 MM EB21 PUSH TO OPEN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223.51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13.07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>IF(BJ125="","",BJ125*BH125)</f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22"/>
      <c r="AV127" s="23"/>
      <c r="AW127" s="24"/>
      <c r="AX127" s="24"/>
      <c r="AY127" s="25"/>
      <c r="AZ127" s="451" t="str">
        <f t="shared" si="5"/>
        <v/>
      </c>
      <c r="BA127" s="107"/>
      <c r="BB127" s="107" t="str">
        <f t="shared" si="4"/>
        <v/>
      </c>
      <c r="BD127" s="441"/>
      <c r="BE127" s="23"/>
      <c r="BF127" s="24"/>
      <c r="BG127" s="24"/>
      <c r="BH127" s="25"/>
      <c r="BI127" s="451" t="str">
        <f t="shared" si="6"/>
        <v/>
      </c>
      <c r="BJ127" s="107"/>
      <c r="BK127" s="107" t="str">
        <f t="shared" si="7"/>
        <v/>
      </c>
    </row>
    <row r="128" spans="47:63">
      <c r="AU128" s="22"/>
      <c r="AV128" s="23"/>
      <c r="AW128" s="24"/>
      <c r="AX128" s="24"/>
      <c r="AY128" s="25"/>
      <c r="AZ128" s="451" t="str">
        <f t="shared" si="5"/>
        <v/>
      </c>
      <c r="BA128" s="107"/>
      <c r="BB128" s="107" t="str">
        <f t="shared" si="4"/>
        <v/>
      </c>
      <c r="BD128" s="441">
        <f>OBJ!B187</f>
        <v>9257269</v>
      </c>
      <c r="BE128" s="23" t="str">
        <f>VLOOKUP(BD128,CENY!$B$11:$G$1034,2,FALSE)</f>
        <v>AVANTECH YOU ALU PROFIL VNITŘNÍ ČELO V101 MM L2000 MM STŘÍBRNÁ</v>
      </c>
      <c r="BF128" s="24">
        <f>VLOOKUP(BD128,CENY!$B$11:$G$1034,3,FALSE)</f>
        <v>1</v>
      </c>
      <c r="BG128" s="24"/>
      <c r="BH128" s="25">
        <f>AY83</f>
        <v>0</v>
      </c>
      <c r="BI128" s="451">
        <f>IF(BH128="","",IF($AW$4=0,BH128,0))</f>
        <v>0</v>
      </c>
      <c r="BJ128" s="107">
        <f>VLOOKUP(BD128,CENY!$B$11:$M$2005,12,FALSE)</f>
        <v>1421.71</v>
      </c>
      <c r="BK128" s="107">
        <f>IF(BJ128="","",BJ128*BH128)</f>
        <v>0</v>
      </c>
    </row>
    <row r="129" spans="47:63">
      <c r="AU129" s="22"/>
      <c r="AV129" s="23"/>
      <c r="AW129" s="24"/>
      <c r="AX129" s="24"/>
      <c r="AY129" s="25"/>
      <c r="AZ129" s="451" t="str">
        <f t="shared" si="5"/>
        <v/>
      </c>
      <c r="BA129" s="107"/>
      <c r="BB129" s="107" t="str">
        <f t="shared" si="4"/>
        <v/>
      </c>
      <c r="BD129" s="441"/>
      <c r="BE129" s="23"/>
      <c r="BF129" s="24"/>
      <c r="BG129" s="24"/>
      <c r="BH129" s="25"/>
      <c r="BI129" s="451" t="str">
        <f>IF(BH129="","",IF($AW$4=0,BH129,0))</f>
        <v/>
      </c>
      <c r="BJ129" s="107"/>
      <c r="BK129" s="107" t="str">
        <f>IF(BJ129="","",BJ129*BH129)</f>
        <v/>
      </c>
    </row>
    <row r="130" spans="47:63">
      <c r="AU130" s="22"/>
      <c r="AV130" s="23"/>
      <c r="AW130" s="24"/>
      <c r="AX130" s="24"/>
      <c r="AY130" s="25"/>
      <c r="AZ130" s="451" t="str">
        <f t="shared" si="5"/>
        <v/>
      </c>
      <c r="BA130" s="107"/>
      <c r="BB130" s="107" t="str">
        <f t="shared" si="4"/>
        <v/>
      </c>
      <c r="BD130" s="441">
        <f>OBJ!B196</f>
        <v>9257641</v>
      </c>
      <c r="BE130" s="23" t="str">
        <f>VLOOKUP(BD130,CENY!$B$11:$G$1034,2,FALSE)</f>
        <v>AVANTECH YOU STABILIZÁTOR ČELA VNITŘNÍ ZÁSUVKY</v>
      </c>
      <c r="BF130" s="24">
        <f>VLOOKUP(BD130,CENY!$B$11:$G$1034,3,FALSE)</f>
        <v>100</v>
      </c>
      <c r="BG130" s="24"/>
      <c r="BH130" s="25">
        <f>AY84</f>
        <v>0</v>
      </c>
      <c r="BI130" s="451">
        <f>IF(BH130="","",IF($AW$4=0,BH130,0))</f>
        <v>0</v>
      </c>
      <c r="BJ130" s="107">
        <f>VLOOKUP(BD130,CENY!$B$11:$M$2005,12,FALSE)</f>
        <v>26.51</v>
      </c>
      <c r="BK130" s="107">
        <f>IF(BJ130="","",BJ130*BH130)</f>
        <v>0</v>
      </c>
    </row>
    <row r="131" spans="47:63">
      <c r="AU131" s="22"/>
      <c r="AV131" s="23"/>
      <c r="AW131" s="24"/>
      <c r="AX131" s="24"/>
      <c r="AY131" s="25"/>
      <c r="AZ131" s="451" t="str">
        <f t="shared" si="5"/>
        <v/>
      </c>
      <c r="BA131" s="107"/>
      <c r="BB131" s="107" t="str">
        <f t="shared" si="4"/>
        <v/>
      </c>
      <c r="BD131" s="441">
        <f>OBJ!B197</f>
        <v>9257629</v>
      </c>
      <c r="BE131" s="23" t="str">
        <f>VLOOKUP(BD131,CENY!$B$11:$G$1034,2,FALSE)</f>
        <v>AVANTECH YOU KONCOVÁ KRYTKA ČELA VNITŘNÍ ZÁSUVKY V101 STŘÍBRNÁ</v>
      </c>
      <c r="BF131" s="24">
        <f>VLOOKUP(BD131,CENY!$B$11:$G$1034,3,FALSE)</f>
        <v>200</v>
      </c>
      <c r="BG131" s="24"/>
      <c r="BH131" s="25">
        <f>2*AY84</f>
        <v>0</v>
      </c>
      <c r="BI131" s="451">
        <f>IF(BH131="","",IF($AW$4=0,BH131,0))</f>
        <v>0</v>
      </c>
      <c r="BJ131" s="107">
        <f>VLOOKUP(BD131,CENY!$B$11:$M$2005,12,FALSE)</f>
        <v>3.59</v>
      </c>
      <c r="BK131" s="107">
        <f>IF(BJ131="","",BJ131*BH131)</f>
        <v>0</v>
      </c>
    </row>
    <row r="132" spans="47:63">
      <c r="AU132" s="22"/>
      <c r="AV132" s="23"/>
      <c r="AW132" s="24"/>
      <c r="AX132" s="24"/>
      <c r="AY132" s="25"/>
      <c r="AZ132" s="451" t="str">
        <f t="shared" ref="AZ132:AZ137" si="9">IF(AY132="","",IF($AW$4=1,AY132,0))</f>
        <v/>
      </c>
      <c r="BA132" s="107"/>
      <c r="BB132" s="107" t="str">
        <f t="shared" si="4"/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7:63">
      <c r="AU133" s="441">
        <f>OBJ!B354</f>
        <v>45167</v>
      </c>
      <c r="AV133" s="23" t="str">
        <f>VLOOKUP(AU133,CENY!$B$11:$G$1034,2,FALSE)</f>
        <v>VRUT PANHEAD 35X12</v>
      </c>
      <c r="AW133" s="24">
        <f>VLOOKUP(AU133,CENY!$B$11:$G$1034,3,FALSE)</f>
        <v>200</v>
      </c>
      <c r="AX133" s="24"/>
      <c r="AY133" s="25">
        <f>SUMPRODUCT(AX5:AX13,AY5:AY13)</f>
        <v>0</v>
      </c>
      <c r="AZ133" s="451">
        <f t="shared" si="9"/>
        <v>0</v>
      </c>
      <c r="BA133" s="107">
        <f>VLOOKUP(AU133,CENY!$B$11:$M$2005,12,FALSE)</f>
        <v>0.54</v>
      </c>
      <c r="BB133" s="107">
        <f>IF(BA133="","",BA133*AY133)</f>
        <v>0</v>
      </c>
      <c r="BC133" s="97" t="s">
        <v>506</v>
      </c>
      <c r="BD133" s="441">
        <f>OBJ!B354</f>
        <v>45167</v>
      </c>
      <c r="BE133" s="23" t="str">
        <f>VLOOKUP(BD133,CENY!$B$11:$G$1034,2,FALSE)</f>
        <v>VRUT PANHEAD 35X12</v>
      </c>
      <c r="BF133" s="24">
        <f>VLOOKUP(BD133,CENY!$B$11:$G$1034,3,FALSE)</f>
        <v>200</v>
      </c>
      <c r="BG133" s="24"/>
      <c r="BH133" s="25">
        <f>AY133+BH25*2+BH130</f>
        <v>0</v>
      </c>
      <c r="BI133" s="451">
        <f>IF(BH133="","",IF($AW$4=0,BH133,0))</f>
        <v>0</v>
      </c>
      <c r="BJ133" s="107">
        <f>VLOOKUP(BD133,CENY!$B$11:$M$2005,12,FALSE)</f>
        <v>0.54</v>
      </c>
      <c r="BK133" s="107">
        <f>IF(BJ133="","",BJ133*BH133)</f>
        <v>0</v>
      </c>
    </row>
    <row r="134" spans="47:63">
      <c r="AU134" s="441">
        <f>OBJ!B355</f>
        <v>45168</v>
      </c>
      <c r="AV134" s="23" t="str">
        <f>VLOOKUP(AU134,CENY!$B$11:$G$1034,2,FALSE)</f>
        <v>VRUT PANHEAD 35X20</v>
      </c>
      <c r="AW134" s="24">
        <f>VLOOKUP(AU134,CENY!$B$11:$G$1034,3,FALSE)</f>
        <v>200</v>
      </c>
      <c r="AX134" s="24"/>
      <c r="AY134" s="497">
        <v>0</v>
      </c>
      <c r="AZ134" s="451">
        <f t="shared" si="9"/>
        <v>0</v>
      </c>
      <c r="BA134" s="107">
        <f>VLOOKUP(AU134,CENY!$B$11:$M$2005,12,FALSE)</f>
        <v>0.78</v>
      </c>
      <c r="BB134" s="107">
        <f>IF(BA134="","",BA134*AY134)</f>
        <v>0</v>
      </c>
      <c r="BC134" s="97" t="s">
        <v>507</v>
      </c>
      <c r="BD134" s="441">
        <f>OBJ!B355</f>
        <v>45168</v>
      </c>
      <c r="BE134" s="23" t="str">
        <f>VLOOKUP(BD134,CENY!$B$11:$G$1034,2,FALSE)</f>
        <v>VRUT PANHEAD 35X20</v>
      </c>
      <c r="BF134" s="24">
        <f>VLOOKUP(BD134,CENY!$B$11:$G$1034,3,FALSE)</f>
        <v>200</v>
      </c>
      <c r="BG134" s="24"/>
      <c r="BH134" s="497">
        <v>0</v>
      </c>
      <c r="BI134" s="451">
        <f>IF(BH134="","",IF($AW$4=0,BH134,0))</f>
        <v>0</v>
      </c>
      <c r="BJ134" s="107">
        <f>VLOOKUP(BD134,CENY!$B$11:$M$2005,12,FALSE)</f>
        <v>0.78</v>
      </c>
      <c r="BK134" s="107">
        <f>IF(BJ134="","",BJ134*BH134)</f>
        <v>0</v>
      </c>
    </row>
    <row r="135" spans="47:63">
      <c r="AU135" s="441">
        <f>OBJ!B356</f>
        <v>9278224</v>
      </c>
      <c r="AV135" s="23" t="str">
        <f>VLOOKUP(AU135,CENY!$B$11:$G$1034,2,FALSE)</f>
        <v>AVANTECH YOU VRUT 3,5X30 PANHEAD POZINK.</v>
      </c>
      <c r="AW135" s="24">
        <f>VLOOKUP(AU135,CENY!$B$11:$G$1034,3,FALSE)</f>
        <v>200</v>
      </c>
      <c r="AX135" s="24"/>
      <c r="AY135" s="497">
        <v>0</v>
      </c>
      <c r="AZ135" s="451">
        <f t="shared" si="9"/>
        <v>0</v>
      </c>
      <c r="BA135" s="107">
        <f>VLOOKUP(AU135,CENY!$B$11:$M$2005,12,FALSE)</f>
        <v>0.73</v>
      </c>
      <c r="BB135" s="107">
        <f>IF(BA135="","",BA135*AY135)</f>
        <v>0</v>
      </c>
      <c r="BC135" s="97" t="s">
        <v>508</v>
      </c>
      <c r="BD135" s="441">
        <f>OBJ!B356</f>
        <v>9278224</v>
      </c>
      <c r="BE135" s="23" t="str">
        <f>VLOOKUP(BD135,CENY!$B$11:$G$1034,2,FALSE)</f>
        <v>AVANTECH YOU VRUT 3,5X30 PANHEAD POZINK.</v>
      </c>
      <c r="BF135" s="24">
        <f>VLOOKUP(BD135,CENY!$B$11:$G$1034,3,FALSE)</f>
        <v>200</v>
      </c>
      <c r="BG135" s="24"/>
      <c r="BH135" s="497">
        <f>SUM(BH5:BH22)</f>
        <v>0</v>
      </c>
      <c r="BI135" s="451">
        <f>IF(BH135="","",IF($AW$4=0,BH135,0))</f>
        <v>0</v>
      </c>
      <c r="BJ135" s="107">
        <f>VLOOKUP(BD135,CENY!$B$11:$M$2005,12,FALSE)</f>
        <v>0.73</v>
      </c>
      <c r="BK135" s="107">
        <f>IF(BJ135="","",BJ135*BH135)</f>
        <v>0</v>
      </c>
    </row>
    <row r="136" spans="47:63">
      <c r="AU136" s="441">
        <f>OBJ!B357</f>
        <v>9279197</v>
      </c>
      <c r="AV136" s="23" t="str">
        <f>VLOOKUP(AU136,CENY!$B$11:$G$1034,2,FALSE)</f>
        <v>SAMOŘEZNÝ ŠROUB 3,5X12 PANHEAD POZINK.</v>
      </c>
      <c r="AW136" s="24">
        <f>VLOOKUP(AU136,CENY!$B$11:$G$1034,3,FALSE)</f>
        <v>1000</v>
      </c>
      <c r="AX136" s="24"/>
      <c r="AY136" s="77">
        <v>0</v>
      </c>
      <c r="AZ136" s="451">
        <f t="shared" si="9"/>
        <v>0</v>
      </c>
      <c r="BA136" s="107">
        <f>VLOOKUP(AU136,CENY!$B$11:$M$2005,12,FALSE)</f>
        <v>1.51</v>
      </c>
      <c r="BB136" s="107">
        <f>IF(BA136="","",BA136*AY136)</f>
        <v>0</v>
      </c>
      <c r="BC136" s="97" t="s">
        <v>509</v>
      </c>
      <c r="BD136" s="441">
        <f>OBJ!B357</f>
        <v>9279197</v>
      </c>
      <c r="BE136" s="23" t="str">
        <f>VLOOKUP(BD136,CENY!$B$11:$G$1034,2,FALSE)</f>
        <v>SAMOŘEZNÝ ŠROUB 3,5X12 PANHEAD POZINK.</v>
      </c>
      <c r="BF136" s="24">
        <f>VLOOKUP(BD136,CENY!$B$11:$G$1034,3,FALSE)</f>
        <v>1000</v>
      </c>
      <c r="BG136" s="24"/>
      <c r="BH136" s="77">
        <f>2*BH24</f>
        <v>0</v>
      </c>
      <c r="BI136" s="451">
        <f>IF(BH136="","",IF($AW$4=0,BH136,0))</f>
        <v>0</v>
      </c>
      <c r="BJ136" s="107">
        <f>VLOOKUP(BD136,CENY!$B$11:$M$2005,12,FALSE)</f>
        <v>1.51</v>
      </c>
      <c r="BK136" s="107">
        <f>IF(BJ136="","",BJ136*BH136)</f>
        <v>0</v>
      </c>
    </row>
    <row r="137" spans="47:63">
      <c r="AU137" s="441">
        <f>OBJ!B358</f>
        <v>9137114</v>
      </c>
      <c r="AV137" s="23" t="str">
        <f>VLOOKUP(AU137,CENY!$B$11:$G$1034,2,FALSE)</f>
        <v>EUROŠROUB DBS 60 X 14</v>
      </c>
      <c r="AW137" s="24">
        <f>VLOOKUP(AU137,CENY!$B$11:$G$1034,3,FALSE)</f>
        <v>200</v>
      </c>
      <c r="AX137" s="24"/>
      <c r="AY137" s="25">
        <f>SUMPRODUCT(AX25:AX74,AY25:AY74)</f>
        <v>0</v>
      </c>
      <c r="AZ137" s="451">
        <f t="shared" si="9"/>
        <v>0</v>
      </c>
      <c r="BA137" s="107">
        <f>VLOOKUP(AU137,CENY!$B$11:$M$2005,12,FALSE)</f>
        <v>1.2</v>
      </c>
      <c r="BB137" s="107">
        <f>IF(BA137="","",BA137*AY137)</f>
        <v>0</v>
      </c>
      <c r="BC137" s="97" t="s">
        <v>510</v>
      </c>
      <c r="BD137" s="441">
        <f>OBJ!B358</f>
        <v>9137114</v>
      </c>
      <c r="BE137" s="23" t="str">
        <f>VLOOKUP(BD137,CENY!$B$11:$G$1034,2,FALSE)</f>
        <v>EUROŠROUB DBS 60 X 14</v>
      </c>
      <c r="BF137" s="24">
        <f>VLOOKUP(BD137,CENY!$B$11:$G$1034,3,FALSE)</f>
        <v>200</v>
      </c>
      <c r="BG137" s="24"/>
      <c r="BH137" s="25">
        <f>AY137</f>
        <v>0</v>
      </c>
      <c r="BI137" s="451">
        <f>IF(BH137="","",IF($AW$4=0,BH137,0))</f>
        <v>0</v>
      </c>
      <c r="BJ137" s="107">
        <f>VLOOKUP(BD137,CENY!$B$11:$M$2005,12,FALSE)</f>
        <v>1.2</v>
      </c>
      <c r="BK137" s="107">
        <f>IF(BJ137="","",BJ137*BH137)</f>
        <v>0</v>
      </c>
    </row>
    <row r="138" spans="47:63">
      <c r="AU138" s="22"/>
      <c r="AV138" s="23"/>
      <c r="AW138" s="24"/>
      <c r="AX138" s="24"/>
      <c r="AY138" s="25"/>
      <c r="AZ138" s="451"/>
      <c r="BA138" s="107"/>
      <c r="BB138" s="107"/>
      <c r="BD138" s="441"/>
      <c r="BE138" s="23"/>
      <c r="BF138" s="24"/>
      <c r="BG138" s="24"/>
      <c r="BH138" s="25"/>
      <c r="BI138" s="451"/>
      <c r="BJ138" s="107"/>
      <c r="BK138" s="107"/>
    </row>
    <row r="139" spans="47:63">
      <c r="AU139" s="22"/>
      <c r="AV139" s="23"/>
      <c r="AW139" s="24"/>
      <c r="AX139" s="24"/>
      <c r="AY139" s="25"/>
      <c r="AZ139" s="451"/>
      <c r="BA139" s="107"/>
      <c r="BB139" s="107"/>
      <c r="BD139" s="441"/>
      <c r="BE139" s="23"/>
      <c r="BF139" s="24"/>
      <c r="BG139" s="24"/>
      <c r="BH139" s="25"/>
      <c r="BI139" s="451"/>
      <c r="BJ139" s="107"/>
      <c r="BK139" s="107"/>
    </row>
    <row r="140" spans="47:63">
      <c r="AU140" s="22"/>
      <c r="AV140" s="23"/>
      <c r="AW140" s="24"/>
      <c r="AX140" s="24"/>
      <c r="AY140" s="25"/>
      <c r="AZ140" s="451"/>
      <c r="BA140" s="107"/>
      <c r="BB140" s="107"/>
      <c r="BD140" s="441"/>
      <c r="BE140" s="23"/>
      <c r="BF140" s="24"/>
      <c r="BG140" s="24"/>
      <c r="BH140" s="25"/>
      <c r="BI140" s="451"/>
      <c r="BJ140" s="107"/>
      <c r="BK140" s="107"/>
    </row>
    <row r="141" spans="47:63">
      <c r="AU141" s="22"/>
      <c r="AV141" s="23"/>
      <c r="AW141" s="24"/>
      <c r="AX141" s="24"/>
      <c r="AY141" s="25"/>
      <c r="AZ141" s="451" t="str">
        <f>IF(AY141="","",IF($AW$4=1,AY141,0))</f>
        <v/>
      </c>
      <c r="BA141" s="107"/>
      <c r="BB141" s="107" t="str">
        <f>IF(BA141="","",BA141*AY141)</f>
        <v/>
      </c>
      <c r="BD141" s="441"/>
      <c r="BE141" s="23"/>
      <c r="BF141" s="24"/>
      <c r="BG141" s="24"/>
      <c r="BH141" s="25"/>
      <c r="BI141" s="451" t="str">
        <f t="shared" si="6"/>
        <v/>
      </c>
      <c r="BJ141" s="107"/>
      <c r="BK141" s="107" t="str">
        <f t="shared" si="7"/>
        <v/>
      </c>
    </row>
    <row r="142" spans="47:63">
      <c r="BD142" s="441"/>
      <c r="BE142" s="23"/>
      <c r="BF142" s="24"/>
      <c r="BG142" s="24"/>
      <c r="BH142" s="25"/>
      <c r="BI142" s="451" t="str">
        <f>IF(BH142="","",IF($AW$4=0,BH142,0))</f>
        <v/>
      </c>
      <c r="BJ142" s="107"/>
      <c r="BK142" s="107" t="str">
        <f>IF(BJ142="","",BJ142*BH142)</f>
        <v/>
      </c>
    </row>
    <row r="143" spans="47:63">
      <c r="BD143" s="441"/>
      <c r="BE143" s="23"/>
      <c r="BF143" s="24"/>
      <c r="BG143" s="24"/>
      <c r="BH143" s="25"/>
      <c r="BI143" s="451" t="str">
        <f>IF(BH143="","",IF($AW$4=0,BH143,0))</f>
        <v/>
      </c>
      <c r="BJ143" s="107"/>
      <c r="BK143" s="107" t="str">
        <f>IF(BJ143="","",BJ143*BH143)</f>
        <v/>
      </c>
    </row>
  </sheetData>
  <sheetProtection password="DD97" sheet="1"/>
  <mergeCells count="17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I12"/>
    <mergeCell ref="J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B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B30:G30"/>
    <mergeCell ref="H30:L30"/>
    <mergeCell ref="M30:N30"/>
    <mergeCell ref="O30:P30"/>
    <mergeCell ref="Q30:R30"/>
    <mergeCell ref="S30:T30"/>
    <mergeCell ref="U30:V30"/>
    <mergeCell ref="AA83:AB83"/>
    <mergeCell ref="S81:T81"/>
    <mergeCell ref="AA30:AB30"/>
    <mergeCell ref="O80:P80"/>
    <mergeCell ref="A66:A105"/>
    <mergeCell ref="B67:E67"/>
    <mergeCell ref="G67:K67"/>
    <mergeCell ref="O67:S67"/>
    <mergeCell ref="U67:Y67"/>
    <mergeCell ref="AA67:AE67"/>
    <mergeCell ref="O83:P83"/>
    <mergeCell ref="Q83:R83"/>
    <mergeCell ref="S83:T83"/>
    <mergeCell ref="U83:V83"/>
    <mergeCell ref="W83:X83"/>
    <mergeCell ref="Y83:Z83"/>
    <mergeCell ref="AC84:AD84"/>
    <mergeCell ref="AE84:AF84"/>
    <mergeCell ref="M84:N84"/>
    <mergeCell ref="O84:P84"/>
    <mergeCell ref="Q84:R84"/>
    <mergeCell ref="S84:T84"/>
    <mergeCell ref="U84:V84"/>
    <mergeCell ref="W84:X84"/>
    <mergeCell ref="S85:T85"/>
    <mergeCell ref="U85:V85"/>
    <mergeCell ref="W85:X85"/>
    <mergeCell ref="Y85:Z85"/>
    <mergeCell ref="AA85:AB85"/>
    <mergeCell ref="Y84:Z84"/>
    <mergeCell ref="AA84:AB84"/>
    <mergeCell ref="O81:P81"/>
    <mergeCell ref="AC85:AD85"/>
    <mergeCell ref="AE85:AF85"/>
    <mergeCell ref="AG85:AH85"/>
    <mergeCell ref="AI85:AJ85"/>
    <mergeCell ref="O82:AJ82"/>
    <mergeCell ref="AG84:AH84"/>
    <mergeCell ref="AI84:AJ84"/>
    <mergeCell ref="O85:P85"/>
    <mergeCell ref="Q85:R85"/>
    <mergeCell ref="Y81:Z81"/>
    <mergeCell ref="AA81:AB81"/>
    <mergeCell ref="AC81:AD81"/>
    <mergeCell ref="AE81:AF81"/>
    <mergeCell ref="AC83:AD83"/>
    <mergeCell ref="AE83:AF83"/>
    <mergeCell ref="AG83:AH83"/>
    <mergeCell ref="AI83:AJ83"/>
    <mergeCell ref="AK9:AP10"/>
    <mergeCell ref="Q81:R81"/>
    <mergeCell ref="AI67:AM67"/>
    <mergeCell ref="AO67:AR67"/>
    <mergeCell ref="W30:X30"/>
    <mergeCell ref="Y30:Z30"/>
    <mergeCell ref="AG80:AH80"/>
    <mergeCell ref="AI80:AJ80"/>
    <mergeCell ref="AG81:AH81"/>
    <mergeCell ref="AI81:AJ81"/>
    <mergeCell ref="AK81:AL81"/>
    <mergeCell ref="Q80:R80"/>
    <mergeCell ref="S80:T80"/>
    <mergeCell ref="U81:V81"/>
    <mergeCell ref="W81:X81"/>
    <mergeCell ref="U80:V80"/>
    <mergeCell ref="W80:X80"/>
    <mergeCell ref="Y80:Z80"/>
    <mergeCell ref="AA80:AB80"/>
    <mergeCell ref="AC80:AD80"/>
    <mergeCell ref="AE80:AF80"/>
    <mergeCell ref="AN29:AO29"/>
    <mergeCell ref="AC30:AD30"/>
    <mergeCell ref="AI25:AO25"/>
  </mergeCells>
  <conditionalFormatting sqref="BH26:BH85 AY5:AZ5 AY6:AY42 BH5:BI5 BH6:BH24 AZ6:AZ82 AZ85:AZ132 AZ138:AZ141">
    <cfRule type="cellIs" dxfId="455" priority="39" stopIfTrue="1" operator="equal">
      <formula>0</formula>
    </cfRule>
  </conditionalFormatting>
  <conditionalFormatting sqref="AY53:AY56 AY66:AY69 AY43:AY50">
    <cfRule type="cellIs" dxfId="454" priority="37" stopIfTrue="1" operator="equal">
      <formula>0</formula>
    </cfRule>
  </conditionalFormatting>
  <conditionalFormatting sqref="O17:AF17 O19:T19 O20:AD20 W22:AF22 O27:T27 O28:AD28 O30:AD30">
    <cfRule type="expression" dxfId="453" priority="38" stopIfTrue="1">
      <formula>$AW$4=0</formula>
    </cfRule>
  </conditionalFormatting>
  <conditionalFormatting sqref="AY76:AY77 AY79 AY81:AY82">
    <cfRule type="cellIs" dxfId="452" priority="36" stopIfTrue="1" operator="equal">
      <formula>0</formula>
    </cfRule>
  </conditionalFormatting>
  <conditionalFormatting sqref="AY88:AY97">
    <cfRule type="cellIs" dxfId="451" priority="34" stopIfTrue="1" operator="equal">
      <formula>0</formula>
    </cfRule>
  </conditionalFormatting>
  <conditionalFormatting sqref="BH25">
    <cfRule type="cellIs" dxfId="450" priority="33" stopIfTrue="1" operator="equal">
      <formula>0</formula>
    </cfRule>
  </conditionalFormatting>
  <conditionalFormatting sqref="AY51:AY52">
    <cfRule type="cellIs" dxfId="449" priority="32" stopIfTrue="1" operator="equal">
      <formula>0</formula>
    </cfRule>
  </conditionalFormatting>
  <conditionalFormatting sqref="AY57:AY63">
    <cfRule type="cellIs" dxfId="448" priority="31" stopIfTrue="1" operator="equal">
      <formula>0</formula>
    </cfRule>
  </conditionalFormatting>
  <conditionalFormatting sqref="AY70:AY73">
    <cfRule type="cellIs" dxfId="447" priority="30" stopIfTrue="1" operator="equal">
      <formula>0</formula>
    </cfRule>
  </conditionalFormatting>
  <conditionalFormatting sqref="AY74">
    <cfRule type="cellIs" dxfId="446" priority="29" stopIfTrue="1" operator="equal">
      <formula>0</formula>
    </cfRule>
  </conditionalFormatting>
  <conditionalFormatting sqref="AY75">
    <cfRule type="cellIs" dxfId="445" priority="28" stopIfTrue="1" operator="equal">
      <formula>0</formula>
    </cfRule>
  </conditionalFormatting>
  <conditionalFormatting sqref="AY78">
    <cfRule type="cellIs" dxfId="444" priority="27" stopIfTrue="1" operator="equal">
      <formula>0</formula>
    </cfRule>
  </conditionalFormatting>
  <conditionalFormatting sqref="AY85:AY87">
    <cfRule type="cellIs" dxfId="443" priority="26" stopIfTrue="1" operator="equal">
      <formula>0</formula>
    </cfRule>
  </conditionalFormatting>
  <conditionalFormatting sqref="BH101:BH106">
    <cfRule type="cellIs" dxfId="442" priority="25" stopIfTrue="1" operator="equal">
      <formula>0</formula>
    </cfRule>
  </conditionalFormatting>
  <conditionalFormatting sqref="BH122:BH124 BH126:BH127 BH132 BH138:BH143">
    <cfRule type="cellIs" dxfId="441" priority="24" stopIfTrue="1" operator="equal">
      <formula>0</formula>
    </cfRule>
  </conditionalFormatting>
  <conditionalFormatting sqref="AY98:AY132 AY138:AY141">
    <cfRule type="cellIs" dxfId="440" priority="23" stopIfTrue="1" operator="equal">
      <formula>0</formula>
    </cfRule>
  </conditionalFormatting>
  <conditionalFormatting sqref="AY64:AY65">
    <cfRule type="cellIs" dxfId="439" priority="22" stopIfTrue="1" operator="equal">
      <formula>0</formula>
    </cfRule>
  </conditionalFormatting>
  <conditionalFormatting sqref="BH86:BH100">
    <cfRule type="cellIs" dxfId="438" priority="21" stopIfTrue="1" operator="equal">
      <formula>0</formula>
    </cfRule>
  </conditionalFormatting>
  <conditionalFormatting sqref="BH107:BH121">
    <cfRule type="cellIs" dxfId="437" priority="20" stopIfTrue="1" operator="equal">
      <formula>0</formula>
    </cfRule>
  </conditionalFormatting>
  <conditionalFormatting sqref="AY80">
    <cfRule type="cellIs" dxfId="436" priority="19" stopIfTrue="1" operator="equal">
      <formula>0</formula>
    </cfRule>
  </conditionalFormatting>
  <conditionalFormatting sqref="BH125">
    <cfRule type="cellIs" dxfId="435" priority="18" stopIfTrue="1" operator="equal">
      <formula>0</formula>
    </cfRule>
  </conditionalFormatting>
  <conditionalFormatting sqref="F13:K13">
    <cfRule type="expression" dxfId="434" priority="17" stopIfTrue="1">
      <formula>$AW$4=1</formula>
    </cfRule>
  </conditionalFormatting>
  <conditionalFormatting sqref="BI6:BI127 BI132 BI138:BI143">
    <cfRule type="cellIs" dxfId="433" priority="16" stopIfTrue="1" operator="equal">
      <formula>0</formula>
    </cfRule>
  </conditionalFormatting>
  <conditionalFormatting sqref="AZ83:AZ84">
    <cfRule type="cellIs" dxfId="432" priority="14" stopIfTrue="1" operator="equal">
      <formula>0</formula>
    </cfRule>
  </conditionalFormatting>
  <conditionalFormatting sqref="AY83:AY84">
    <cfRule type="cellIs" dxfId="431" priority="13" stopIfTrue="1" operator="equal">
      <formula>0</formula>
    </cfRule>
  </conditionalFormatting>
  <conditionalFormatting sqref="BH128:BH129">
    <cfRule type="cellIs" dxfId="430" priority="12" stopIfTrue="1" operator="equal">
      <formula>0</formula>
    </cfRule>
  </conditionalFormatting>
  <conditionalFormatting sqref="BI128:BI129">
    <cfRule type="cellIs" dxfId="429" priority="11" stopIfTrue="1" operator="equal">
      <formula>0</formula>
    </cfRule>
  </conditionalFormatting>
  <conditionalFormatting sqref="BH130:BH131">
    <cfRule type="cellIs" dxfId="428" priority="10" stopIfTrue="1" operator="equal">
      <formula>0</formula>
    </cfRule>
  </conditionalFormatting>
  <conditionalFormatting sqref="BI130:BI131">
    <cfRule type="cellIs" dxfId="427" priority="9" stopIfTrue="1" operator="equal">
      <formula>0</formula>
    </cfRule>
  </conditionalFormatting>
  <conditionalFormatting sqref="AR87">
    <cfRule type="expression" dxfId="426" priority="8" stopIfTrue="1">
      <formula>$AU$87=AU89</formula>
    </cfRule>
  </conditionalFormatting>
  <conditionalFormatting sqref="AZ133:AZ137">
    <cfRule type="cellIs" dxfId="425" priority="7" stopIfTrue="1" operator="equal">
      <formula>0</formula>
    </cfRule>
  </conditionalFormatting>
  <conditionalFormatting sqref="AY133:AY137">
    <cfRule type="cellIs" dxfId="424" priority="6" stopIfTrue="1" operator="equal">
      <formula>0</formula>
    </cfRule>
  </conditionalFormatting>
  <conditionalFormatting sqref="BH133 BH136:BH137">
    <cfRule type="cellIs" dxfId="423" priority="5" stopIfTrue="1" operator="equal">
      <formula>0</formula>
    </cfRule>
  </conditionalFormatting>
  <conditionalFormatting sqref="BI133:BI137">
    <cfRule type="cellIs" dxfId="422" priority="4" stopIfTrue="1" operator="equal">
      <formula>0</formula>
    </cfRule>
  </conditionalFormatting>
  <conditionalFormatting sqref="BH134:BH135">
    <cfRule type="cellIs" dxfId="421" priority="3" stopIfTrue="1" operator="equal">
      <formula>0</formula>
    </cfRule>
  </conditionalFormatting>
  <conditionalFormatting sqref="AI17:AO17">
    <cfRule type="expression" dxfId="420" priority="2" stopIfTrue="1">
      <formula>$AW$4=0</formula>
    </cfRule>
  </conditionalFormatting>
  <conditionalFormatting sqref="AI25:AO25">
    <cfRule type="expression" dxfId="419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M69" location="MENU!A1" display="MENU!A1"/>
    <hyperlink ref="B67:E67" location="'AVT101(vn-A)'!A1" display="'AVT101(vn-A)'!A1"/>
    <hyperlink ref="AK9:AO10" location="'IT70(vn100)'!A66" display="'IT70(vn100)'!A66"/>
    <hyperlink ref="AK9:AP10" location="'AVT101(vn-A)'!A66" display="'AVT101(vn-A)'!A66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rgb="FFFF0000"/>
  </sheetPr>
  <dimension ref="A1:BK122"/>
  <sheetViews>
    <sheetView showGridLines="0" showRowColHeaders="0" zoomScale="95" zoomScaleNormal="95" workbookViewId="0">
      <selection activeCell="B5" sqref="B5"/>
    </sheetView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SUM(BB5:BB979)</f>
        <v>0</v>
      </c>
      <c r="BD4" s="105" t="s">
        <v>40</v>
      </c>
      <c r="BK4" s="444">
        <f>SUM(BK5:BK972)</f>
        <v>0</v>
      </c>
    </row>
    <row r="5" spans="1:63" ht="14.4" customHeight="1">
      <c r="AU5" s="441">
        <f>OBJ!B81</f>
        <v>9255254</v>
      </c>
      <c r="AV5" s="23" t="str">
        <f>VLOOKUP(AU5,CENY!$B$11:$G$1034,2,FALSE)</f>
        <v>AVANTECH YOU BOKY V SADĚ V139 MM NL300 MM STŘÍBRNÁ</v>
      </c>
      <c r="AW5" s="24">
        <f>VLOOKUP(AU5,CENY!$B$11:$G$1034,3,FALSE)</f>
        <v>1</v>
      </c>
      <c r="AX5" s="499">
        <v>4</v>
      </c>
      <c r="AY5" s="25">
        <f>Q19+Q20+Q27+Q28+Q30</f>
        <v>0</v>
      </c>
      <c r="AZ5" s="451">
        <f>IF(AY5="","",IF($AW$4=1,AY5,0))</f>
        <v>0</v>
      </c>
      <c r="BA5" s="107">
        <f>VLOOKUP(AU5,CENY!$B$11:$M$2005,12,FALSE)</f>
        <v>682.46</v>
      </c>
      <c r="BB5" s="107">
        <f t="shared" ref="BB5:BB68" si="0">IF(BA5="","",BA5*AY5)</f>
        <v>0</v>
      </c>
      <c r="BD5" s="441">
        <f>OBJ!B89</f>
        <v>9255028</v>
      </c>
      <c r="BE5" s="23" t="str">
        <f>VLOOKUP(BD5,CENY!$B$11:$G$1034,2,FALSE)</f>
        <v>AVANTECH YOU BOK V139 MM NL300 MM STŘÍBRNÝ LEVÝ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229.12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437</v>
      </c>
      <c r="G6" s="554"/>
      <c r="H6" s="554"/>
      <c r="I6" s="554"/>
      <c r="J6" s="554"/>
      <c r="K6" s="554"/>
      <c r="AU6" s="441">
        <f>OBJ!B82</f>
        <v>9255255</v>
      </c>
      <c r="AV6" s="23" t="str">
        <f>VLOOKUP(AU6,CENY!$B$11:$G$1034,2,FALSE)</f>
        <v>AVANTECH YOU BOKY V SADĚ V139 MM NL350 MM STŘÍBRNÁ</v>
      </c>
      <c r="AW6" s="24">
        <f>VLOOKUP(AU6,CENY!$B$11:$G$1034,3,FALSE)</f>
        <v>1</v>
      </c>
      <c r="AX6" s="499">
        <v>6</v>
      </c>
      <c r="AY6" s="25">
        <f>S19+S20+S27+S28+S30</f>
        <v>0</v>
      </c>
      <c r="AZ6" s="451">
        <f t="shared" ref="AZ6:AZ69" si="1">IF(AY6="","",IF($AW$4=1,AY6,0))</f>
        <v>0</v>
      </c>
      <c r="BA6" s="107">
        <f>VLOOKUP(AU6,CENY!$B$11:$M$2005,12,FALSE)</f>
        <v>691.23</v>
      </c>
      <c r="BB6" s="107">
        <f t="shared" si="0"/>
        <v>0</v>
      </c>
      <c r="BD6" s="441">
        <f>OBJ!B90</f>
        <v>9255029</v>
      </c>
      <c r="BE6" s="23" t="str">
        <f>VLOOKUP(BD6,CENY!$B$11:$G$1034,2,FALSE)</f>
        <v>AVANTECH YOU BOK V139 MM NL300 MM STŘÍBRNÝ PRAVÝ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229.12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OBJ!B83</f>
        <v>9255256</v>
      </c>
      <c r="AV7" s="23" t="str">
        <f>VLOOKUP(AU7,CENY!$B$11:$G$1034,2,FALSE)</f>
        <v>AVANTECH YOU BOKY V SADĚ V139 MM NL400 MM STŘÍBRNÁ</v>
      </c>
      <c r="AW7" s="24">
        <f>VLOOKUP(AU7,CENY!$B$11:$G$1034,3,FALSE)</f>
        <v>1</v>
      </c>
      <c r="AX7" s="499">
        <v>6</v>
      </c>
      <c r="AY7" s="25">
        <f>U20+U28+U30</f>
        <v>0</v>
      </c>
      <c r="AZ7" s="451">
        <f t="shared" si="1"/>
        <v>0</v>
      </c>
      <c r="BA7" s="107">
        <f>VLOOKUP(AU7,CENY!$B$11:$M$2005,12,FALSE)</f>
        <v>700.01</v>
      </c>
      <c r="BB7" s="107">
        <f t="shared" si="0"/>
        <v>0</v>
      </c>
      <c r="BD7" s="441">
        <f>OBJ!B91</f>
        <v>9255030</v>
      </c>
      <c r="BE7" s="23" t="str">
        <f>VLOOKUP(BD7,CENY!$B$11:$G$1034,2,FALSE)</f>
        <v>AVANTECH YOU BOK V139 MM NL350 MM STŘÍBRNÝ LEVÝ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233.33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OBJ!B84</f>
        <v>9255257</v>
      </c>
      <c r="AV8" s="23" t="str">
        <f>VLOOKUP(AU8,CENY!$B$11:$G$1034,2,FALSE)</f>
        <v>AVANTECH YOU BOKY V SADĚ V139 MM NL450 MM STŘÍBRNÁ</v>
      </c>
      <c r="AW8" s="24">
        <f>VLOOKUP(AU8,CENY!$B$11:$G$1034,3,FALSE)</f>
        <v>1</v>
      </c>
      <c r="AX8" s="499">
        <v>6</v>
      </c>
      <c r="AY8" s="25">
        <f>W20+W22+W28+W30</f>
        <v>0</v>
      </c>
      <c r="AZ8" s="451">
        <f t="shared" si="1"/>
        <v>0</v>
      </c>
      <c r="BA8" s="107">
        <f>VLOOKUP(AU8,CENY!$B$11:$M$2005,12,FALSE)</f>
        <v>708.78</v>
      </c>
      <c r="BB8" s="107">
        <f t="shared" si="0"/>
        <v>0</v>
      </c>
      <c r="BD8" s="441">
        <f>OBJ!B92</f>
        <v>9255031</v>
      </c>
      <c r="BE8" s="23" t="str">
        <f>VLOOKUP(BD8,CENY!$B$11:$G$1034,2,FALSE)</f>
        <v>AVANTECH YOU BOK V139 MM NL350 MM STŘÍBRNÝ PRAVÝ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233.33</v>
      </c>
      <c r="BK8" s="107">
        <f t="shared" si="3"/>
        <v>0</v>
      </c>
    </row>
    <row r="9" spans="1:63" ht="14.4" customHeight="1" thickTop="1">
      <c r="B9" s="553"/>
      <c r="C9" s="553"/>
      <c r="D9" s="553"/>
      <c r="E9" s="553"/>
      <c r="F9" s="554"/>
      <c r="G9" s="554"/>
      <c r="H9" s="554"/>
      <c r="I9" s="554"/>
      <c r="J9" s="554"/>
      <c r="K9" s="554"/>
      <c r="AK9" s="649" t="str">
        <f>verze!E160</f>
        <v>Je nutné natypovat šířky čel ?</v>
      </c>
      <c r="AL9" s="650"/>
      <c r="AM9" s="650"/>
      <c r="AN9" s="650"/>
      <c r="AO9" s="650"/>
      <c r="AP9" s="651"/>
      <c r="AU9" s="441">
        <f>OBJ!B85</f>
        <v>9255258</v>
      </c>
      <c r="AV9" s="23" t="str">
        <f>VLOOKUP(AU9,CENY!$B$11:$G$1034,2,FALSE)</f>
        <v>AVANTECH YOU BOKY V SADĚ V139 MM NL500 MM STŘÍBRNÁ</v>
      </c>
      <c r="AW9" s="24">
        <f>VLOOKUP(AU9,CENY!$B$11:$G$1034,3,FALSE)</f>
        <v>1</v>
      </c>
      <c r="AX9" s="499">
        <v>8</v>
      </c>
      <c r="AY9" s="25">
        <f>Y20+Y22+Y28+Y30</f>
        <v>0</v>
      </c>
      <c r="AZ9" s="451">
        <f t="shared" si="1"/>
        <v>0</v>
      </c>
      <c r="BA9" s="107">
        <f>VLOOKUP(AU9,CENY!$B$11:$M$2005,12,FALSE)</f>
        <v>717.56</v>
      </c>
      <c r="BB9" s="107">
        <f t="shared" si="0"/>
        <v>0</v>
      </c>
      <c r="BD9" s="441">
        <f>OBJ!B93</f>
        <v>9255032</v>
      </c>
      <c r="BE9" s="23" t="str">
        <f>VLOOKUP(BD9,CENY!$B$11:$G$1034,2,FALSE)</f>
        <v>AVANTECH YOU BOK V139 MM NL400 MM STŘÍBRNÝ LEVÝ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237.55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OBJ!B86</f>
        <v>9255259</v>
      </c>
      <c r="AV10" s="23" t="str">
        <f>VLOOKUP(AU10,CENY!$B$11:$G$1034,2,FALSE)</f>
        <v>AVANTECH YOU BOKY V SADĚ V139 MM NL550 MM STŘÍBRNÁ</v>
      </c>
      <c r="AW10" s="24">
        <f>VLOOKUP(AU10,CENY!$B$11:$G$1034,3,FALSE)</f>
        <v>1</v>
      </c>
      <c r="AX10" s="499">
        <v>8</v>
      </c>
      <c r="AY10" s="25">
        <f>AA20+AA22+AA28+AA30</f>
        <v>0</v>
      </c>
      <c r="AZ10" s="451">
        <f t="shared" si="1"/>
        <v>0</v>
      </c>
      <c r="BA10" s="107">
        <f>VLOOKUP(AU10,CENY!$B$11:$M$2005,12,FALSE)</f>
        <v>726.33</v>
      </c>
      <c r="BB10" s="107">
        <f t="shared" si="0"/>
        <v>0</v>
      </c>
      <c r="BD10" s="441">
        <f>OBJ!B94</f>
        <v>9255033</v>
      </c>
      <c r="BE10" s="23" t="str">
        <f>VLOOKUP(BD10,CENY!$B$11:$G$1034,2,FALSE)</f>
        <v>AVANTECH YOU BOK V139 MM NL400 MM STŘÍBRNÝ PRAVÝ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237.55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OBJ!B87</f>
        <v>9255260</v>
      </c>
      <c r="AV11" s="23" t="str">
        <f>VLOOKUP(AU11,CENY!$B$11:$G$1034,2,FALSE)</f>
        <v>AVANTECH YOU BOKY V SADĚ V139 MM NL600 MM STŘÍBRNÁ</v>
      </c>
      <c r="AW11" s="24">
        <f>VLOOKUP(AU11,CENY!$B$11:$G$1034,3,FALSE)</f>
        <v>1</v>
      </c>
      <c r="AX11" s="499">
        <v>8</v>
      </c>
      <c r="AY11" s="25">
        <f>AC20+AC22+AC28+AC30</f>
        <v>0</v>
      </c>
      <c r="AZ11" s="451">
        <f t="shared" si="1"/>
        <v>0</v>
      </c>
      <c r="BA11" s="107">
        <f>VLOOKUP(AU11,CENY!$B$11:$M$2005,12,FALSE)</f>
        <v>739.57</v>
      </c>
      <c r="BB11" s="107">
        <f t="shared" si="0"/>
        <v>0</v>
      </c>
      <c r="BD11" s="441">
        <f>OBJ!B95</f>
        <v>9255034</v>
      </c>
      <c r="BE11" s="23" t="str">
        <f>VLOOKUP(BD11,CENY!$B$11:$G$1034,2,FALSE)</f>
        <v>AVANTECH YOU BOK V139 MM NL450 MM STŘÍBRNÝ LEVÝ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241.77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OBJ!B96</f>
        <v>9255035</v>
      </c>
      <c r="BE12" s="23" t="str">
        <f>VLOOKUP(BD12,CENY!$B$11:$G$1034,2,FALSE)</f>
        <v>AVANTECH YOU BOK V139 MM NL450 MM STŘÍBRNÝ PRAVÝ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241.77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OBJ!B72</f>
        <v>9255805</v>
      </c>
      <c r="AV13" s="23" t="str">
        <f>VLOOKUP(AU13,CENY!$B$11:$G$1034,2,FALSE)</f>
        <v>AVANTECH YOU DEKORATIVNÍ PROFIL NL300 MM STŘÍBRNÝ</v>
      </c>
      <c r="AW13" s="24">
        <f>VLOOKUP(AU13,CENY!$B$11:$G$1034,3,FALSE)</f>
        <v>200</v>
      </c>
      <c r="AX13" s="24"/>
      <c r="AY13" s="25">
        <f>IF(FORM!AM18=FORM!AU16,0,2*(Q19+Q20+Q27+Q28+Q30))</f>
        <v>0</v>
      </c>
      <c r="AZ13" s="451">
        <f t="shared" si="1"/>
        <v>0</v>
      </c>
      <c r="BA13" s="107">
        <f>VLOOKUP(AU13,CENY!$B$11:$M$2005,12,FALSE)</f>
        <v>9.2799999999999994</v>
      </c>
      <c r="BB13" s="107">
        <f t="shared" si="0"/>
        <v>0</v>
      </c>
      <c r="BD13" s="441">
        <f>OBJ!B97</f>
        <v>9255036</v>
      </c>
      <c r="BE13" s="23" t="str">
        <f>VLOOKUP(BD13,CENY!$B$11:$G$1034,2,FALSE)</f>
        <v>AVANTECH YOU BOK V139 MM NL500 MM STŘÍBRNÝ LEVÝ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245.98</v>
      </c>
      <c r="BK13" s="107">
        <f t="shared" si="3"/>
        <v>0</v>
      </c>
    </row>
    <row r="14" spans="1:63" ht="14.4" customHeight="1">
      <c r="AU14" s="441">
        <f>OBJ!B73</f>
        <v>9255806</v>
      </c>
      <c r="AV14" s="23" t="str">
        <f>VLOOKUP(AU14,CENY!$B$11:$G$1034,2,FALSE)</f>
        <v>AVANTECH YOU DEKORATIVNÍ PROFIL NL350 MM STŘÍBRNÝ</v>
      </c>
      <c r="AW14" s="24">
        <f>VLOOKUP(AU14,CENY!$B$11:$G$1034,3,FALSE)</f>
        <v>200</v>
      </c>
      <c r="AX14" s="24"/>
      <c r="AY14" s="25">
        <f>IF(FORM!AM18=FORM!AU16,0,2*(S19+S20+S27+S28+S30))</f>
        <v>0</v>
      </c>
      <c r="AZ14" s="451">
        <f t="shared" si="1"/>
        <v>0</v>
      </c>
      <c r="BA14" s="107">
        <f>VLOOKUP(AU14,CENY!$B$11:$M$2005,12,FALSE)</f>
        <v>9.4499999999999993</v>
      </c>
      <c r="BB14" s="107">
        <f t="shared" si="0"/>
        <v>0</v>
      </c>
      <c r="BD14" s="441">
        <f>OBJ!B98</f>
        <v>9255037</v>
      </c>
      <c r="BE14" s="23" t="str">
        <f>VLOOKUP(BD14,CENY!$B$11:$G$1034,2,FALSE)</f>
        <v>AVANTECH YOU BOK V139 MM NL500 MM STŘÍBRNÝ PRAVÝ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245.98</v>
      </c>
      <c r="BK14" s="107">
        <f t="shared" si="3"/>
        <v>0</v>
      </c>
    </row>
    <row r="15" spans="1:63" ht="14.4" customHeight="1">
      <c r="AU15" s="441">
        <f>OBJ!B74</f>
        <v>9255807</v>
      </c>
      <c r="AV15" s="23" t="str">
        <f>VLOOKUP(AU15,CENY!$B$11:$G$1034,2,FALSE)</f>
        <v>AVANTECH YOU DEKORATIVNÍ PROFIL NL400 MM STŘÍBRNÝ</v>
      </c>
      <c r="AW15" s="24">
        <f>VLOOKUP(AU15,CENY!$B$11:$G$1034,3,FALSE)</f>
        <v>200</v>
      </c>
      <c r="AX15" s="24"/>
      <c r="AY15" s="25">
        <f>IF(FORM!AM18=FORM!AU16,0,2*(U20+U28+U30))</f>
        <v>0</v>
      </c>
      <c r="AZ15" s="451">
        <f t="shared" si="1"/>
        <v>0</v>
      </c>
      <c r="BA15" s="107">
        <f>VLOOKUP(AU15,CENY!$B$11:$M$2005,12,FALSE)</f>
        <v>9.6199999999999992</v>
      </c>
      <c r="BB15" s="107">
        <f t="shared" si="0"/>
        <v>0</v>
      </c>
      <c r="BD15" s="441">
        <f>OBJ!B99</f>
        <v>9255038</v>
      </c>
      <c r="BE15" s="23" t="str">
        <f>VLOOKUP(BD15,CENY!$B$11:$G$1034,2,FALSE)</f>
        <v>AVANTECH YOU BOK V139 MM NL550 MM STŘÍBRNÝ LEVÝ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250.2</v>
      </c>
      <c r="BK15" s="107">
        <f t="shared" si="3"/>
        <v>0</v>
      </c>
    </row>
    <row r="16" spans="1:63" ht="14.4" customHeight="1">
      <c r="AU16" s="441">
        <f>OBJ!B75</f>
        <v>9255808</v>
      </c>
      <c r="AV16" s="23" t="str">
        <f>VLOOKUP(AU16,CENY!$B$11:$G$1034,2,FALSE)</f>
        <v>AVANTECH YOU DEKORATIVNÍ PROFIL NL450 MM STŘÍBRNÝ</v>
      </c>
      <c r="AW16" s="24">
        <f>VLOOKUP(AU16,CENY!$B$11:$G$1034,3,FALSE)</f>
        <v>200</v>
      </c>
      <c r="AX16" s="24"/>
      <c r="AY16" s="25">
        <f>IF(FORM!AM18=FORM!AU16,0,2*(W20+W22+W28+W30))</f>
        <v>0</v>
      </c>
      <c r="AZ16" s="451">
        <f t="shared" si="1"/>
        <v>0</v>
      </c>
      <c r="BA16" s="107">
        <f>VLOOKUP(AU16,CENY!$B$11:$M$2005,12,FALSE)</f>
        <v>9.8000000000000007</v>
      </c>
      <c r="BB16" s="107">
        <f t="shared" si="0"/>
        <v>0</v>
      </c>
      <c r="BD16" s="441">
        <f>OBJ!B100</f>
        <v>9255039</v>
      </c>
      <c r="BE16" s="23" t="str">
        <f>VLOOKUP(BD16,CENY!$B$11:$G$1034,2,FALSE)</f>
        <v>AVANTECH YOU BOK V139 MM NL550 MM STŘÍBRNÝ PRAVÝ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250.2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OBJ!B76</f>
        <v>9255809</v>
      </c>
      <c r="AV17" s="23" t="str">
        <f>VLOOKUP(AU17,CENY!$B$11:$G$1034,2,FALSE)</f>
        <v>AVANTECH YOU DEKORATIVNÍ PROFIL NL500 MM STŘÍBRNÝ</v>
      </c>
      <c r="AW17" s="24">
        <f>VLOOKUP(AU17,CENY!$B$11:$G$1034,3,FALSE)</f>
        <v>200</v>
      </c>
      <c r="AX17" s="24"/>
      <c r="AY17" s="25">
        <f>IF(FORM!AM18=FORM!AU16,0,2*(Y20+Y22+Y28+Y30))</f>
        <v>0</v>
      </c>
      <c r="AZ17" s="451">
        <f t="shared" si="1"/>
        <v>0</v>
      </c>
      <c r="BA17" s="107">
        <f>VLOOKUP(AU17,CENY!$B$11:$M$2005,12,FALSE)</f>
        <v>9.9700000000000006</v>
      </c>
      <c r="BB17" s="107">
        <f t="shared" si="0"/>
        <v>0</v>
      </c>
      <c r="BD17" s="441">
        <f>OBJ!B101</f>
        <v>9255040</v>
      </c>
      <c r="BE17" s="23" t="str">
        <f>VLOOKUP(BD17,CENY!$B$11:$G$1034,2,FALSE)</f>
        <v>AVANTECH YOU BOK V139 MM NL600 MM STŘÍBRNÝ LEVÝ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256.56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OBJ!B77</f>
        <v>9255810</v>
      </c>
      <c r="AV18" s="23" t="str">
        <f>VLOOKUP(AU18,CENY!$B$11:$G$1034,2,FALSE)</f>
        <v>AVANTECH YOU DEKORATIVNÍ PROFIL NL550 MM STŘÍBRNÝ</v>
      </c>
      <c r="AW18" s="24">
        <f>VLOOKUP(AU18,CENY!$B$11:$G$1034,3,FALSE)</f>
        <v>200</v>
      </c>
      <c r="AX18" s="24"/>
      <c r="AY18" s="25">
        <f>IF(FORM!AM18=FORM!AU16,0,2*(AA20+AA22+AA28+AA30))</f>
        <v>0</v>
      </c>
      <c r="AZ18" s="451">
        <f t="shared" si="1"/>
        <v>0</v>
      </c>
      <c r="BA18" s="107">
        <f>VLOOKUP(AU18,CENY!$B$11:$M$2005,12,FALSE)</f>
        <v>10.14</v>
      </c>
      <c r="BB18" s="107">
        <f t="shared" si="0"/>
        <v>0</v>
      </c>
      <c r="BD18" s="441">
        <f>OBJ!B102</f>
        <v>9255041</v>
      </c>
      <c r="BE18" s="23" t="str">
        <f>VLOOKUP(BD18,CENY!$B$11:$G$1034,2,FALSE)</f>
        <v>AVANTECH YOU BOK V139 MM NL600 MM STŘÍBRNÝ PRAVÝ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256.56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464"/>
      <c r="P19" s="465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OBJ!B78</f>
        <v>9255811</v>
      </c>
      <c r="AV19" s="23" t="str">
        <f>VLOOKUP(AU19,CENY!$B$11:$G$1034,2,FALSE)</f>
        <v>AVANTECH YOU DEKORATIVNÍ PROFIL NL600 MM STŘÍBRNÝ</v>
      </c>
      <c r="AW19" s="24">
        <f>VLOOKUP(AU19,CENY!$B$11:$G$1034,3,FALSE)</f>
        <v>200</v>
      </c>
      <c r="AX19" s="24"/>
      <c r="AY19" s="25">
        <f>IF(FORM!AM18=FORM!AU16,0,2*(AC20+AC22+AC28+AC30))</f>
        <v>0</v>
      </c>
      <c r="AZ19" s="451">
        <f t="shared" si="1"/>
        <v>0</v>
      </c>
      <c r="BA19" s="107">
        <f>VLOOKUP(AU19,CENY!$B$11:$M$2005,12,FALSE)</f>
        <v>10.39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464"/>
      <c r="P20" s="465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2">
        <v>9257884</v>
      </c>
      <c r="BE20" s="443" t="str">
        <f>VLOOKUP(BD20,CENY!$B$11:$G$1034,2,FALSE)</f>
        <v>AVANTECH YOU PŘÍCHYTKA ČELA V139 MM K NAŠROUBOVÁNÍ</v>
      </c>
      <c r="BF20" s="24">
        <f>VLOOKUP(BD20,CENY!$B$11:$G$1034,3,FALSE)</f>
        <v>200</v>
      </c>
      <c r="BG20" s="24"/>
      <c r="BH20" s="77">
        <f>2*(SUM(Q19:T19)+SUM(Q20:AD20)+SUM(W22:AD22)+SUM(Q27:T27)+SUM(Q28:AD28)+SUM(Q30:AD30))</f>
        <v>0</v>
      </c>
      <c r="BI20" s="451">
        <f t="shared" si="2"/>
        <v>0</v>
      </c>
      <c r="BJ20" s="107">
        <f>VLOOKUP(BD20,CENY!$B$11:$M$2005,12,FALSE)</f>
        <v>35.43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OBJ!B227</f>
        <v>9256969</v>
      </c>
      <c r="AV21" s="23" t="str">
        <f>VLOOKUP(AU21,CENY!$B$11:$G$1034,2,FALSE)</f>
        <v>ACTRO YOU 10KG PLNOVÝSUV 300 MM EB21 SILENT SYSTEM SADA</v>
      </c>
      <c r="AW21" s="24">
        <f>VLOOKUP(AU21,CENY!$B$11:$G$1034,3,FALSE)</f>
        <v>1</v>
      </c>
      <c r="AX21" s="499">
        <v>4</v>
      </c>
      <c r="AY21" s="25">
        <f>Q19</f>
        <v>0</v>
      </c>
      <c r="AZ21" s="451">
        <f t="shared" si="1"/>
        <v>0</v>
      </c>
      <c r="BA21" s="107">
        <f>VLOOKUP(AU21,CENY!$B$11:$M$2005,12,FALSE)</f>
        <v>561.63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AVANTECH YOU STABILIZÁTOR ZAD V101/139/187/251 MM</v>
      </c>
      <c r="BF21" s="24">
        <f>VLOOKUP(BD21,CENY!$B$11:$G$1034,3,FALSE)</f>
        <v>200</v>
      </c>
      <c r="BG21" s="24"/>
      <c r="BH21" s="25">
        <f>2*(SUM(Q19:T19)+SUM(Q20:AD20)+SUM(W22:AD22)+SUM(Q27:T27)+SUM(Q28:AD28)+SUM(Q30:AD30))</f>
        <v>0</v>
      </c>
      <c r="BI21" s="451">
        <f t="shared" si="2"/>
        <v>0</v>
      </c>
      <c r="BJ21" s="107">
        <f>VLOOKUP(BD21,CENY!$B$11:$M$2005,12,FALSE)</f>
        <v>13.29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7"/>
      <c r="AF22" s="588"/>
      <c r="AI22" s="387"/>
      <c r="AJ22" s="388"/>
      <c r="AK22" s="387"/>
      <c r="AL22" s="388"/>
      <c r="AM22" s="386" t="s">
        <v>407</v>
      </c>
      <c r="AN22" s="594"/>
      <c r="AO22" s="594"/>
      <c r="AU22" s="441">
        <f>OBJ!B228</f>
        <v>9256971</v>
      </c>
      <c r="AV22" s="23" t="str">
        <f>VLOOKUP(AU22,CENY!$B$11:$G$1034,2,FALSE)</f>
        <v>ACTRO YOU 10KG PLNOVÝSUV 350 MM EB21 SILENT SYSTEM SADA</v>
      </c>
      <c r="AW22" s="24">
        <f>VLOOKUP(AU22,CENY!$B$11:$G$1034,3,FALSE)</f>
        <v>1</v>
      </c>
      <c r="AX22" s="499">
        <v>4</v>
      </c>
      <c r="AY22" s="25">
        <f>S19</f>
        <v>0</v>
      </c>
      <c r="AZ22" s="451">
        <f t="shared" si="1"/>
        <v>0</v>
      </c>
      <c r="BA22" s="107">
        <f>VLOOKUP(AU22,CENY!$B$11:$M$2005,12,FALSE)</f>
        <v>561.63</v>
      </c>
      <c r="BB22" s="107">
        <f t="shared" si="0"/>
        <v>0</v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/>
      <c r="AV23" s="23"/>
      <c r="AW23" s="24"/>
      <c r="AX23" s="24"/>
      <c r="AY23" s="25"/>
      <c r="AZ23" s="451" t="str">
        <f t="shared" si="1"/>
        <v/>
      </c>
      <c r="BA23" s="107"/>
      <c r="BB23" s="107" t="str">
        <f t="shared" si="0"/>
        <v/>
      </c>
      <c r="BD23" s="441">
        <f>OBJ!B72</f>
        <v>9255805</v>
      </c>
      <c r="BE23" s="23" t="str">
        <f>VLOOKUP(BD23,CENY!$B$11:$G$1034,2,FALSE)</f>
        <v>AVANTECH YOU DEKORATIVNÍ PROFIL NL300 MM STŘÍBRNÝ</v>
      </c>
      <c r="BF23" s="24">
        <f>VLOOKUP(BD23,CENY!$B$11:$G$1034,3,FALSE)</f>
        <v>200</v>
      </c>
      <c r="BG23" s="24"/>
      <c r="BH23" s="25">
        <f>2*(Q19+Q20+Q27+Q28+Q30)</f>
        <v>0</v>
      </c>
      <c r="BI23" s="451">
        <f t="shared" si="2"/>
        <v>0</v>
      </c>
      <c r="BJ23" s="107">
        <f>VLOOKUP(BD23,CENY!$B$11:$M$2005,12,FALSE)</f>
        <v>9.2799999999999994</v>
      </c>
      <c r="BK23" s="107">
        <f t="shared" si="3"/>
        <v>0</v>
      </c>
    </row>
    <row r="24" spans="2:63" ht="14.4" customHeight="1">
      <c r="AU24" s="441">
        <f>OBJ!B237</f>
        <v>9257000</v>
      </c>
      <c r="AV24" s="23" t="str">
        <f>VLOOKUP(AU24,CENY!$B$11:$G$1034,2,FALSE)</f>
        <v>ACTRO YOU 40KG PLNOVÝSUV 300 MM EB21 SILENT SYSTEM SADA</v>
      </c>
      <c r="AW24" s="24">
        <f>VLOOKUP(AU24,CENY!$B$11:$G$1034,3,FALSE)</f>
        <v>1</v>
      </c>
      <c r="AX24" s="499">
        <v>8</v>
      </c>
      <c r="AY24" s="25">
        <f>Q20</f>
        <v>0</v>
      </c>
      <c r="AZ24" s="451">
        <f t="shared" si="1"/>
        <v>0</v>
      </c>
      <c r="BA24" s="107">
        <f>VLOOKUP(AU24,CENY!$B$11:$M$2005,12,FALSE)</f>
        <v>561.63</v>
      </c>
      <c r="BB24" s="107">
        <f t="shared" si="0"/>
        <v>0</v>
      </c>
      <c r="BD24" s="441">
        <f>OBJ!B73</f>
        <v>9255806</v>
      </c>
      <c r="BE24" s="23" t="str">
        <f>VLOOKUP(BD24,CENY!$B$11:$G$1034,2,FALSE)</f>
        <v>AVANTECH YOU DEKORATIVNÍ PROFIL NL350 MM STŘÍBRNÝ</v>
      </c>
      <c r="BF24" s="24">
        <f>VLOOKUP(BD24,CENY!$B$11:$G$1034,3,FALSE)</f>
        <v>200</v>
      </c>
      <c r="BG24" s="24"/>
      <c r="BH24" s="25">
        <f>2*(S19+S20+S27+S28+S30)</f>
        <v>0</v>
      </c>
      <c r="BI24" s="451">
        <f t="shared" si="2"/>
        <v>0</v>
      </c>
      <c r="BJ24" s="107">
        <f>VLOOKUP(BD24,CENY!$B$11:$M$2005,12,FALSE)</f>
        <v>9.4499999999999993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OBJ!B238</f>
        <v>9257002</v>
      </c>
      <c r="AV25" s="23" t="str">
        <f>VLOOKUP(AU25,CENY!$B$11:$G$1034,2,FALSE)</f>
        <v>ACTRO YOU 40KG PLNOVÝSUV 350 MM EB21 SILENT SYSTEM SADA</v>
      </c>
      <c r="AW25" s="24">
        <f>VLOOKUP(AU25,CENY!$B$11:$G$1034,3,FALSE)</f>
        <v>1</v>
      </c>
      <c r="AX25" s="499">
        <v>8</v>
      </c>
      <c r="AY25" s="25">
        <f>S20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OBJ!B74</f>
        <v>9255807</v>
      </c>
      <c r="BE25" s="23" t="str">
        <f>VLOOKUP(BD25,CENY!$B$11:$G$1034,2,FALSE)</f>
        <v>AVANTECH YOU DEKORATIVNÍ PROFIL NL400 MM STŘÍBRNÝ</v>
      </c>
      <c r="BF25" s="24">
        <f>VLOOKUP(BD25,CENY!$B$11:$G$1034,3,FALSE)</f>
        <v>200</v>
      </c>
      <c r="BG25" s="24"/>
      <c r="BH25" s="25">
        <f>2*(U20+U28+U30)</f>
        <v>0</v>
      </c>
      <c r="BI25" s="451">
        <f t="shared" si="2"/>
        <v>0</v>
      </c>
      <c r="BJ25" s="107">
        <f>VLOOKUP(BD25,CENY!$B$11:$M$2005,12,FALSE)</f>
        <v>9.6199999999999992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OBJ!B239</f>
        <v>9257004</v>
      </c>
      <c r="AV26" s="23" t="str">
        <f>VLOOKUP(AU26,CENY!$B$11:$G$1034,2,FALSE)</f>
        <v>ACTRO YOU 40KG PLNOVÝSUV 400 MM EB21 SILENT SYSTEM SADA</v>
      </c>
      <c r="AW26" s="24">
        <f>VLOOKUP(AU26,CENY!$B$11:$G$1034,3,FALSE)</f>
        <v>1</v>
      </c>
      <c r="AX26" s="499">
        <v>8</v>
      </c>
      <c r="AY26" s="25">
        <f>U20</f>
        <v>0</v>
      </c>
      <c r="AZ26" s="451">
        <f t="shared" si="1"/>
        <v>0</v>
      </c>
      <c r="BA26" s="107">
        <f>VLOOKUP(AU26,CENY!$B$11:$M$2005,12,FALSE)</f>
        <v>567.85</v>
      </c>
      <c r="BB26" s="107">
        <f t="shared" si="0"/>
        <v>0</v>
      </c>
      <c r="BD26" s="441">
        <f>OBJ!B75</f>
        <v>9255808</v>
      </c>
      <c r="BE26" s="23" t="str">
        <f>VLOOKUP(BD26,CENY!$B$11:$G$1034,2,FALSE)</f>
        <v>AVANTECH YOU DEKORATIVNÍ PROFIL NL450 MM STŘÍBRNÝ</v>
      </c>
      <c r="BF26" s="24">
        <f>VLOOKUP(BD26,CENY!$B$11:$G$1034,3,FALSE)</f>
        <v>200</v>
      </c>
      <c r="BG26" s="24"/>
      <c r="BH26" s="25">
        <f>2*(W20+W22+W28+W30)</f>
        <v>0</v>
      </c>
      <c r="BI26" s="451">
        <f t="shared" si="2"/>
        <v>0</v>
      </c>
      <c r="BJ26" s="107">
        <f>VLOOKUP(BD26,CENY!$B$11:$M$2005,12,FALSE)</f>
        <v>9.8000000000000007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464"/>
      <c r="P27" s="465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OBJ!B240</f>
        <v>9257006</v>
      </c>
      <c r="AV27" s="23" t="str">
        <f>VLOOKUP(AU27,CENY!$B$11:$G$1034,2,FALSE)</f>
        <v>ACTRO YOU 40KG PLNOVÝSUV 450 MM EB21 SILENT SYSTEM SADA</v>
      </c>
      <c r="AW27" s="24">
        <f>VLOOKUP(AU27,CENY!$B$11:$G$1034,3,FALSE)</f>
        <v>1</v>
      </c>
      <c r="AX27" s="499">
        <v>10</v>
      </c>
      <c r="AY27" s="25">
        <f>W20</f>
        <v>0</v>
      </c>
      <c r="AZ27" s="451">
        <f t="shared" si="1"/>
        <v>0</v>
      </c>
      <c r="BA27" s="107">
        <f>VLOOKUP(AU27,CENY!$B$11:$M$2005,12,FALSE)</f>
        <v>574.04</v>
      </c>
      <c r="BB27" s="107">
        <f t="shared" si="0"/>
        <v>0</v>
      </c>
      <c r="BD27" s="441">
        <f>OBJ!B76</f>
        <v>9255809</v>
      </c>
      <c r="BE27" s="23" t="str">
        <f>VLOOKUP(BD27,CENY!$B$11:$G$1034,2,FALSE)</f>
        <v>AVANTECH YOU DEKORATIVNÍ PROFIL NL500 MM STŘÍBRNÝ</v>
      </c>
      <c r="BF27" s="24">
        <f>VLOOKUP(BD27,CENY!$B$11:$G$1034,3,FALSE)</f>
        <v>200</v>
      </c>
      <c r="BG27" s="24"/>
      <c r="BH27" s="25">
        <f>2*(Y20+Y22+Y28+Y30)</f>
        <v>0</v>
      </c>
      <c r="BI27" s="451">
        <f t="shared" si="2"/>
        <v>0</v>
      </c>
      <c r="BJ27" s="107">
        <f>VLOOKUP(BD27,CENY!$B$11:$M$2005,12,FALSE)</f>
        <v>9.9700000000000006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464"/>
      <c r="P28" s="465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OBJ!B241</f>
        <v>9257008</v>
      </c>
      <c r="AV28" s="23" t="str">
        <f>VLOOKUP(AU28,CENY!$B$11:$G$1034,2,FALSE)</f>
        <v>ACTRO YOU 40KG PLNOVÝSUV 500 MM EB21 SILENT SYSTEM SADA</v>
      </c>
      <c r="AW28" s="24">
        <f>VLOOKUP(AU28,CENY!$B$11:$G$1034,3,FALSE)</f>
        <v>1</v>
      </c>
      <c r="AX28" s="499">
        <v>10</v>
      </c>
      <c r="AY28" s="25">
        <f>Y20</f>
        <v>0</v>
      </c>
      <c r="AZ28" s="451">
        <f t="shared" si="1"/>
        <v>0</v>
      </c>
      <c r="BA28" s="107">
        <f>VLOOKUP(AU28,CENY!$B$11:$M$2005,12,FALSE)</f>
        <v>580.26</v>
      </c>
      <c r="BB28" s="107">
        <f t="shared" si="0"/>
        <v>0</v>
      </c>
      <c r="BD28" s="441">
        <f>OBJ!B77</f>
        <v>9255810</v>
      </c>
      <c r="BE28" s="23" t="str">
        <f>VLOOKUP(BD28,CENY!$B$11:$G$1034,2,FALSE)</f>
        <v>AVANTECH YOU DEKORATIVNÍ PROFIL NL550 MM STŘÍBRNÝ</v>
      </c>
      <c r="BF28" s="24">
        <f>VLOOKUP(BD28,CENY!$B$11:$G$1034,3,FALSE)</f>
        <v>200</v>
      </c>
      <c r="BG28" s="24"/>
      <c r="BH28" s="25">
        <f>2*(AA20+AA22+AA28+AA30)</f>
        <v>0</v>
      </c>
      <c r="BI28" s="451">
        <f t="shared" si="2"/>
        <v>0</v>
      </c>
      <c r="BJ28" s="107">
        <f>VLOOKUP(BD28,CENY!$B$11:$M$2005,12,FALSE)</f>
        <v>10.14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OBJ!B242</f>
        <v>9257010</v>
      </c>
      <c r="AV29" s="23" t="str">
        <f>VLOOKUP(AU29,CENY!$B$11:$G$1034,2,FALSE)</f>
        <v>ACTRO YOU 40KG PLNOVÝSUV 550 MM EB21 SILENT SYSTEM SADA</v>
      </c>
      <c r="AW29" s="24">
        <f>VLOOKUP(AU29,CENY!$B$11:$G$1034,3,FALSE)</f>
        <v>1</v>
      </c>
      <c r="AX29" s="499">
        <v>10</v>
      </c>
      <c r="AY29" s="25">
        <f>AA20</f>
        <v>0</v>
      </c>
      <c r="AZ29" s="451">
        <f t="shared" si="1"/>
        <v>0</v>
      </c>
      <c r="BA29" s="107">
        <f>VLOOKUP(AU29,CENY!$B$11:$M$2005,12,FALSE)</f>
        <v>613.44000000000005</v>
      </c>
      <c r="BB29" s="107">
        <f t="shared" si="0"/>
        <v>0</v>
      </c>
      <c r="BD29" s="441">
        <f>OBJ!B78</f>
        <v>9255811</v>
      </c>
      <c r="BE29" s="23" t="str">
        <f>VLOOKUP(BD29,CENY!$B$11:$G$1034,2,FALSE)</f>
        <v>AVANTECH YOU DEKORATIVNÍ PROFIL NL600 MM STŘÍBRNÝ</v>
      </c>
      <c r="BF29" s="24">
        <f>VLOOKUP(BD29,CENY!$B$11:$G$1034,3,FALSE)</f>
        <v>200</v>
      </c>
      <c r="BG29" s="24"/>
      <c r="BH29" s="25">
        <f>2*(AC20+AC22+AC28+AC30)</f>
        <v>0</v>
      </c>
      <c r="BI29" s="451">
        <f t="shared" si="2"/>
        <v>0</v>
      </c>
      <c r="BJ29" s="107">
        <f>VLOOKUP(BD29,CENY!$B$11:$M$2005,12,FALSE)</f>
        <v>10.39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64"/>
      <c r="P30" s="465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OBJ!B243</f>
        <v>9268681</v>
      </c>
      <c r="AV30" s="23" t="str">
        <f>VLOOKUP(AU30,CENY!$B$11:$G$1034,2,FALSE)</f>
        <v>ACTRO YOU 40KG PLNOVÝSUV 600 MM EB21 SILENT SYSTÉM SADA</v>
      </c>
      <c r="AW30" s="24">
        <f>VLOOKUP(AU30,CENY!$B$11:$G$1034,3,FALSE)</f>
        <v>1</v>
      </c>
      <c r="AX30" s="499">
        <v>10</v>
      </c>
      <c r="AY30" s="25">
        <f>AC20</f>
        <v>0</v>
      </c>
      <c r="AZ30" s="451">
        <f t="shared" si="1"/>
        <v>0</v>
      </c>
      <c r="BA30" s="107">
        <f>VLOOKUP(AU30,CENY!$B$11:$M$2005,12,FALSE)</f>
        <v>620.78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/>
      <c r="AV31" s="23"/>
      <c r="AW31" s="24"/>
      <c r="AX31" s="24"/>
      <c r="AY31" s="25"/>
      <c r="AZ31" s="451" t="str">
        <f t="shared" si="1"/>
        <v/>
      </c>
      <c r="BA31" s="107"/>
      <c r="BB31" s="107" t="str">
        <f t="shared" si="0"/>
        <v/>
      </c>
      <c r="BD31" s="441">
        <f>OBJ!B231</f>
        <v>9256961</v>
      </c>
      <c r="BE31" s="23" t="str">
        <f>VLOOKUP(BD31,CENY!$B$11:$G$1034,2,FALSE)</f>
        <v>ACTRO YOU 10KG PLNOVÝSUV 300 MM EB21 SILENT SYSTEM LEVÝ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243.93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OBJ!B261</f>
        <v>9257034</v>
      </c>
      <c r="AV32" s="23" t="str">
        <f>VLOOKUP(AU32,CENY!$B$11:$G$1034,2,FALSE)</f>
        <v>ACTRO YOU 70KG PLNOVÝSUV 450 MM EB21 SILENT SYSTEM SADA</v>
      </c>
      <c r="AW32" s="24">
        <f>VLOOKUP(AU32,CENY!$B$11:$G$1034,3,FALSE)</f>
        <v>1</v>
      </c>
      <c r="AX32" s="499">
        <v>10</v>
      </c>
      <c r="AY32" s="25">
        <f>W22</f>
        <v>0</v>
      </c>
      <c r="AZ32" s="451">
        <f t="shared" si="1"/>
        <v>0</v>
      </c>
      <c r="BA32" s="107">
        <f>VLOOKUP(AU32,CENY!$B$11:$M$2005,12,FALSE)</f>
        <v>691.9</v>
      </c>
      <c r="BB32" s="107">
        <f t="shared" si="0"/>
        <v>0</v>
      </c>
      <c r="BD32" s="441">
        <f>OBJ!B232</f>
        <v>9256962</v>
      </c>
      <c r="BE32" s="23" t="str">
        <f>VLOOKUP(BD32,CENY!$B$11:$G$1034,2,FALSE)</f>
        <v>ACTRO YOU 10KG PLNOVÝSUV 300 MM EB21 SILENT SYSTEM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OBJ!B262</f>
        <v>9257036</v>
      </c>
      <c r="AV33" s="23" t="str">
        <f>VLOOKUP(AU33,CENY!$B$11:$G$1034,2,FALSE)</f>
        <v>ACTRO YOU 70KG PLNOVÝSUV 500 MM EB21 SILENT SYSTEM SADA</v>
      </c>
      <c r="AW33" s="24">
        <f>VLOOKUP(AU33,CENY!$B$11:$G$1034,3,FALSE)</f>
        <v>1</v>
      </c>
      <c r="AX33" s="499">
        <v>10</v>
      </c>
      <c r="AY33" s="25">
        <f>Y22</f>
        <v>0</v>
      </c>
      <c r="AZ33" s="451">
        <f t="shared" si="1"/>
        <v>0</v>
      </c>
      <c r="BA33" s="107">
        <f>VLOOKUP(AU33,CENY!$B$11:$M$2005,12,FALSE)</f>
        <v>698.13</v>
      </c>
      <c r="BB33" s="107">
        <f t="shared" si="0"/>
        <v>0</v>
      </c>
      <c r="BD33" s="441">
        <f>OBJ!B233</f>
        <v>9256965</v>
      </c>
      <c r="BE33" s="23" t="str">
        <f>VLOOKUP(BD33,CENY!$B$11:$G$1034,2,FALSE)</f>
        <v>ACTRO YOU 10KG PLNOVÝSUV 350 MM EB21 SILENT SYSTEM LEVÝ</v>
      </c>
      <c r="BF33" s="24">
        <f>VLOOKUP(BD33,CENY!$B$11:$G$1034,3,FALSE)</f>
        <v>10</v>
      </c>
      <c r="BG33" s="24"/>
      <c r="BH33" s="25">
        <f>AY22</f>
        <v>0</v>
      </c>
      <c r="BI33" s="451">
        <f t="shared" si="2"/>
        <v>0</v>
      </c>
      <c r="BJ33" s="107">
        <f>VLOOKUP(BD33,CENY!$B$11:$M$2005,12,FALSE)</f>
        <v>243.93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Y34" s="97" t="str">
        <f>IF(AND(M31=0,SUM('AVT101(vn-A)'!O84:AJ84)&lt;&gt;0),verze!E118&amp;"  ","")</f>
        <v/>
      </c>
      <c r="AU34" s="441">
        <f>OBJ!B263</f>
        <v>9257038</v>
      </c>
      <c r="AV34" s="23" t="str">
        <f>VLOOKUP(AU34,CENY!$B$11:$G$1034,2,FALSE)</f>
        <v>ACTRO YOU 70KG PLNOVÝSUV 550 MM EB21 SILENT SYSTEM SADA</v>
      </c>
      <c r="AW34" s="24">
        <f>VLOOKUP(AU34,CENY!$B$11:$G$1034,3,FALSE)</f>
        <v>1</v>
      </c>
      <c r="AX34" s="499">
        <v>10</v>
      </c>
      <c r="AY34" s="25">
        <f>AA22</f>
        <v>0</v>
      </c>
      <c r="AZ34" s="451">
        <f t="shared" si="1"/>
        <v>0</v>
      </c>
      <c r="BA34" s="107">
        <f>VLOOKUP(AU34,CENY!$B$11:$M$2005,12,FALSE)</f>
        <v>731.3</v>
      </c>
      <c r="BB34" s="107">
        <f t="shared" si="0"/>
        <v>0</v>
      </c>
      <c r="BD34" s="441">
        <f>OBJ!B234</f>
        <v>9256966</v>
      </c>
      <c r="BE34" s="23" t="str">
        <f>VLOOKUP(BD34,CENY!$B$11:$G$1034,2,FALSE)</f>
        <v>ACTRO YOU 10KG PLNOVÝSUV 350 MM EB21 SILENT SYSTEM PRAVÝ</v>
      </c>
      <c r="BF34" s="24">
        <f>VLOOKUP(BD34,CENY!$B$11:$G$1034,3,FALSE)</f>
        <v>10</v>
      </c>
      <c r="BG34" s="24"/>
      <c r="BH34" s="25">
        <f>AY22</f>
        <v>0</v>
      </c>
      <c r="BI34" s="451">
        <f t="shared" si="2"/>
        <v>0</v>
      </c>
      <c r="BJ34" s="107">
        <f>VLOOKUP(BD34,CENY!$B$11:$M$2005,12,FALSE)</f>
        <v>243.93</v>
      </c>
      <c r="BK34" s="107">
        <f t="shared" si="3"/>
        <v>0</v>
      </c>
    </row>
    <row r="35" spans="2:63" ht="14.4" customHeight="1">
      <c r="AU35" s="441">
        <f>OBJ!B264</f>
        <v>9257040</v>
      </c>
      <c r="AV35" s="23" t="str">
        <f>VLOOKUP(AU35,CENY!$B$11:$G$1034,2,FALSE)</f>
        <v>ACTRO YOU 70KG PLNOVÝSUV 600 MM EB21 SILENT SYSTEM SADA</v>
      </c>
      <c r="AW35" s="24">
        <f>VLOOKUP(AU35,CENY!$B$11:$G$1034,3,FALSE)</f>
        <v>1</v>
      </c>
      <c r="AX35" s="499">
        <v>10</v>
      </c>
      <c r="AY35" s="25">
        <f>AC22</f>
        <v>0</v>
      </c>
      <c r="AZ35" s="451">
        <f t="shared" si="1"/>
        <v>0</v>
      </c>
      <c r="BA35" s="107">
        <f>VLOOKUP(AU35,CENY!$B$11:$M$2005,12,FALSE)</f>
        <v>798.31</v>
      </c>
      <c r="BB35" s="107">
        <f t="shared" si="0"/>
        <v>0</v>
      </c>
      <c r="BD35" s="441"/>
      <c r="BE35" s="23"/>
      <c r="BF35" s="24"/>
      <c r="BG35" s="24"/>
      <c r="BH35" s="25"/>
      <c r="BI35" s="451" t="str">
        <f t="shared" si="2"/>
        <v/>
      </c>
      <c r="BJ35" s="107"/>
      <c r="BK35" s="107" t="str">
        <f t="shared" si="3"/>
        <v/>
      </c>
    </row>
    <row r="36" spans="2:63" ht="14.4" customHeight="1">
      <c r="AU36" s="441"/>
      <c r="AV36" s="23"/>
      <c r="AW36" s="24"/>
      <c r="AX36" s="24"/>
      <c r="AY36" s="25"/>
      <c r="AZ36" s="451" t="str">
        <f t="shared" si="1"/>
        <v/>
      </c>
      <c r="BA36" s="107"/>
      <c r="BB36" s="107" t="str">
        <f t="shared" si="0"/>
        <v/>
      </c>
      <c r="BD36" s="441">
        <f>OBJ!B246</f>
        <v>9256976</v>
      </c>
      <c r="BE36" s="23" t="str">
        <f>VLOOKUP(BD36,CENY!$B$11:$G$1034,2,FALSE)</f>
        <v>ACTRO YOU 40KG PLNOVÝSUV 300 MM EB21 SILENT SYSTEM LEVÝ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243.93</v>
      </c>
      <c r="BK36" s="107">
        <f t="shared" si="3"/>
        <v>0</v>
      </c>
    </row>
    <row r="37" spans="2:63" ht="14.4" customHeight="1">
      <c r="AU37" s="441">
        <f>OBJ!B277</f>
        <v>9257890</v>
      </c>
      <c r="AV37" s="23" t="str">
        <f>VLOOKUP(AU37,CENY!$B$11:$G$1034,2,FALSE)</f>
        <v>PUSH TO OPEN SILENT ACTRO YOU / ACTRO 5D 10 KG</v>
      </c>
      <c r="AW37" s="24">
        <f>VLOOKUP(AU37,CENY!$B$11:$G$1034,3,FALSE)</f>
        <v>1</v>
      </c>
      <c r="AX37" s="24"/>
      <c r="AY37" s="25">
        <f>AN19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>
        <f>OBJ!B247</f>
        <v>9256977</v>
      </c>
      <c r="BE37" s="23" t="str">
        <f>VLOOKUP(BD37,CENY!$B$11:$G$1034,2,FALSE)</f>
        <v>ACTRO YOU 40KG PLNOVÝSUV 300 MM EB21 SILENT SYSTEM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OBJ!B278</f>
        <v>9257891</v>
      </c>
      <c r="AV38" s="23" t="str">
        <f>VLOOKUP(AU38,CENY!$B$11:$G$1034,2,FALSE)</f>
        <v>PUSH TO OPEN SILENT ACTRO YOU / ACTRO 5D 20 KG</v>
      </c>
      <c r="AW38" s="24">
        <f>VLOOKUP(AU38,CENY!$B$11:$G$1034,3,FALSE)</f>
        <v>1</v>
      </c>
      <c r="AX38" s="24"/>
      <c r="AY38" s="25">
        <f>AN20</f>
        <v>0</v>
      </c>
      <c r="AZ38" s="451">
        <f t="shared" si="1"/>
        <v>0</v>
      </c>
      <c r="BA38" s="107">
        <f>VLOOKUP(AU38,CENY!$B$11:$M$2005,12,FALSE)</f>
        <v>544.37</v>
      </c>
      <c r="BB38" s="107">
        <f t="shared" si="0"/>
        <v>0</v>
      </c>
      <c r="BD38" s="441">
        <f>OBJ!B248</f>
        <v>9256980</v>
      </c>
      <c r="BE38" s="23" t="str">
        <f>VLOOKUP(BD38,CENY!$B$11:$G$1034,2,FALSE)</f>
        <v>ACTRO YOU 40KG PLNOVÝSUV 350 MM EB21 SILENT SYSTEM LEVÝ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OBJ!B279</f>
        <v>9257892</v>
      </c>
      <c r="AV39" s="23" t="str">
        <f>VLOOKUP(AU39,CENY!$B$11:$G$1034,2,FALSE)</f>
        <v>PUSH TO OPEN SILENT ACTRO YOU / ACTRO 5D 40 KG</v>
      </c>
      <c r="AW39" s="24">
        <f>VLOOKUP(AU39,CENY!$B$11:$G$1034,3,FALSE)</f>
        <v>1</v>
      </c>
      <c r="AX39" s="24"/>
      <c r="AY39" s="25">
        <f>AN21</f>
        <v>0</v>
      </c>
      <c r="AZ39" s="451">
        <f t="shared" si="1"/>
        <v>0</v>
      </c>
      <c r="BA39" s="107">
        <f>VLOOKUP(AU39,CENY!$B$11:$M$2005,12,FALSE)</f>
        <v>544.37</v>
      </c>
      <c r="BB39" s="107">
        <f t="shared" si="0"/>
        <v>0</v>
      </c>
      <c r="BD39" s="441">
        <f>OBJ!B249</f>
        <v>9256981</v>
      </c>
      <c r="BE39" s="23" t="str">
        <f>VLOOKUP(BD39,CENY!$B$11:$G$1034,2,FALSE)</f>
        <v>ACTRO YOU 40KG PLNOVÝSUV 350 MM EB21 SILENT SYSTEM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OBJ!B280</f>
        <v>9257893</v>
      </c>
      <c r="AV40" s="23" t="str">
        <f>VLOOKUP(AU40,CENY!$B$11:$G$1034,2,FALSE)</f>
        <v>PUSH TO OPEN SILENT ACTRO YOU / ACTRO 5D 70 KG</v>
      </c>
      <c r="AW40" s="24">
        <f>VLOOKUP(AU40,CENY!$B$11:$G$1034,3,FALSE)</f>
        <v>1</v>
      </c>
      <c r="AX40" s="24"/>
      <c r="AY40" s="25">
        <f>AN22</f>
        <v>0</v>
      </c>
      <c r="AZ40" s="451">
        <f t="shared" si="1"/>
        <v>0</v>
      </c>
      <c r="BA40" s="107">
        <f>VLOOKUP(AU40,CENY!$B$11:$M$2005,12,FALSE)</f>
        <v>544.37</v>
      </c>
      <c r="BB40" s="107">
        <f t="shared" si="0"/>
        <v>0</v>
      </c>
      <c r="BD40" s="441">
        <f>OBJ!B250</f>
        <v>9256984</v>
      </c>
      <c r="BE40" s="23" t="str">
        <f>VLOOKUP(BD40,CENY!$B$11:$G$1034,2,FALSE)</f>
        <v>ACTRO YOU 40KG PLNOVÝSUV 400 MM EB21 SILENT SYSTEM LEVÝ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247.05</v>
      </c>
      <c r="BK40" s="107">
        <f t="shared" si="3"/>
        <v>0</v>
      </c>
    </row>
    <row r="41" spans="2:63" ht="14.4" customHeight="1">
      <c r="AU41" s="441">
        <f>OBJ!B281</f>
        <v>9236718</v>
      </c>
      <c r="AV41" s="23" t="str">
        <f>VLOOKUP(AU41,CENY!$B$11:$G$1034,2,FALSE)</f>
        <v>PUSH TO OPEN SYNCHRONIZAČNÍ TYČ 2000 MM</v>
      </c>
      <c r="AW41" s="24">
        <f>VLOOKUP(AU41,CENY!$B$11:$G$1034,3,FALSE)</f>
        <v>100</v>
      </c>
      <c r="AX41" s="24"/>
      <c r="AY41" s="25">
        <f>IF(SUM(AN19:AO22)+SUM(AN27:AO29)+SUM(Q30:AD30)=0,0,AY83)</f>
        <v>0</v>
      </c>
      <c r="AZ41" s="451">
        <f t="shared" si="1"/>
        <v>0</v>
      </c>
      <c r="BA41" s="107">
        <f>VLOOKUP(AU41,CENY!$B$11:$M$2005,12,FALSE)</f>
        <v>144.30000000000001</v>
      </c>
      <c r="BB41" s="107">
        <f t="shared" si="0"/>
        <v>0</v>
      </c>
      <c r="BD41" s="441">
        <f>OBJ!B251</f>
        <v>9256985</v>
      </c>
      <c r="BE41" s="23" t="str">
        <f>VLOOKUP(BD41,CENY!$B$11:$G$1034,2,FALSE)</f>
        <v>ACTRO YOU 40KG PLNOVÝSUV 400 MM EB21 SILENT SYSTEM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247.05</v>
      </c>
      <c r="BK41" s="107">
        <f t="shared" si="3"/>
        <v>0</v>
      </c>
    </row>
    <row r="42" spans="2:63" ht="14.4" customHeight="1">
      <c r="AU42" s="441"/>
      <c r="AV42" s="23"/>
      <c r="AW42" s="24"/>
      <c r="AX42" s="24"/>
      <c r="AY42" s="25"/>
      <c r="AZ42" s="451" t="str">
        <f t="shared" si="1"/>
        <v/>
      </c>
      <c r="BA42" s="107"/>
      <c r="BB42" s="107" t="str">
        <f t="shared" si="0"/>
        <v/>
      </c>
      <c r="BD42" s="441">
        <f>OBJ!B252</f>
        <v>9256988</v>
      </c>
      <c r="BE42" s="23" t="str">
        <f>VLOOKUP(BD42,CENY!$B$11:$G$1034,2,FALSE)</f>
        <v>ACTRO YOU 40KG PLNOVÝSUV 450 MM EB21 SILENT SYSTEM LEVÝ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250.14</v>
      </c>
      <c r="BK42" s="107">
        <f t="shared" si="3"/>
        <v>0</v>
      </c>
    </row>
    <row r="43" spans="2:63" ht="14.4" customHeight="1">
      <c r="AU43" s="441">
        <f>OBJ!B288</f>
        <v>9256954</v>
      </c>
      <c r="AV43" s="23" t="str">
        <f>VLOOKUP(AU43,CENY!$B$11:$G$1034,2,FALSE)</f>
        <v>QUADRO YOU 10 KG PLNOVÝSUV 300 MM EB21 SILENT SYSTEM SADA</v>
      </c>
      <c r="AW43" s="24">
        <f>VLOOKUP(AU43,CENY!$B$11:$G$1034,3,FALSE)</f>
        <v>1</v>
      </c>
      <c r="AX43" s="499">
        <v>4</v>
      </c>
      <c r="AY43" s="25">
        <f>Q27</f>
        <v>0</v>
      </c>
      <c r="AZ43" s="451">
        <f t="shared" si="1"/>
        <v>0</v>
      </c>
      <c r="BA43" s="107">
        <f>VLOOKUP(AU43,CENY!$B$11:$M$2005,12,FALSE)</f>
        <v>414.13</v>
      </c>
      <c r="BB43" s="107">
        <f t="shared" si="0"/>
        <v>0</v>
      </c>
      <c r="BD43" s="441">
        <f>OBJ!B253</f>
        <v>9256989</v>
      </c>
      <c r="BE43" s="23" t="str">
        <f>VLOOKUP(BD43,CENY!$B$11:$G$1034,2,FALSE)</f>
        <v>ACTRO YOU 40KG PLNOVÝSUV 450 MM EB21 SILENT SYSTEM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250.14</v>
      </c>
      <c r="BK43" s="107">
        <f t="shared" si="3"/>
        <v>0</v>
      </c>
    </row>
    <row r="44" spans="2:63" ht="14.4" customHeight="1">
      <c r="AU44" s="441">
        <f>OBJ!B289</f>
        <v>9256956</v>
      </c>
      <c r="AV44" s="23" t="str">
        <f>VLOOKUP(AU44,CENY!$B$11:$G$1034,2,FALSE)</f>
        <v>QUADRO YOU 10 KG PLNOVÝSUV 350 MM EB21 SILENT SYSTEM SADA</v>
      </c>
      <c r="AW44" s="24">
        <f>VLOOKUP(AU44,CENY!$B$11:$G$1034,3,FALSE)</f>
        <v>1</v>
      </c>
      <c r="AX44" s="499">
        <v>4</v>
      </c>
      <c r="AY44" s="25">
        <f>S27</f>
        <v>0</v>
      </c>
      <c r="AZ44" s="451">
        <f t="shared" si="1"/>
        <v>0</v>
      </c>
      <c r="BA44" s="107">
        <f>VLOOKUP(AU44,CENY!$B$11:$M$2005,12,FALSE)</f>
        <v>421.61</v>
      </c>
      <c r="BB44" s="107">
        <f t="shared" si="0"/>
        <v>0</v>
      </c>
      <c r="BD44" s="441">
        <f>OBJ!B254</f>
        <v>9256992</v>
      </c>
      <c r="BE44" s="23" t="str">
        <f>VLOOKUP(BD44,CENY!$B$11:$G$1034,2,FALSE)</f>
        <v>ACTRO YOU 40KG PLNOVÝSUV 500 MM EB21 SILENT SYSTEM LEVÝ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253.25</v>
      </c>
      <c r="BK44" s="107">
        <f t="shared" si="3"/>
        <v>0</v>
      </c>
    </row>
    <row r="45" spans="2:63" ht="14.4" customHeight="1">
      <c r="AU45" s="441"/>
      <c r="AV45" s="23"/>
      <c r="AW45" s="24"/>
      <c r="AX45" s="24"/>
      <c r="AY45" s="25"/>
      <c r="AZ45" s="451" t="str">
        <f t="shared" si="1"/>
        <v/>
      </c>
      <c r="BA45" s="107"/>
      <c r="BB45" s="107" t="str">
        <f t="shared" si="0"/>
        <v/>
      </c>
      <c r="BD45" s="441">
        <f>OBJ!B255</f>
        <v>9256993</v>
      </c>
      <c r="BE45" s="23" t="str">
        <f>VLOOKUP(BD45,CENY!$B$11:$G$1034,2,FALSE)</f>
        <v>ACTRO YOU 40KG PLNOVÝSUV 500 MM EB21 SILENT SYSTEM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253.25</v>
      </c>
      <c r="BK45" s="107">
        <f t="shared" si="3"/>
        <v>0</v>
      </c>
    </row>
    <row r="46" spans="2:63" ht="14.4" customHeight="1">
      <c r="AU46" s="441">
        <f>OBJ!B298</f>
        <v>9256884</v>
      </c>
      <c r="AV46" s="23" t="str">
        <f>VLOOKUP(AU46,CENY!$B$11:$G$1034,2,FALSE)</f>
        <v>QUADRO YOU PLNOVÝSUV 300 MM EB21 SILENT SYSTEM SADA</v>
      </c>
      <c r="AW46" s="24">
        <f>VLOOKUP(AU46,CENY!$B$11:$G$1034,3,FALSE)</f>
        <v>1</v>
      </c>
      <c r="AX46" s="499">
        <v>8</v>
      </c>
      <c r="AY46" s="25">
        <f>Q28</f>
        <v>0</v>
      </c>
      <c r="AZ46" s="451">
        <f t="shared" si="1"/>
        <v>0</v>
      </c>
      <c r="BA46" s="107">
        <f>VLOOKUP(AU46,CENY!$B$11:$M$2005,12,FALSE)</f>
        <v>369.3</v>
      </c>
      <c r="BB46" s="107">
        <f t="shared" si="0"/>
        <v>0</v>
      </c>
      <c r="BD46" s="441">
        <f>OBJ!B256</f>
        <v>9256996</v>
      </c>
      <c r="BE46" s="23" t="str">
        <f>VLOOKUP(BD46,CENY!$B$11:$G$1034,2,FALSE)</f>
        <v>ACTRO YOU 40KG PLNOVÝSUV 550 MM EB21 SILENT SYSTEM LEVÝ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269.83999999999997</v>
      </c>
      <c r="BK46" s="107">
        <f t="shared" si="3"/>
        <v>0</v>
      </c>
    </row>
    <row r="47" spans="2:63" ht="14.4" customHeight="1">
      <c r="AU47" s="441">
        <f>OBJ!B299</f>
        <v>9256886</v>
      </c>
      <c r="AV47" s="23" t="str">
        <f>VLOOKUP(AU47,CENY!$B$11:$G$1034,2,FALSE)</f>
        <v>QUADRO YOU PLNOVÝSUV 350 MM EB21 SILENT SYSTEM SADA</v>
      </c>
      <c r="AW47" s="24">
        <f>VLOOKUP(AU47,CENY!$B$11:$G$1034,3,FALSE)</f>
        <v>1</v>
      </c>
      <c r="AX47" s="499">
        <v>8</v>
      </c>
      <c r="AY47" s="25">
        <f>S28</f>
        <v>0</v>
      </c>
      <c r="AZ47" s="451">
        <f t="shared" si="1"/>
        <v>0</v>
      </c>
      <c r="BA47" s="107">
        <f>VLOOKUP(AU47,CENY!$B$11:$M$2005,12,FALSE)</f>
        <v>376.77</v>
      </c>
      <c r="BB47" s="107">
        <f t="shared" si="0"/>
        <v>0</v>
      </c>
      <c r="BD47" s="441">
        <f>OBJ!B257</f>
        <v>9256997</v>
      </c>
      <c r="BE47" s="23" t="str">
        <f>VLOOKUP(BD47,CENY!$B$11:$G$1034,2,FALSE)</f>
        <v>ACTRO YOU 40KG PLNOVÝSUV 550 MM EB21 SILENT SYSTEM PRAVÝ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269.83999999999997</v>
      </c>
      <c r="BK47" s="107">
        <f t="shared" si="3"/>
        <v>0</v>
      </c>
    </row>
    <row r="48" spans="2:63" ht="14.4" customHeight="1">
      <c r="AU48" s="441">
        <f>OBJ!B300</f>
        <v>9256888</v>
      </c>
      <c r="AV48" s="23" t="str">
        <f>VLOOKUP(AU48,CENY!$B$11:$G$1034,2,FALSE)</f>
        <v>QUADRO YOU PLNOVÝSUV 400 MM EB21 SILENT SYSTEM SADA</v>
      </c>
      <c r="AW48" s="24">
        <f>VLOOKUP(AU48,CENY!$B$11:$G$1034,3,FALSE)</f>
        <v>1</v>
      </c>
      <c r="AX48" s="499">
        <v>8</v>
      </c>
      <c r="AY48" s="25">
        <f>U28</f>
        <v>0</v>
      </c>
      <c r="AZ48" s="451">
        <f t="shared" si="1"/>
        <v>0</v>
      </c>
      <c r="BA48" s="107">
        <f>VLOOKUP(AU48,CENY!$B$11:$M$2005,12,FALSE)</f>
        <v>384.24</v>
      </c>
      <c r="BB48" s="107">
        <f t="shared" si="0"/>
        <v>0</v>
      </c>
      <c r="BD48" s="441">
        <f>OBJ!B258</f>
        <v>9268679</v>
      </c>
      <c r="BE48" s="23" t="str">
        <f>VLOOKUP(BD48,CENY!$B$11:$G$1034,2,FALSE)</f>
        <v>ACTRO YOU 40KG PLNOVÝSUV 600 MM EB21 SILENT SYSTÉM LEVÝ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273.51</v>
      </c>
      <c r="BK48" s="107">
        <f t="shared" si="3"/>
        <v>0</v>
      </c>
    </row>
    <row r="49" spans="47:63" ht="14.4" customHeight="1">
      <c r="AU49" s="441">
        <f>OBJ!B301</f>
        <v>9256890</v>
      </c>
      <c r="AV49" s="23" t="str">
        <f>VLOOKUP(AU49,CENY!$B$11:$G$1034,2,FALSE)</f>
        <v>QUADRO YOU PLNOVÝSUV 450 MM EB21 SILENT SYSTEM SADA</v>
      </c>
      <c r="AW49" s="24">
        <f>VLOOKUP(AU49,CENY!$B$11:$G$1034,3,FALSE)</f>
        <v>1</v>
      </c>
      <c r="AX49" s="499">
        <v>8</v>
      </c>
      <c r="AY49" s="25">
        <f>W28</f>
        <v>0</v>
      </c>
      <c r="AZ49" s="451">
        <f t="shared" si="1"/>
        <v>0</v>
      </c>
      <c r="BA49" s="107">
        <f>VLOOKUP(AU49,CENY!$B$11:$M$2005,12,FALSE)</f>
        <v>391.72</v>
      </c>
      <c r="BB49" s="107">
        <f t="shared" si="0"/>
        <v>0</v>
      </c>
      <c r="BD49" s="441">
        <f>OBJ!B259</f>
        <v>9268680</v>
      </c>
      <c r="BE49" s="23" t="str">
        <f>VLOOKUP(BD49,CENY!$B$11:$G$1034,2,FALSE)</f>
        <v>ACTRO YOU 40KG PLNOVÝSUV 600 MM EB21 SILENT SYSTÉM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273.51</v>
      </c>
      <c r="BK49" s="107">
        <f t="shared" si="3"/>
        <v>0</v>
      </c>
    </row>
    <row r="50" spans="47:63" ht="14.4" customHeight="1">
      <c r="AU50" s="441">
        <f>OBJ!B302</f>
        <v>9256892</v>
      </c>
      <c r="AV50" s="23" t="str">
        <f>VLOOKUP(AU50,CENY!$B$11:$G$1034,2,FALSE)</f>
        <v>QUADRO YOU PLNOVÝSUV 500 MM EB21 SILENT SYSTEM SADA</v>
      </c>
      <c r="AW50" s="24">
        <f>VLOOKUP(AU50,CENY!$B$11:$G$1034,3,FALSE)</f>
        <v>1</v>
      </c>
      <c r="AX50" s="499">
        <v>8</v>
      </c>
      <c r="AY50" s="25">
        <f>Y28</f>
        <v>0</v>
      </c>
      <c r="AZ50" s="451">
        <f t="shared" si="1"/>
        <v>0</v>
      </c>
      <c r="BA50" s="107">
        <f>VLOOKUP(AU50,CENY!$B$11:$M$2005,12,FALSE)</f>
        <v>399.19</v>
      </c>
      <c r="BB50" s="107">
        <f t="shared" si="0"/>
        <v>0</v>
      </c>
      <c r="BD50" s="441"/>
      <c r="BE50" s="23"/>
      <c r="BF50" s="24"/>
      <c r="BG50" s="24"/>
      <c r="BH50" s="25"/>
      <c r="BI50" s="451" t="str">
        <f t="shared" si="2"/>
        <v/>
      </c>
      <c r="BJ50" s="107"/>
      <c r="BK50" s="107" t="str">
        <f t="shared" si="3"/>
        <v/>
      </c>
    </row>
    <row r="51" spans="47:63" ht="14.4" customHeight="1">
      <c r="AU51" s="441">
        <f>OBJ!B303</f>
        <v>9256894</v>
      </c>
      <c r="AV51" s="23" t="str">
        <f>VLOOKUP(AU51,CENY!$B$11:$G$1034,2,FALSE)</f>
        <v>QUADRO YOU PLNOVÝSUV 550 MM EB21 SILENT SYSTEM SADA</v>
      </c>
      <c r="AW51" s="24">
        <f>VLOOKUP(AU51,CENY!$B$11:$G$1034,3,FALSE)</f>
        <v>1</v>
      </c>
      <c r="AX51" s="499">
        <v>8</v>
      </c>
      <c r="AY51" s="25">
        <f>AA28</f>
        <v>0</v>
      </c>
      <c r="AZ51" s="451">
        <f t="shared" si="1"/>
        <v>0</v>
      </c>
      <c r="BA51" s="107">
        <f>VLOOKUP(AU51,CENY!$B$11:$M$2005,12,FALSE)</f>
        <v>412.64</v>
      </c>
      <c r="BB51" s="107">
        <f t="shared" si="0"/>
        <v>0</v>
      </c>
      <c r="BD51" s="441">
        <f>OBJ!B266</f>
        <v>9257013</v>
      </c>
      <c r="BE51" s="23" t="str">
        <f>VLOOKUP(BD51,CENY!$B$11:$G$1034,2,FALSE)</f>
        <v>ACTRO YOU 70KG PLNOVÝSUV 450 MM EB21 SILENT SYSTEM LEVÝ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309.07</v>
      </c>
      <c r="BK51" s="107">
        <f t="shared" si="3"/>
        <v>0</v>
      </c>
    </row>
    <row r="52" spans="47:63" ht="14.4" customHeight="1">
      <c r="AU52" s="441">
        <f>OBJ!B304</f>
        <v>9256896</v>
      </c>
      <c r="AV52" s="23" t="str">
        <f>VLOOKUP(AU52,CENY!$B$11:$G$1034,2,FALSE)</f>
        <v>QUADRO YOU PLNOVÝSUV 600 MM EB21 SILENT SYSTEM SADA</v>
      </c>
      <c r="AW52" s="24">
        <f>VLOOKUP(AU52,CENY!$B$11:$G$1034,3,FALSE)</f>
        <v>1</v>
      </c>
      <c r="AX52" s="499">
        <v>8</v>
      </c>
      <c r="AY52" s="25">
        <f>AC28</f>
        <v>0</v>
      </c>
      <c r="AZ52" s="451">
        <f t="shared" si="1"/>
        <v>0</v>
      </c>
      <c r="BA52" s="107">
        <f>VLOOKUP(AU52,CENY!$B$11:$M$2005,12,FALSE)</f>
        <v>420.11</v>
      </c>
      <c r="BB52" s="107">
        <f t="shared" si="0"/>
        <v>0</v>
      </c>
      <c r="BD52" s="441">
        <f>OBJ!B267</f>
        <v>9257014</v>
      </c>
      <c r="BE52" s="23" t="str">
        <f>VLOOKUP(BD52,CENY!$B$11:$G$1034,2,FALSE)</f>
        <v>ACTRO YOU 70KG PLNOVÝSUV 450 MM EB21 SILENT SYSTEM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309.07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OBJ!B268</f>
        <v>9257017</v>
      </c>
      <c r="BE53" s="23" t="str">
        <f>VLOOKUP(BD53,CENY!$B$11:$G$1034,2,FALSE)</f>
        <v>ACTRO YOU 70KG PLNOVÝSUV 500 MM EB21 SILENT SYSTEM LEVÝ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312.18</v>
      </c>
      <c r="BK53" s="107">
        <f t="shared" si="3"/>
        <v>0</v>
      </c>
    </row>
    <row r="54" spans="47:63" ht="14.4" customHeight="1">
      <c r="AU54" s="441">
        <f>OBJ!B322</f>
        <v>9257894</v>
      </c>
      <c r="AV54" s="23" t="str">
        <f>VLOOKUP(AU54,CENY!$B$11:$G$1034,2,FALSE)</f>
        <v>PUSH TO OPEN SILENT QUADRO YOU 10 KG</v>
      </c>
      <c r="AW54" s="24">
        <f>VLOOKUP(AU54,CENY!$B$11:$G$1034,3,FALSE)</f>
        <v>1</v>
      </c>
      <c r="AX54" s="24"/>
      <c r="AY54" s="25">
        <f>AN27</f>
        <v>0</v>
      </c>
      <c r="AZ54" s="451">
        <f t="shared" si="1"/>
        <v>0</v>
      </c>
      <c r="BA54" s="107">
        <f>VLOOKUP(AU54,CENY!$B$11:$M$2005,12,FALSE)</f>
        <v>544.37</v>
      </c>
      <c r="BB54" s="107">
        <f t="shared" si="0"/>
        <v>0</v>
      </c>
      <c r="BD54" s="441">
        <f>OBJ!B269</f>
        <v>9257018</v>
      </c>
      <c r="BE54" s="23" t="str">
        <f>VLOOKUP(BD54,CENY!$B$11:$G$1034,2,FALSE)</f>
        <v>ACTRO YOU 70KG PLNOVÝSUV 500 MM EB21 SILENT SYSTEM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312.18</v>
      </c>
      <c r="BK54" s="107">
        <f t="shared" si="3"/>
        <v>0</v>
      </c>
    </row>
    <row r="55" spans="47:63" ht="14.4" customHeight="1">
      <c r="AU55" s="441">
        <f>OBJ!B323</f>
        <v>9257895</v>
      </c>
      <c r="AV55" s="23" t="str">
        <f>VLOOKUP(AU55,CENY!$B$11:$G$1034,2,FALSE)</f>
        <v>PUSH TO OPEN SILENT QUADRO YOU 20 KG</v>
      </c>
      <c r="AW55" s="24">
        <f>VLOOKUP(AU55,CENY!$B$11:$G$1034,3,FALSE)</f>
        <v>1</v>
      </c>
      <c r="AX55" s="24"/>
      <c r="AY55" s="25">
        <f>AN28</f>
        <v>0</v>
      </c>
      <c r="AZ55" s="451">
        <f t="shared" si="1"/>
        <v>0</v>
      </c>
      <c r="BA55" s="107">
        <f>VLOOKUP(AU55,CENY!$B$11:$M$2005,12,FALSE)</f>
        <v>544.37</v>
      </c>
      <c r="BB55" s="107">
        <f t="shared" si="0"/>
        <v>0</v>
      </c>
      <c r="BD55" s="441">
        <f>OBJ!B270</f>
        <v>9257021</v>
      </c>
      <c r="BE55" s="23" t="str">
        <f>VLOOKUP(BD55,CENY!$B$11:$G$1034,2,FALSE)</f>
        <v>ACTRO YOU 70KG PLNOVÝSUV 550 MM EB21 SILENT SYSTEM LEVÝ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328.77</v>
      </c>
      <c r="BK55" s="107">
        <f t="shared" si="3"/>
        <v>0</v>
      </c>
    </row>
    <row r="56" spans="47:63" ht="14.4" customHeight="1">
      <c r="AU56" s="441">
        <f>OBJ!B324</f>
        <v>9257896</v>
      </c>
      <c r="AV56" s="23" t="str">
        <f>VLOOKUP(AU56,CENY!$B$11:$G$1034,2,FALSE)</f>
        <v>PUSH TO OPEN SILENT QUADRO YOU 30 KG</v>
      </c>
      <c r="AW56" s="24">
        <f>VLOOKUP(AU56,CENY!$B$11:$G$1034,3,FALSE)</f>
        <v>1</v>
      </c>
      <c r="AX56" s="24"/>
      <c r="AY56" s="25">
        <f>AN29</f>
        <v>0</v>
      </c>
      <c r="AZ56" s="451">
        <f t="shared" si="1"/>
        <v>0</v>
      </c>
      <c r="BA56" s="107">
        <f>VLOOKUP(AU56,CENY!$B$11:$M$2005,12,FALSE)</f>
        <v>544.37</v>
      </c>
      <c r="BB56" s="107">
        <f t="shared" si="0"/>
        <v>0</v>
      </c>
      <c r="BD56" s="441">
        <f>OBJ!B271</f>
        <v>9257022</v>
      </c>
      <c r="BE56" s="23" t="str">
        <f>VLOOKUP(BD56,CENY!$B$11:$G$1034,2,FALSE)</f>
        <v>ACTRO YOU 70KG PLNOVÝSUV 550 MM EB21 SILENT SYSTEM PRAVÝ</v>
      </c>
      <c r="BF56" s="24">
        <f>VLOOKUP(BD56,CENY!$B$11:$G$1034,3,FALSE)</f>
        <v>10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328.77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0"/>
        <v/>
      </c>
      <c r="BD57" s="441">
        <f>OBJ!B272</f>
        <v>9257025</v>
      </c>
      <c r="BE57" s="23" t="str">
        <f>VLOOKUP(BD57,CENY!$B$11:$G$1034,2,FALSE)</f>
        <v>ACTRO YOU 70KG PLNOVÝSUV 600 MM EB21 SILENT SYSTEM LEVÝ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362.28</v>
      </c>
      <c r="BK57" s="107">
        <f t="shared" si="3"/>
        <v>0</v>
      </c>
    </row>
    <row r="58" spans="47:63" ht="14.4" customHeight="1">
      <c r="AU58" s="441">
        <f>OBJ!B327</f>
        <v>9256929</v>
      </c>
      <c r="AV58" s="23" t="str">
        <f>VLOOKUP(AU58,CENY!$B$11:$G$1034,2,FALSE)</f>
        <v>QUADRO YOU PLNOVÝSUV 300 MM EB21 PUSH TO OPEN SADA</v>
      </c>
      <c r="AW58" s="24">
        <f>VLOOKUP(AU58,CENY!$B$11:$G$1034,3,FALSE)</f>
        <v>1</v>
      </c>
      <c r="AX58" s="499">
        <v>8</v>
      </c>
      <c r="AY58" s="25">
        <f>Q30</f>
        <v>0</v>
      </c>
      <c r="AZ58" s="451">
        <f t="shared" si="1"/>
        <v>0</v>
      </c>
      <c r="BA58" s="107">
        <f>VLOOKUP(AU58,CENY!$B$11:$M$2005,12,FALSE)</f>
        <v>414.13</v>
      </c>
      <c r="BB58" s="107">
        <f t="shared" si="0"/>
        <v>0</v>
      </c>
      <c r="BD58" s="441">
        <f>OBJ!B273</f>
        <v>9257026</v>
      </c>
      <c r="BE58" s="23" t="str">
        <f>VLOOKUP(BD58,CENY!$B$11:$G$1034,2,FALSE)</f>
        <v>ACTRO YOU 70KG PLNOVÝSUV 600 MM EB21 SILENT SYSTEM PRAVÝ</v>
      </c>
      <c r="BF58" s="24">
        <f>VLOOKUP(BD58,CENY!$B$11:$G$1034,3,FALSE)</f>
        <v>10</v>
      </c>
      <c r="BG58" s="24"/>
      <c r="BH58" s="25">
        <f>AY35</f>
        <v>0</v>
      </c>
      <c r="BI58" s="451">
        <f t="shared" si="2"/>
        <v>0</v>
      </c>
      <c r="BJ58" s="107">
        <f>VLOOKUP(BD58,CENY!$B$11:$M$2005,12,FALSE)</f>
        <v>362.28</v>
      </c>
      <c r="BK58" s="107">
        <f t="shared" si="3"/>
        <v>0</v>
      </c>
    </row>
    <row r="59" spans="47:63" ht="14.4" customHeight="1">
      <c r="AU59" s="441">
        <f>OBJ!B328</f>
        <v>9256931</v>
      </c>
      <c r="AV59" s="23" t="str">
        <f>VLOOKUP(AU59,CENY!$B$11:$G$1034,2,FALSE)</f>
        <v>QUADRO YOU PLNOVÝSUV 350 MM EB21 PUSH TO OPEN SADA</v>
      </c>
      <c r="AW59" s="24">
        <f>VLOOKUP(AU59,CENY!$B$11:$G$1034,3,FALSE)</f>
        <v>1</v>
      </c>
      <c r="AX59" s="499">
        <v>8</v>
      </c>
      <c r="AY59" s="25">
        <f>S30</f>
        <v>0</v>
      </c>
      <c r="AZ59" s="451">
        <f t="shared" si="1"/>
        <v>0</v>
      </c>
      <c r="BA59" s="107">
        <f>VLOOKUP(AU59,CENY!$B$11:$M$2005,12,FALSE)</f>
        <v>421.61</v>
      </c>
      <c r="BB59" s="107">
        <f t="shared" si="0"/>
        <v>0</v>
      </c>
      <c r="BD59" s="441"/>
      <c r="BE59" s="23"/>
      <c r="BF59" s="24"/>
      <c r="BG59" s="24"/>
      <c r="BH59" s="25"/>
      <c r="BI59" s="451" t="str">
        <f t="shared" si="2"/>
        <v/>
      </c>
      <c r="BJ59" s="107"/>
      <c r="BK59" s="107" t="str">
        <f t="shared" si="3"/>
        <v/>
      </c>
    </row>
    <row r="60" spans="47:63" ht="14.4" customHeight="1">
      <c r="AU60" s="441">
        <f>OBJ!B329</f>
        <v>9256933</v>
      </c>
      <c r="AV60" s="23" t="str">
        <f>VLOOKUP(AU60,CENY!$B$11:$G$1034,2,FALSE)</f>
        <v>QUADRO YOU PLNOVÝSUV 400 MM EB21 PUSH TO OPEN SADA</v>
      </c>
      <c r="AW60" s="24">
        <f>VLOOKUP(AU60,CENY!$B$11:$G$1034,3,FALSE)</f>
        <v>1</v>
      </c>
      <c r="AX60" s="499">
        <v>8</v>
      </c>
      <c r="AY60" s="25">
        <f>U30</f>
        <v>0</v>
      </c>
      <c r="AZ60" s="451">
        <f t="shared" si="1"/>
        <v>0</v>
      </c>
      <c r="BA60" s="107">
        <f>VLOOKUP(AU60,CENY!$B$11:$M$2005,12,FALSE)</f>
        <v>429.08</v>
      </c>
      <c r="BB60" s="107">
        <f t="shared" si="0"/>
        <v>0</v>
      </c>
      <c r="BD60" s="441">
        <f>OBJ!B277</f>
        <v>9257890</v>
      </c>
      <c r="BE60" s="23" t="str">
        <f>VLOOKUP(BD60,CENY!$B$11:$G$1034,2,FALSE)</f>
        <v>PUSH TO OPEN SILENT ACTRO YOU / ACTRO 5D 10 KG</v>
      </c>
      <c r="BF60" s="24">
        <f>VLOOKUP(BD60,CENY!$B$11:$G$1034,3,FALSE)</f>
        <v>1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544.37</v>
      </c>
      <c r="BK60" s="107">
        <f t="shared" si="3"/>
        <v>0</v>
      </c>
    </row>
    <row r="61" spans="47:63" ht="14.4" customHeight="1">
      <c r="AU61" s="441">
        <f>OBJ!B330</f>
        <v>9256935</v>
      </c>
      <c r="AV61" s="23" t="str">
        <f>VLOOKUP(AU61,CENY!$B$11:$G$1034,2,FALSE)</f>
        <v>QUADRO YOU PLNOVÝSUV 450 MM EB21 PUSH TO OPEN SADA</v>
      </c>
      <c r="AW61" s="24">
        <f>VLOOKUP(AU61,CENY!$B$11:$G$1034,3,FALSE)</f>
        <v>1</v>
      </c>
      <c r="AX61" s="499">
        <v>8</v>
      </c>
      <c r="AY61" s="25">
        <f>W30</f>
        <v>0</v>
      </c>
      <c r="AZ61" s="451">
        <f t="shared" si="1"/>
        <v>0</v>
      </c>
      <c r="BA61" s="107">
        <f>VLOOKUP(AU61,CENY!$B$11:$M$2005,12,FALSE)</f>
        <v>436.55</v>
      </c>
      <c r="BB61" s="107">
        <f t="shared" si="0"/>
        <v>0</v>
      </c>
      <c r="BD61" s="441">
        <f>OBJ!B278</f>
        <v>9257891</v>
      </c>
      <c r="BE61" s="23" t="str">
        <f>VLOOKUP(BD61,CENY!$B$11:$G$1034,2,FALSE)</f>
        <v>PUSH TO OPEN SILENT ACTRO YOU / ACTRO 5D 20 KG</v>
      </c>
      <c r="BF61" s="24">
        <f>VLOOKUP(BD61,CENY!$B$11:$G$1034,3,FALSE)</f>
        <v>1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544.37</v>
      </c>
      <c r="BK61" s="107">
        <f t="shared" si="3"/>
        <v>0</v>
      </c>
    </row>
    <row r="62" spans="47:63" ht="14.4" customHeight="1">
      <c r="AU62" s="441">
        <f>OBJ!B331</f>
        <v>9256937</v>
      </c>
      <c r="AV62" s="23" t="str">
        <f>VLOOKUP(AU62,CENY!$B$11:$G$1034,2,FALSE)</f>
        <v>QUADRO YOU PLNOVÝSUV 500 MM EB21 PUSH TO OPEN SADA</v>
      </c>
      <c r="AW62" s="24">
        <f>VLOOKUP(AU62,CENY!$B$11:$G$1034,3,FALSE)</f>
        <v>1</v>
      </c>
      <c r="AX62" s="499">
        <v>8</v>
      </c>
      <c r="AY62" s="25">
        <f>Y30</f>
        <v>0</v>
      </c>
      <c r="AZ62" s="451">
        <f t="shared" si="1"/>
        <v>0</v>
      </c>
      <c r="BA62" s="107">
        <f>VLOOKUP(AU62,CENY!$B$11:$M$2005,12,FALSE)</f>
        <v>444.02</v>
      </c>
      <c r="BB62" s="107">
        <f t="shared" si="0"/>
        <v>0</v>
      </c>
      <c r="BD62" s="441">
        <f>OBJ!B279</f>
        <v>9257892</v>
      </c>
      <c r="BE62" s="23" t="str">
        <f>VLOOKUP(BD62,CENY!$B$11:$G$1034,2,FALSE)</f>
        <v>PUSH TO OPEN SILENT ACTRO YOU / ACTRO 5D 40 KG</v>
      </c>
      <c r="BF62" s="24">
        <f>VLOOKUP(BD62,CENY!$B$11:$G$1034,3,FALSE)</f>
        <v>1</v>
      </c>
      <c r="BG62" s="24"/>
      <c r="BH62" s="25">
        <f>AY39</f>
        <v>0</v>
      </c>
      <c r="BI62" s="451">
        <f t="shared" si="2"/>
        <v>0</v>
      </c>
      <c r="BJ62" s="107">
        <f>VLOOKUP(BD62,CENY!$B$11:$M$2005,12,FALSE)</f>
        <v>544.37</v>
      </c>
      <c r="BK62" s="107">
        <f t="shared" si="3"/>
        <v>0</v>
      </c>
    </row>
    <row r="63" spans="47:63" ht="14.4" customHeight="1">
      <c r="AU63" s="441">
        <f>OBJ!B332</f>
        <v>9256939</v>
      </c>
      <c r="AV63" s="23" t="str">
        <f>VLOOKUP(AU63,CENY!$B$11:$G$1034,2,FALSE)</f>
        <v>QUADRO YOU PLNOVÝSUV 550 MM EB21 PUSH TO OPEN SADA</v>
      </c>
      <c r="AW63" s="24">
        <f>VLOOKUP(AU63,CENY!$B$11:$G$1034,3,FALSE)</f>
        <v>1</v>
      </c>
      <c r="AX63" s="499">
        <v>8</v>
      </c>
      <c r="AY63" s="25">
        <f>AA30</f>
        <v>0</v>
      </c>
      <c r="AZ63" s="451">
        <f t="shared" si="1"/>
        <v>0</v>
      </c>
      <c r="BA63" s="107">
        <f>VLOOKUP(AU63,CENY!$B$11:$M$2005,12,FALSE)</f>
        <v>457.48</v>
      </c>
      <c r="BB63" s="107">
        <f t="shared" si="0"/>
        <v>0</v>
      </c>
      <c r="BD63" s="441">
        <f>OBJ!B280</f>
        <v>9257893</v>
      </c>
      <c r="BE63" s="23" t="str">
        <f>VLOOKUP(BD63,CENY!$B$11:$G$1034,2,FALSE)</f>
        <v>PUSH TO OPEN SILENT ACTRO YOU / ACTRO 5D 70 KG</v>
      </c>
      <c r="BF63" s="24">
        <f>VLOOKUP(BD63,CENY!$B$11:$G$1034,3,FALSE)</f>
        <v>1</v>
      </c>
      <c r="BG63" s="24"/>
      <c r="BH63" s="25">
        <f>AY40</f>
        <v>0</v>
      </c>
      <c r="BI63" s="451">
        <f t="shared" si="2"/>
        <v>0</v>
      </c>
      <c r="BJ63" s="107">
        <f>VLOOKUP(BD63,CENY!$B$11:$M$2005,12,FALSE)</f>
        <v>544.37</v>
      </c>
      <c r="BK63" s="107">
        <f t="shared" si="3"/>
        <v>0</v>
      </c>
    </row>
    <row r="64" spans="47:63" ht="14.4" customHeight="1">
      <c r="AU64" s="441">
        <f>OBJ!B333</f>
        <v>9256941</v>
      </c>
      <c r="AV64" s="23" t="str">
        <f>VLOOKUP(AU64,CENY!$B$11:$G$1034,2,FALSE)</f>
        <v>QUADRO YOU PLNOVÝSUV 600 MM EB21 PUSH TO OPEN SADA</v>
      </c>
      <c r="AW64" s="24">
        <f>VLOOKUP(AU64,CENY!$B$11:$G$1034,3,FALSE)</f>
        <v>1</v>
      </c>
      <c r="AX64" s="499">
        <v>8</v>
      </c>
      <c r="AY64" s="25">
        <f>AC30</f>
        <v>0</v>
      </c>
      <c r="AZ64" s="451">
        <f t="shared" si="1"/>
        <v>0</v>
      </c>
      <c r="BA64" s="107">
        <f>VLOOKUP(AU64,CENY!$B$11:$M$2005,12,FALSE)</f>
        <v>464.95</v>
      </c>
      <c r="BB64" s="107">
        <f t="shared" si="0"/>
        <v>0</v>
      </c>
      <c r="BD64" s="441">
        <f>OBJ!B281</f>
        <v>9236718</v>
      </c>
      <c r="BE64" s="23" t="str">
        <f>VLOOKUP(BD64,CENY!$B$11:$G$1034,2,FALSE)</f>
        <v>PUSH TO OPEN SYNCHRONIZAČNÍ TYČ 2000 MM</v>
      </c>
      <c r="BF64" s="24">
        <f>VLOOKUP(BD64,CENY!$B$11:$G$1034,3,FALSE)</f>
        <v>100</v>
      </c>
      <c r="BG64" s="24"/>
      <c r="BH64" s="25">
        <f>AY41</f>
        <v>0</v>
      </c>
      <c r="BI64" s="451">
        <f t="shared" si="2"/>
        <v>0</v>
      </c>
      <c r="BJ64" s="107">
        <f>VLOOKUP(BD64,CENY!$B$11:$M$2005,12,FALSE)</f>
        <v>144.30000000000001</v>
      </c>
      <c r="BK64" s="107">
        <f t="shared" si="3"/>
        <v>0</v>
      </c>
    </row>
    <row r="65" spans="1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/>
      <c r="BE65" s="23"/>
      <c r="BF65" s="24"/>
      <c r="BG65" s="24"/>
      <c r="BH65" s="25"/>
      <c r="BI65" s="451" t="str">
        <f t="shared" si="2"/>
        <v/>
      </c>
      <c r="BJ65" s="107"/>
      <c r="BK65" s="107" t="str">
        <f t="shared" si="3"/>
        <v/>
      </c>
    </row>
    <row r="66" spans="1:63" ht="12.9" customHeight="1" thickBot="1">
      <c r="A66" s="633"/>
      <c r="AU66" s="441">
        <f>OBJ!B351</f>
        <v>9219966</v>
      </c>
      <c r="AV66" s="23" t="str">
        <f>VLOOKUP(AU66,CENY!$B$11:$G$1034,2,FALSE)</f>
        <v>PUSH TO OPEN SYNCHRO ADAPTÉR TYP A</v>
      </c>
      <c r="AW66" s="24">
        <f>VLOOKUP(AU66,CENY!$B$11:$G$1034,3,FALSE)</f>
        <v>200</v>
      </c>
      <c r="AX66" s="24"/>
      <c r="AY66" s="25">
        <f>2*SUM(Q30:AD30)</f>
        <v>0</v>
      </c>
      <c r="AZ66" s="451">
        <f t="shared" si="1"/>
        <v>0</v>
      </c>
      <c r="BA66" s="107">
        <f>VLOOKUP(AU66,CENY!$B$11:$M$2005,12,FALSE)</f>
        <v>13.07</v>
      </c>
      <c r="BB66" s="107">
        <f t="shared" si="0"/>
        <v>0</v>
      </c>
      <c r="BD66" s="441">
        <f>OBJ!B292</f>
        <v>9256946</v>
      </c>
      <c r="BE66" s="23" t="str">
        <f>VLOOKUP(BD66,CENY!$B$11:$G$1034,2,FALSE)</f>
        <v>QUADRO YOU 10 KG PLNOVÝSUV 300 MM EB21 SILENT SYSTEM LEVÝ</v>
      </c>
      <c r="BF66" s="24">
        <f>VLOOKUP(BD66,CENY!$B$11:$G$1034,3,FALSE)</f>
        <v>20</v>
      </c>
      <c r="BG66" s="24"/>
      <c r="BH66" s="25">
        <f>AY43</f>
        <v>0</v>
      </c>
      <c r="BI66" s="451">
        <f t="shared" si="2"/>
        <v>0</v>
      </c>
      <c r="BJ66" s="107">
        <f>VLOOKUP(BD66,CENY!$B$11:$M$2005,12,FALSE)</f>
        <v>172.7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OBJ!B293</f>
        <v>9256947</v>
      </c>
      <c r="BE67" s="23" t="str">
        <f>VLOOKUP(BD67,CENY!$B$11:$G$1034,2,FALSE)</f>
        <v>QUADRO YOU 10 KG PLNOVÝSUV 300 MM EB21 SILENT SYSTEM PRAVÝ</v>
      </c>
      <c r="BF67" s="24">
        <f>VLOOKUP(BD67,CENY!$B$11:$G$1034,3,FALSE)</f>
        <v>20</v>
      </c>
      <c r="BG67" s="24"/>
      <c r="BH67" s="25">
        <f>AY43</f>
        <v>0</v>
      </c>
      <c r="BI67" s="451">
        <f t="shared" si="2"/>
        <v>0</v>
      </c>
      <c r="BJ67" s="107">
        <f>VLOOKUP(BD67,CENY!$B$11:$M$2005,12,FALSE)</f>
        <v>172.7</v>
      </c>
      <c r="BK67" s="107">
        <f t="shared" si="3"/>
        <v>0</v>
      </c>
    </row>
    <row r="68" spans="1:63" ht="12.9" customHeight="1">
      <c r="A68" s="633"/>
      <c r="AU68" s="442">
        <v>9257885</v>
      </c>
      <c r="AV68" s="443" t="str">
        <f>VLOOKUP(AU68,CENY!$B$11:$G$1034,2,FALSE)</f>
        <v>AVANTECH YOU PŘÍCHYTKA ČELA V139 MM K ZALISOVÁNÍ</v>
      </c>
      <c r="AW68" s="24">
        <f>VLOOKUP(AU68,CENY!$B$11:$G$1034,3,FALSE)</f>
        <v>200</v>
      </c>
      <c r="AX68" s="24"/>
      <c r="AY68" s="77">
        <v>0</v>
      </c>
      <c r="AZ68" s="451">
        <f t="shared" si="1"/>
        <v>0</v>
      </c>
      <c r="BA68" s="107">
        <f>VLOOKUP(AU68,CENY!$B$11:$M$2005,12,FALSE)</f>
        <v>36.090000000000003</v>
      </c>
      <c r="BB68" s="107">
        <f t="shared" si="0"/>
        <v>0</v>
      </c>
      <c r="BD68" s="441">
        <f>OBJ!B294</f>
        <v>9256950</v>
      </c>
      <c r="BE68" s="23" t="str">
        <f>VLOOKUP(BD68,CENY!$B$11:$G$1034,2,FALSE)</f>
        <v>QUADRO YOU 10 KG PLNOVÝSUV 350 MM EB21 SILENT SYSTEM LEVÝ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176.43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139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ref="BB69:BB114" si="4">IF(BA69="","",BA69*AY69)</f>
        <v/>
      </c>
      <c r="BD69" s="441">
        <f>OBJ!B295</f>
        <v>9256951</v>
      </c>
      <c r="BE69" s="23" t="str">
        <f>VLOOKUP(BD69,CENY!$B$11:$G$1034,2,FALSE)</f>
        <v>QUADRO YOU 10 KG PLNOVÝSUV 350 MM EB21 SILENT SYSTEM PRAVÝ</v>
      </c>
      <c r="BF69" s="24">
        <f>VLOOKUP(BD69,CENY!$B$11:$G$1034,3,FALSE)</f>
        <v>20</v>
      </c>
      <c r="BG69" s="24"/>
      <c r="BH69" s="25">
        <f>AY44</f>
        <v>0</v>
      </c>
      <c r="BI69" s="451">
        <f t="shared" si="2"/>
        <v>0</v>
      </c>
      <c r="BJ69" s="107">
        <f>VLOOKUP(BD69,CENY!$B$11:$M$2005,12,FALSE)</f>
        <v>176.43</v>
      </c>
      <c r="BK69" s="107">
        <f t="shared" si="3"/>
        <v>0</v>
      </c>
    </row>
    <row r="70" spans="1:63" ht="14.4" customHeight="1">
      <c r="A70" s="633"/>
      <c r="AU70" s="441">
        <f>OBJ!B207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77">
        <f>IF(FORM!AM21&lt;&gt;FORM!AW16,(2*(+SUM(O19:T19)+SUM(O20:AD20)+SUM(W22:AF22)+SUM(O27:T27)+SUM(O28:AD28)+SUM(O30:AD30))),0)</f>
        <v>0</v>
      </c>
      <c r="AZ70" s="451">
        <f t="shared" ref="AZ70:AZ114" si="5">IF(AY70="","",IF($AW$4=1,AY70,0))</f>
        <v>0</v>
      </c>
      <c r="BA70" s="449" t="str">
        <f>IF(AU70=0,"",VLOOKUP(AU70,CENY!$B$11:$M$2005,12,FALSE))</f>
        <v/>
      </c>
      <c r="BB70" s="107" t="str">
        <f t="shared" si="4"/>
        <v/>
      </c>
      <c r="BD70" s="441"/>
      <c r="BE70" s="23"/>
      <c r="BF70" s="24"/>
      <c r="BG70" s="24"/>
      <c r="BH70" s="25"/>
      <c r="BI70" s="451" t="str">
        <f t="shared" ref="BI70:BI114" si="6">IF(BH70="","",IF($AW$4=0,BH70,0))</f>
        <v/>
      </c>
      <c r="BJ70" s="107"/>
      <c r="BK70" s="107" t="str">
        <f t="shared" ref="BK70:BK114" si="7">IF(BJ70="","",BJ70*BH70)</f>
        <v/>
      </c>
    </row>
    <row r="71" spans="1:63" ht="14.4" customHeight="1">
      <c r="A71" s="633"/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OBJ!B307</f>
        <v>9256856</v>
      </c>
      <c r="BE71" s="23" t="str">
        <f>VLOOKUP(BD71,CENY!$B$11:$G$1034,2,FALSE)</f>
        <v>QUADRO YOU PLNOVÝSUV 300 MM EB21 SILENT SYSTEM LEVÝ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172.7</v>
      </c>
      <c r="BK71" s="107">
        <f t="shared" si="7"/>
        <v>0</v>
      </c>
    </row>
    <row r="72" spans="1:63" ht="14.4" customHeight="1">
      <c r="A72" s="633"/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OBJ!B308</f>
        <v>9256857</v>
      </c>
      <c r="BE72" s="23" t="str">
        <f>VLOOKUP(BD72,CENY!$B$11:$G$1034,2,FALSE)</f>
        <v>QUADRO YOU PLNOVÝSUV 300 MM EB21 SILENT SYSTEM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172.7</v>
      </c>
      <c r="BK72" s="107">
        <f t="shared" si="7"/>
        <v>0</v>
      </c>
    </row>
    <row r="73" spans="1:63" ht="14.4" customHeight="1">
      <c r="A73" s="633"/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OBJ!B309</f>
        <v>9256860</v>
      </c>
      <c r="BE73" s="23" t="str">
        <f>VLOOKUP(BD73,CENY!$B$11:$G$1034,2,FALSE)</f>
        <v>QUADRO YOU PLNOVÝSUV 350 MM EB21 SILENT SYSTEM LEVÝ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176.43</v>
      </c>
      <c r="BK73" s="107">
        <f t="shared" si="7"/>
        <v>0</v>
      </c>
    </row>
    <row r="74" spans="1:63" ht="14.4" customHeight="1">
      <c r="A74" s="633"/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OBJ!B310</f>
        <v>9256861</v>
      </c>
      <c r="BE74" s="23" t="str">
        <f>VLOOKUP(BD74,CENY!$B$11:$G$1034,2,FALSE)</f>
        <v>QUADRO YOU PLNOVÝSUV 350 MM EB21 SILENT SYSTEM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176.43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OBJ!B311</f>
        <v>9256864</v>
      </c>
      <c r="BE75" s="23" t="str">
        <f>VLOOKUP(BD75,CENY!$B$11:$G$1034,2,FALSE)</f>
        <v>QUADRO YOU PLNOVÝSUV 400 MM EB21 SILENT SYSTEM LEVÝ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180.17</v>
      </c>
      <c r="BK75" s="107">
        <f t="shared" si="7"/>
        <v>0</v>
      </c>
    </row>
    <row r="76" spans="1:63" ht="14.4" customHeight="1">
      <c r="A76" s="633"/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OBJ!B312</f>
        <v>9256865</v>
      </c>
      <c r="BE76" s="23" t="str">
        <f>VLOOKUP(BD76,CENY!$B$11:$G$1034,2,FALSE)</f>
        <v>QUADRO YOU PLNOVÝSUV 400 MM EB21 SILENT SYSTEM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180.17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OBJ!B313</f>
        <v>9256868</v>
      </c>
      <c r="BE77" s="23" t="str">
        <f>VLOOKUP(BD77,CENY!$B$11:$G$1034,2,FALSE)</f>
        <v>QUADRO YOU PLNOVÝSUV 450 MM EB21 SILENT SYSTEM LEVÝ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183.9</v>
      </c>
      <c r="BK77" s="107">
        <f t="shared" si="7"/>
        <v>0</v>
      </c>
    </row>
    <row r="78" spans="1:63" ht="14.4" customHeight="1">
      <c r="A78" s="633"/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OBJ!B314</f>
        <v>9256869</v>
      </c>
      <c r="BE78" s="23" t="str">
        <f>VLOOKUP(BD78,CENY!$B$11:$G$1034,2,FALSE)</f>
        <v>QUADRO YOU PLNOVÝSUV 450 MM EB21 SILENT SYSTEM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183.9</v>
      </c>
      <c r="BK78" s="107">
        <f t="shared" si="7"/>
        <v>0</v>
      </c>
    </row>
    <row r="79" spans="1:63" ht="14.4" customHeight="1">
      <c r="A79" s="633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OBJ!B315</f>
        <v>9256872</v>
      </c>
      <c r="BE79" s="23" t="str">
        <f>VLOOKUP(BD79,CENY!$B$11:$G$1034,2,FALSE)</f>
        <v>QUADRO YOU PLNOVÝSUV 500 MM EB21 SILENT SYSTEM LEVÝ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187.64</v>
      </c>
      <c r="BK79" s="107">
        <f t="shared" si="7"/>
        <v>0</v>
      </c>
    </row>
    <row r="80" spans="1:63" ht="14.4" customHeight="1">
      <c r="A80" s="633"/>
      <c r="O80" s="656">
        <f>CEILING(O84/FLOOR(2000/O85,1),1)</f>
        <v>0</v>
      </c>
      <c r="P80" s="656"/>
      <c r="Q80" s="656">
        <f>CEILING(Q84/FLOOR(2000/Q85,1),1)</f>
        <v>0</v>
      </c>
      <c r="R80" s="656"/>
      <c r="S80" s="656">
        <f>CEILING(S84/FLOOR(2000/S85,1),1)</f>
        <v>0</v>
      </c>
      <c r="T80" s="656"/>
      <c r="U80" s="656">
        <f>CEILING(U84/FLOOR(2000/U85,1),1)</f>
        <v>0</v>
      </c>
      <c r="V80" s="656"/>
      <c r="W80" s="656">
        <f>CEILING(W84/FLOOR(2000/W85,1),1)</f>
        <v>0</v>
      </c>
      <c r="X80" s="656"/>
      <c r="Y80" s="656">
        <f>CEILING(Y84/FLOOR(2000/Y85,1),1)</f>
        <v>0</v>
      </c>
      <c r="Z80" s="656"/>
      <c r="AA80" s="656">
        <f>CEILING(AA84/FLOOR(2000/AA85,1),1)</f>
        <v>0</v>
      </c>
      <c r="AB80" s="656"/>
      <c r="AC80" s="656">
        <f>CEILING(AC84/FLOOR(2000/AC85,1),1)</f>
        <v>0</v>
      </c>
      <c r="AD80" s="656"/>
      <c r="AE80" s="656">
        <f>CEILING(AE84/FLOOR(2000/AE85,1),1)</f>
        <v>0</v>
      </c>
      <c r="AF80" s="656"/>
      <c r="AG80" s="656">
        <f>CEILING(AG84/FLOOR(2000/AG85,1),1)</f>
        <v>0</v>
      </c>
      <c r="AH80" s="656"/>
      <c r="AI80" s="656">
        <f>CEILING(AI84/FLOOR(2000/AI85,1),1)</f>
        <v>0</v>
      </c>
      <c r="AJ80" s="656"/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OBJ!B316</f>
        <v>9256873</v>
      </c>
      <c r="BE80" s="23" t="str">
        <f>VLOOKUP(BD80,CENY!$B$11:$G$1034,2,FALSE)</f>
        <v>QUADRO YOU PLNOVÝSUV 500 MM EB21 SILENT SYSTEM PRAVÝ</v>
      </c>
      <c r="BF80" s="24">
        <f>VLOOKUP(BD80,CENY!$B$11:$G$1034,3,FALSE)</f>
        <v>20</v>
      </c>
      <c r="BG80" s="24"/>
      <c r="BH80" s="25">
        <f>AY50</f>
        <v>0</v>
      </c>
      <c r="BI80" s="451">
        <f t="shared" si="6"/>
        <v>0</v>
      </c>
      <c r="BJ80" s="107">
        <f>VLOOKUP(BD80,CENY!$B$11:$M$2005,12,FALSE)</f>
        <v>187.64</v>
      </c>
      <c r="BK80" s="107">
        <f t="shared" si="7"/>
        <v>0</v>
      </c>
    </row>
    <row r="81" spans="1:63" ht="14.4" customHeight="1">
      <c r="A81" s="633"/>
      <c r="O81" s="660">
        <f>O85*O84</f>
        <v>0</v>
      </c>
      <c r="P81" s="660"/>
      <c r="Q81" s="660">
        <f>Q85*Q84</f>
        <v>0</v>
      </c>
      <c r="R81" s="660"/>
      <c r="S81" s="660">
        <f>S85*S84</f>
        <v>0</v>
      </c>
      <c r="T81" s="660"/>
      <c r="U81" s="660">
        <f>U85*U84</f>
        <v>0</v>
      </c>
      <c r="V81" s="660"/>
      <c r="W81" s="660">
        <f>W85*W84</f>
        <v>0</v>
      </c>
      <c r="X81" s="660"/>
      <c r="Y81" s="660">
        <f>Y85*Y84</f>
        <v>0</v>
      </c>
      <c r="Z81" s="660"/>
      <c r="AA81" s="660">
        <f>AA85*AA84</f>
        <v>0</v>
      </c>
      <c r="AB81" s="660"/>
      <c r="AC81" s="660">
        <f>AC85*AC84</f>
        <v>0</v>
      </c>
      <c r="AD81" s="660"/>
      <c r="AE81" s="660">
        <f>AE85*AE84</f>
        <v>0</v>
      </c>
      <c r="AF81" s="660"/>
      <c r="AG81" s="660">
        <f>AG85*AG84</f>
        <v>0</v>
      </c>
      <c r="AH81" s="660"/>
      <c r="AI81" s="660">
        <f>AI85*AI84</f>
        <v>0</v>
      </c>
      <c r="AJ81" s="660"/>
      <c r="AK81" s="633"/>
      <c r="AL81" s="633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OBJ!B317</f>
        <v>9256876</v>
      </c>
      <c r="BE81" s="23" t="str">
        <f>VLOOKUP(BD81,CENY!$B$11:$G$1034,2,FALSE)</f>
        <v>QUADRO YOU PLNOVÝSUV 550 MM EB21 SILENT SYSTEM LEVÝ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194.36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OBJ!B318</f>
        <v>9256877</v>
      </c>
      <c r="BE82" s="23" t="str">
        <f>VLOOKUP(BD82,CENY!$B$11:$G$1034,2,FALSE)</f>
        <v>QUADRO YOU PLNOVÝSUV 550 MM EB21 SILENT SYSTEM PRAVÝ</v>
      </c>
      <c r="BF82" s="24">
        <f>VLOOKUP(BD82,CENY!$B$11:$G$1034,3,FALSE)</f>
        <v>20</v>
      </c>
      <c r="BG82" s="24"/>
      <c r="BH82" s="25">
        <f>AY51</f>
        <v>0</v>
      </c>
      <c r="BI82" s="451">
        <f t="shared" si="6"/>
        <v>0</v>
      </c>
      <c r="BJ82" s="107">
        <f>VLOOKUP(BD82,CENY!$B$11:$M$2005,12,FALSE)</f>
        <v>194.36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OBJ!B188</f>
        <v>9257270</v>
      </c>
      <c r="AV83" s="23" t="str">
        <f>VLOOKUP(AU83,CENY!$B$11:$G$1034,2,FALSE)</f>
        <v>AVANTECH YOU ALU PROFIL VNITŘNÍ ČELO V139 MM L2000 MM STŘÍBRNÁ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1700.74</v>
      </c>
      <c r="BB83" s="107">
        <f t="shared" si="4"/>
        <v>0</v>
      </c>
      <c r="BD83" s="441">
        <f>OBJ!B319</f>
        <v>9256880</v>
      </c>
      <c r="BE83" s="23" t="str">
        <f>VLOOKUP(BD83,CENY!$B$11:$G$1034,2,FALSE)</f>
        <v>QUADRO YOU PLNOVÝSUV 600 MM EB21 SILENT SYSTEM LEVÝ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198.1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OBJ!B192</f>
        <v>9257612</v>
      </c>
      <c r="AV84" s="23" t="str">
        <f>VLOOKUP(AU84,CENY!$B$11:$G$1034,2,FALSE)</f>
        <v>AVANTECH YOU SADA SPOJEK PRO VNITŘNÍ ČELO K BOKŮM V139 MM STŘÍBRNÁ</v>
      </c>
      <c r="AW84" s="24">
        <f>VLOOKUP(AU84,CENY!$B$11:$G$1034,3,FALSE)</f>
        <v>1</v>
      </c>
      <c r="AX84" s="24"/>
      <c r="AY84" s="25">
        <f>1*(+SUM(Q19:T19)+SUM(Q20:AD20)+SUM(W22:AD22)+SUM(Q27:T27)+SUM(Q28:AD28)+SUM(Q30:AD30))</f>
        <v>0</v>
      </c>
      <c r="AZ84" s="451">
        <f>IF(AY84="","",IF($AW$4=1,AY84,0))</f>
        <v>0</v>
      </c>
      <c r="BA84" s="107">
        <f>VLOOKUP(AU84,CENY!$B$11:$M$2005,12,FALSE)</f>
        <v>96.7</v>
      </c>
      <c r="BB84" s="107">
        <f t="shared" si="4"/>
        <v>0</v>
      </c>
      <c r="BD84" s="441">
        <f>OBJ!B320</f>
        <v>9256881</v>
      </c>
      <c r="BE84" s="23" t="str">
        <f>VLOOKUP(BD84,CENY!$B$11:$G$1034,2,FALSE)</f>
        <v>QUADRO YOU PLNOVÝSUV 600 MM EB21 SILENT SYSTEM PRAVÝ</v>
      </c>
      <c r="BF84" s="24">
        <f>VLOOKUP(BD84,CENY!$B$11:$G$1034,3,FALSE)</f>
        <v>20</v>
      </c>
      <c r="BG84" s="24"/>
      <c r="BH84" s="25">
        <f>AY52</f>
        <v>0</v>
      </c>
      <c r="BI84" s="451">
        <f t="shared" si="6"/>
        <v>0</v>
      </c>
      <c r="BJ84" s="107">
        <f>VLOOKUP(BD84,CENY!$B$11:$M$2005,12,FALSE)</f>
        <v>198.1</v>
      </c>
      <c r="BK84" s="107">
        <f t="shared" si="7"/>
        <v>0</v>
      </c>
    </row>
    <row r="85" spans="1:63" ht="14.4" customHeight="1">
      <c r="A85" s="633"/>
      <c r="O85" s="661">
        <f>O83-2*FORM!$AM$24-12</f>
        <v>252</v>
      </c>
      <c r="P85" s="661"/>
      <c r="Q85" s="661">
        <f>Q83-2*FORM!$AM$24-12</f>
        <v>352</v>
      </c>
      <c r="R85" s="661"/>
      <c r="S85" s="661">
        <f>S83-2*FORM!$AM$24-12</f>
        <v>402</v>
      </c>
      <c r="T85" s="661"/>
      <c r="U85" s="661">
        <f>U83-2*FORM!$AM$24-12</f>
        <v>452</v>
      </c>
      <c r="V85" s="661"/>
      <c r="W85" s="661">
        <f>W83-2*FORM!$AM$24-12</f>
        <v>502</v>
      </c>
      <c r="X85" s="661"/>
      <c r="Y85" s="661">
        <f>Y83-2*FORM!$AM$24-12</f>
        <v>552</v>
      </c>
      <c r="Z85" s="661"/>
      <c r="AA85" s="661">
        <f>AA83-2*FORM!$AM$24-12</f>
        <v>652</v>
      </c>
      <c r="AB85" s="661"/>
      <c r="AC85" s="661">
        <f>AC83-2*FORM!$AM$24-12</f>
        <v>752</v>
      </c>
      <c r="AD85" s="661"/>
      <c r="AE85" s="661">
        <f>AE83-2*FORM!$AM$24-12</f>
        <v>852</v>
      </c>
      <c r="AF85" s="661"/>
      <c r="AG85" s="661">
        <f>AG83-2*FORM!$AM$24-12</f>
        <v>952</v>
      </c>
      <c r="AH85" s="661"/>
      <c r="AI85" s="661">
        <f>AI83-2*FORM!$AM$24-12</f>
        <v>1152</v>
      </c>
      <c r="AJ85" s="661"/>
      <c r="AU85" s="441"/>
      <c r="AV85" s="23"/>
      <c r="AW85" s="24"/>
      <c r="AX85" s="24"/>
      <c r="AY85" s="25"/>
      <c r="AZ85" s="451" t="str">
        <f t="shared" ref="AZ85:AZ93" si="8">IF(AY85="","",IF($AW$4=1,AY85,0))</f>
        <v/>
      </c>
      <c r="BA85" s="107"/>
      <c r="BB85" s="107" t="str">
        <f t="shared" si="4"/>
        <v/>
      </c>
      <c r="BD85" s="441"/>
      <c r="BE85" s="23"/>
      <c r="BF85" s="24"/>
      <c r="BG85" s="24"/>
      <c r="BH85" s="25"/>
      <c r="BI85" s="451" t="str">
        <f t="shared" si="6"/>
        <v/>
      </c>
      <c r="BJ85" s="107"/>
      <c r="BK85" s="107" t="str">
        <f t="shared" si="7"/>
        <v/>
      </c>
    </row>
    <row r="86" spans="1:63" ht="14.4" customHeight="1">
      <c r="A86" s="633"/>
      <c r="AR86" s="177" t="str">
        <f>IF(AU89=0,verze!E169&amp;" "&amp;AU87&amp;" "&amp;verze!E170,"")</f>
        <v>Je potřebné vybrat 0 ks vnitřních čel.</v>
      </c>
      <c r="AU86" s="441"/>
      <c r="AV86" s="23"/>
      <c r="AW86" s="24"/>
      <c r="AX86" s="24"/>
      <c r="AY86" s="25"/>
      <c r="AZ86" s="451" t="str">
        <f t="shared" si="8"/>
        <v/>
      </c>
      <c r="BA86" s="107"/>
      <c r="BB86" s="107" t="str">
        <f t="shared" si="4"/>
        <v/>
      </c>
      <c r="BD86" s="441">
        <f>OBJ!B322</f>
        <v>9257894</v>
      </c>
      <c r="BE86" s="23" t="str">
        <f>VLOOKUP(BD86,CENY!$B$11:$G$1034,2,FALSE)</f>
        <v>PUSH TO OPEN SILENT QUADRO YOU 10 KG</v>
      </c>
      <c r="BF86" s="24">
        <f>VLOOKUP(BD86,CENY!$B$11:$G$1034,3,FALSE)</f>
        <v>1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544.37</v>
      </c>
      <c r="BK86" s="107">
        <f t="shared" si="7"/>
        <v>0</v>
      </c>
    </row>
    <row r="87" spans="1:63" ht="14.4" customHeight="1">
      <c r="A87" s="633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8"/>
        <v/>
      </c>
      <c r="BA87" s="107"/>
      <c r="BB87" s="107" t="str">
        <f t="shared" si="4"/>
        <v/>
      </c>
      <c r="BD87" s="441">
        <f>OBJ!B323</f>
        <v>9257895</v>
      </c>
      <c r="BE87" s="23" t="str">
        <f>VLOOKUP(BD87,CENY!$B$11:$G$1034,2,FALSE)</f>
        <v>PUSH TO OPEN SILENT QUADRO YOU 20 KG</v>
      </c>
      <c r="BF87" s="24">
        <f>VLOOKUP(BD87,CENY!$B$11:$G$1034,3,FALSE)</f>
        <v>1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544.37</v>
      </c>
      <c r="BK87" s="107">
        <f t="shared" si="7"/>
        <v>0</v>
      </c>
    </row>
    <row r="88" spans="1:63" ht="14.4" customHeight="1">
      <c r="A88" s="633"/>
      <c r="AU88" s="22"/>
      <c r="AV88" s="23"/>
      <c r="AW88" s="24"/>
      <c r="AX88" s="24"/>
      <c r="AY88" s="25"/>
      <c r="AZ88" s="451" t="str">
        <f t="shared" si="8"/>
        <v/>
      </c>
      <c r="BA88" s="107"/>
      <c r="BB88" s="107" t="str">
        <f t="shared" si="4"/>
        <v/>
      </c>
      <c r="BD88" s="441">
        <f>OBJ!B324</f>
        <v>9257896</v>
      </c>
      <c r="BE88" s="23" t="str">
        <f>VLOOKUP(BD88,CENY!$B$11:$G$1034,2,FALSE)</f>
        <v>PUSH TO OPEN SILENT QUADRO YOU 30 KG</v>
      </c>
      <c r="BF88" s="24">
        <f>VLOOKUP(BD88,CENY!$B$11:$G$1034,3,FALSE)</f>
        <v>1</v>
      </c>
      <c r="BG88" s="24"/>
      <c r="BH88" s="25">
        <f>AY56</f>
        <v>0</v>
      </c>
      <c r="BI88" s="451">
        <f t="shared" si="6"/>
        <v>0</v>
      </c>
      <c r="BJ88" s="107">
        <f>VLOOKUP(BD88,CENY!$B$11:$M$2005,12,FALSE)</f>
        <v>544.37</v>
      </c>
      <c r="BK88" s="107">
        <f t="shared" si="7"/>
        <v>0</v>
      </c>
    </row>
    <row r="89" spans="1:63" ht="14.4" customHeight="1">
      <c r="A89" s="633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8"/>
        <v/>
      </c>
      <c r="BA89" s="107"/>
      <c r="BB89" s="107" t="str">
        <f t="shared" si="4"/>
        <v/>
      </c>
      <c r="BD89" s="441"/>
      <c r="BE89" s="23"/>
      <c r="BF89" s="24"/>
      <c r="BG89" s="24"/>
      <c r="BH89" s="25"/>
      <c r="BI89" s="451" t="str">
        <f t="shared" si="6"/>
        <v/>
      </c>
      <c r="BJ89" s="107"/>
      <c r="BK89" s="107" t="str">
        <f t="shared" si="7"/>
        <v/>
      </c>
    </row>
    <row r="90" spans="1:63" ht="14.4" customHeight="1">
      <c r="A90" s="633"/>
      <c r="AU90" s="24">
        <f>AU87-AU89</f>
        <v>0</v>
      </c>
      <c r="AV90" s="23"/>
      <c r="AW90" s="24"/>
      <c r="AX90" s="24"/>
      <c r="AY90" s="25"/>
      <c r="AZ90" s="451" t="str">
        <f t="shared" si="8"/>
        <v/>
      </c>
      <c r="BA90" s="107"/>
      <c r="BB90" s="107" t="str">
        <f t="shared" si="4"/>
        <v/>
      </c>
      <c r="BD90" s="441">
        <f>OBJ!B336</f>
        <v>9256901</v>
      </c>
      <c r="BE90" s="23" t="str">
        <f>VLOOKUP(BD90,CENY!$B$11:$G$1034,2,FALSE)</f>
        <v>QUADRO YOU PLNOVÝSUV 300 MM EB21 PUSH TO OPEN LEVÝ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195.11</v>
      </c>
      <c r="BK90" s="107">
        <f t="shared" si="7"/>
        <v>0</v>
      </c>
    </row>
    <row r="91" spans="1:63" ht="14.4" customHeight="1">
      <c r="A91" s="633"/>
      <c r="AU91" s="24">
        <f>ABS(AU90)</f>
        <v>0</v>
      </c>
      <c r="AV91" s="23"/>
      <c r="AW91" s="24"/>
      <c r="AX91" s="24"/>
      <c r="AY91" s="25"/>
      <c r="AZ91" s="451" t="str">
        <f t="shared" si="8"/>
        <v/>
      </c>
      <c r="BA91" s="107"/>
      <c r="BB91" s="107" t="str">
        <f t="shared" si="4"/>
        <v/>
      </c>
      <c r="BD91" s="441">
        <f>OBJ!B337</f>
        <v>9256902</v>
      </c>
      <c r="BE91" s="23" t="str">
        <f>VLOOKUP(BD91,CENY!$B$11:$G$1034,2,FALSE)</f>
        <v>QUADRO YOU PLNOVÝSUV 300 MM EB21 PUSH TO OPEN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195.11</v>
      </c>
      <c r="BK91" s="107">
        <f t="shared" si="7"/>
        <v>0</v>
      </c>
    </row>
    <row r="92" spans="1:63" ht="14.4" customHeight="1">
      <c r="A92" s="633"/>
      <c r="AU92" s="22"/>
      <c r="AV92" s="23"/>
      <c r="AW92" s="24"/>
      <c r="AX92" s="24"/>
      <c r="AY92" s="25"/>
      <c r="AZ92" s="451" t="str">
        <f t="shared" si="8"/>
        <v/>
      </c>
      <c r="BA92" s="107"/>
      <c r="BB92" s="107" t="str">
        <f t="shared" si="4"/>
        <v/>
      </c>
      <c r="BD92" s="441">
        <f>OBJ!B338</f>
        <v>9256905</v>
      </c>
      <c r="BE92" s="23" t="str">
        <f>VLOOKUP(BD92,CENY!$B$11:$G$1034,2,FALSE)</f>
        <v>QUADRO YOU PLNOVÝSUV 350 MM EB21 PUSH TO OPEN LEVÝ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198.85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8"/>
        <v/>
      </c>
      <c r="BA93" s="107"/>
      <c r="BB93" s="107" t="str">
        <f t="shared" si="4"/>
        <v/>
      </c>
      <c r="BD93" s="441">
        <f>OBJ!B339</f>
        <v>9256906</v>
      </c>
      <c r="BE93" s="23" t="str">
        <f>VLOOKUP(BD93,CENY!$B$11:$G$1034,2,FALSE)</f>
        <v>QUADRO YOU PLNOVÝSUV 350 MM EB21 PUSH TO OPEN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198.85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OBJ!B340</f>
        <v>9256909</v>
      </c>
      <c r="BE94" s="23" t="str">
        <f>VLOOKUP(BD94,CENY!$B$11:$G$1034,2,FALSE)</f>
        <v>QUADRO YOU PLNOVÝSUV 400 MM EB21 PUSH TO OPEN LEVÝ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202.58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OBJ!B341</f>
        <v>9256910</v>
      </c>
      <c r="BE95" s="23" t="str">
        <f>VLOOKUP(BD95,CENY!$B$11:$G$1034,2,FALSE)</f>
        <v>QUADRO YOU PLNOVÝSUV 400 MM EB21 PUSH TO OPEN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202.58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OBJ!B342</f>
        <v>9256913</v>
      </c>
      <c r="BE96" s="23" t="str">
        <f>VLOOKUP(BD96,CENY!$B$11:$G$1034,2,FALSE)</f>
        <v>QUADRO YOU PLNOVÝSUV 450 MM EB21 PUSH TO OPEN LEVÝ</v>
      </c>
      <c r="BF96" s="24">
        <f>VLOOKUP(BD96,CENY!$B$11:$G$1034,3,FALSE)</f>
        <v>20</v>
      </c>
      <c r="BG96" s="24"/>
      <c r="BH96" s="25">
        <f>AY61</f>
        <v>0</v>
      </c>
      <c r="BI96" s="451">
        <f t="shared" si="6"/>
        <v>0</v>
      </c>
      <c r="BJ96" s="107">
        <f>VLOOKUP(BD96,CENY!$B$11:$M$2005,12,FALSE)</f>
        <v>206.32</v>
      </c>
      <c r="BK96" s="107">
        <f t="shared" si="7"/>
        <v>0</v>
      </c>
    </row>
    <row r="97" spans="1:63" ht="14.4" customHeight="1">
      <c r="A97" s="633"/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OBJ!B343</f>
        <v>9256914</v>
      </c>
      <c r="BE97" s="23" t="str">
        <f>VLOOKUP(BD97,CENY!$B$11:$G$1034,2,FALSE)</f>
        <v>QUADRO YOU PLNOVÝSUV 450 MM EB21 PUSH TO OPEN PRAVÝ</v>
      </c>
      <c r="BF97" s="24">
        <f>VLOOKUP(BD97,CENY!$B$11:$G$1034,3,FALSE)</f>
        <v>20</v>
      </c>
      <c r="BG97" s="24"/>
      <c r="BH97" s="25">
        <f>AY61</f>
        <v>0</v>
      </c>
      <c r="BI97" s="451">
        <f t="shared" si="6"/>
        <v>0</v>
      </c>
      <c r="BJ97" s="107">
        <f>VLOOKUP(BD97,CENY!$B$11:$M$2005,12,FALSE)</f>
        <v>206.32</v>
      </c>
      <c r="BK97" s="107">
        <f t="shared" si="7"/>
        <v>0</v>
      </c>
    </row>
    <row r="98" spans="1:63" ht="14.4" customHeight="1">
      <c r="A98" s="633"/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OBJ!B344</f>
        <v>9256917</v>
      </c>
      <c r="BE98" s="23" t="str">
        <f>VLOOKUP(BD98,CENY!$B$11:$G$1034,2,FALSE)</f>
        <v>QUADRO YOU PLNOVÝSUV 500 MM EB21 PUSH TO OPEN LEVÝ</v>
      </c>
      <c r="BF98" s="24">
        <f>VLOOKUP(BD98,CENY!$B$11:$G$1034,3,FALSE)</f>
        <v>20</v>
      </c>
      <c r="BG98" s="24"/>
      <c r="BH98" s="25">
        <f>AY62</f>
        <v>0</v>
      </c>
      <c r="BI98" s="451">
        <f t="shared" si="6"/>
        <v>0</v>
      </c>
      <c r="BJ98" s="107">
        <f>VLOOKUP(BD98,CENY!$B$11:$M$2005,12,FALSE)</f>
        <v>210.06</v>
      </c>
      <c r="BK98" s="107">
        <f t="shared" si="7"/>
        <v>0</v>
      </c>
    </row>
    <row r="99" spans="1:63" ht="14.4" customHeight="1">
      <c r="A99" s="633"/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OBJ!B345</f>
        <v>9256918</v>
      </c>
      <c r="BE99" s="23" t="str">
        <f>VLOOKUP(BD99,CENY!$B$11:$G$1034,2,FALSE)</f>
        <v>QUADRO YOU PLNOVÝSUV 500 MM EB21 PUSH TO OPEN PRAVÝ</v>
      </c>
      <c r="BF99" s="24">
        <f>VLOOKUP(BD99,CENY!$B$11:$G$1034,3,FALSE)</f>
        <v>20</v>
      </c>
      <c r="BG99" s="24"/>
      <c r="BH99" s="25">
        <f>AY62</f>
        <v>0</v>
      </c>
      <c r="BI99" s="451">
        <f t="shared" si="6"/>
        <v>0</v>
      </c>
      <c r="BJ99" s="107">
        <f>VLOOKUP(BD99,CENY!$B$11:$M$2005,12,FALSE)</f>
        <v>210.06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OBJ!B346</f>
        <v>9256921</v>
      </c>
      <c r="BE100" s="23" t="str">
        <f>VLOOKUP(BD100,CENY!$B$11:$G$1034,2,FALSE)</f>
        <v>QUADRO YOU PLNOVÝSUV 550 MM EB21 PUSH TO OPEN LEVÝ</v>
      </c>
      <c r="BF100" s="24">
        <f>VLOOKUP(BD100,CENY!$B$11:$G$1034,3,FALSE)</f>
        <v>20</v>
      </c>
      <c r="BG100" s="24"/>
      <c r="BH100" s="25">
        <f>AY63</f>
        <v>0</v>
      </c>
      <c r="BI100" s="451">
        <f t="shared" si="6"/>
        <v>0</v>
      </c>
      <c r="BJ100" s="107">
        <f>VLOOKUP(BD100,CENY!$B$11:$M$2005,12,FALSE)</f>
        <v>216.78</v>
      </c>
      <c r="BK100" s="107">
        <f t="shared" si="7"/>
        <v>0</v>
      </c>
    </row>
    <row r="101" spans="1:63">
      <c r="A101" s="633"/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>
        <f>OBJ!B347</f>
        <v>9256922</v>
      </c>
      <c r="BE101" s="23" t="str">
        <f>VLOOKUP(BD101,CENY!$B$11:$G$1034,2,FALSE)</f>
        <v>QUADRO YOU PLNOVÝSUV 550 MM EB21 PUSH TO OPEN PRAVÝ</v>
      </c>
      <c r="BF101" s="24">
        <f>VLOOKUP(BD101,CENY!$B$11:$G$1034,3,FALSE)</f>
        <v>20</v>
      </c>
      <c r="BG101" s="24"/>
      <c r="BH101" s="25">
        <f>AY63</f>
        <v>0</v>
      </c>
      <c r="BI101" s="451">
        <f t="shared" si="6"/>
        <v>0</v>
      </c>
      <c r="BJ101" s="107">
        <f>VLOOKUP(BD101,CENY!$B$11:$M$2005,12,FALSE)</f>
        <v>216.78</v>
      </c>
      <c r="BK101" s="107">
        <f t="shared" si="7"/>
        <v>0</v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OBJ!B348</f>
        <v>9256925</v>
      </c>
      <c r="BE102" s="23" t="str">
        <f>VLOOKUP(BD102,CENY!$B$11:$G$1034,2,FALSE)</f>
        <v>QUADRO YOU PLNOVÝSUV 600 MM EB21 PUSH TO OPEN LEVÝ</v>
      </c>
      <c r="BF102" s="24">
        <f>VLOOKUP(BD102,CENY!$B$11:$G$1034,3,FALSE)</f>
        <v>20</v>
      </c>
      <c r="BG102" s="24"/>
      <c r="BH102" s="25">
        <f>AY64</f>
        <v>0</v>
      </c>
      <c r="BI102" s="451">
        <f t="shared" si="6"/>
        <v>0</v>
      </c>
      <c r="BJ102" s="107">
        <f>VLOOKUP(BD102,CENY!$B$11:$M$2005,12,FALSE)</f>
        <v>223.51</v>
      </c>
      <c r="BK102" s="107">
        <f t="shared" si="7"/>
        <v>0</v>
      </c>
    </row>
    <row r="103" spans="1:63">
      <c r="A103" s="633"/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OBJ!B349</f>
        <v>9256926</v>
      </c>
      <c r="BE103" s="23" t="str">
        <f>VLOOKUP(BD103,CENY!$B$11:$G$1034,2,FALSE)</f>
        <v>QUADRO YOU PLNOVÝSUV 600 MM EB21 PUSH TO OPEN PRAVÝ</v>
      </c>
      <c r="BF103" s="24">
        <f>VLOOKUP(BD103,CENY!$B$11:$G$1034,3,FALSE)</f>
        <v>20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223.51</v>
      </c>
      <c r="BK103" s="107">
        <f t="shared" si="7"/>
        <v>0</v>
      </c>
    </row>
    <row r="104" spans="1:63">
      <c r="A104" s="633"/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/>
      <c r="BE104" s="23"/>
      <c r="BF104" s="24"/>
      <c r="BG104" s="24"/>
      <c r="BH104" s="25"/>
      <c r="BI104" s="451" t="str">
        <f t="shared" si="6"/>
        <v/>
      </c>
      <c r="BJ104" s="107"/>
      <c r="BK104" s="107" t="str">
        <f t="shared" si="7"/>
        <v/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OBJ!B351</f>
        <v>9219966</v>
      </c>
      <c r="BE105" s="23" t="str">
        <f>VLOOKUP(BD105,CENY!$B$11:$G$1034,2,FALSE)</f>
        <v>PUSH TO OPEN SYNCHRO ADAPTÉR TYP A</v>
      </c>
      <c r="BF105" s="24">
        <f>VLOOKUP(BD105,CENY!$B$11:$G$1034,3,FALSE)</f>
        <v>200</v>
      </c>
      <c r="BG105" s="24"/>
      <c r="BH105" s="25">
        <f>AY66</f>
        <v>0</v>
      </c>
      <c r="BI105" s="451">
        <f t="shared" si="6"/>
        <v>0</v>
      </c>
      <c r="BJ105" s="107">
        <f>VLOOKUP(BD105,CENY!$B$11:$M$2005,12,FALSE)</f>
        <v>13.07</v>
      </c>
      <c r="BK105" s="107">
        <f t="shared" si="7"/>
        <v>0</v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/>
      <c r="BE106" s="23"/>
      <c r="BF106" s="24"/>
      <c r="BG106" s="24"/>
      <c r="BH106" s="25"/>
      <c r="BI106" s="451" t="str">
        <f t="shared" si="6"/>
        <v/>
      </c>
      <c r="BJ106" s="107"/>
      <c r="BK106" s="107" t="str">
        <f t="shared" si="7"/>
        <v/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OBJ!B207</f>
        <v>0</v>
      </c>
      <c r="BE107" s="23" t="e">
        <f>VLOOKUP(BD107,CENY!$B$11:$G$1034,2,FALSE)</f>
        <v>#N/A</v>
      </c>
      <c r="BF107" s="24" t="e">
        <f>VLOOKUP(BD107,CENY!$B$11:$G$1034,3,FALSE)</f>
        <v>#N/A</v>
      </c>
      <c r="BG107" s="24"/>
      <c r="BH107" s="25">
        <f>AY70</f>
        <v>0</v>
      </c>
      <c r="BI107" s="451">
        <f t="shared" si="6"/>
        <v>0</v>
      </c>
      <c r="BJ107" s="449" t="str">
        <f>IF(BD107=0,"",VLOOKUP(BD107,CENY!$B$11:$M$2005,12,FALSE))</f>
        <v/>
      </c>
      <c r="BK107" s="107" t="str">
        <f t="shared" si="7"/>
        <v/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/>
      <c r="BE108" s="23"/>
      <c r="BF108" s="24"/>
      <c r="BG108" s="24"/>
      <c r="BH108" s="25"/>
      <c r="BI108" s="451" t="str">
        <f t="shared" si="6"/>
        <v/>
      </c>
      <c r="BJ108" s="107"/>
      <c r="BK108" s="107" t="str">
        <f t="shared" si="7"/>
        <v/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/>
      <c r="BE109" s="23"/>
      <c r="BF109" s="24"/>
      <c r="BG109" s="24"/>
      <c r="BH109" s="25"/>
      <c r="BI109" s="451" t="str">
        <f t="shared" si="6"/>
        <v/>
      </c>
      <c r="BJ109" s="107"/>
      <c r="BK109" s="107" t="str">
        <f t="shared" si="7"/>
        <v/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OBJ!B188</f>
        <v>9257270</v>
      </c>
      <c r="BE110" s="23" t="str">
        <f>VLOOKUP(BD110,CENY!$B$11:$G$1034,2,FALSE)</f>
        <v>AVANTECH YOU ALU PROFIL VNITŘNÍ ČELO V139 MM L2000 MM STŘÍBRNÁ</v>
      </c>
      <c r="BF110" s="24">
        <f>VLOOKUP(BD110,CENY!$B$11:$G$1034,3,FALSE)</f>
        <v>1</v>
      </c>
      <c r="BG110" s="24"/>
      <c r="BH110" s="25">
        <f>AY83</f>
        <v>0</v>
      </c>
      <c r="BI110" s="451">
        <f>IF(BH110="","",IF($AW$4=0,BH110,0))</f>
        <v>0</v>
      </c>
      <c r="BJ110" s="107">
        <f>VLOOKUP(BD110,CENY!$B$11:$M$2005,12,FALSE)</f>
        <v>1700.74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/>
      <c r="BE111" s="23"/>
      <c r="BF111" s="24"/>
      <c r="BG111" s="24"/>
      <c r="BH111" s="25"/>
      <c r="BI111" s="451"/>
      <c r="BJ111" s="107"/>
      <c r="BK111" s="107" t="str">
        <f t="shared" si="7"/>
        <v/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OBJ!B196</f>
        <v>9257641</v>
      </c>
      <c r="BE112" s="23" t="str">
        <f>VLOOKUP(BD112,CENY!$B$11:$G$1034,2,FALSE)</f>
        <v>AVANTECH YOU STABILIZÁTOR ČELA VNITŘNÍ ZÁSUVKY</v>
      </c>
      <c r="BF112" s="24">
        <f>VLOOKUP(BD112,CENY!$B$11:$G$1034,3,FALSE)</f>
        <v>100</v>
      </c>
      <c r="BG112" s="24"/>
      <c r="BH112" s="25">
        <f>AY84</f>
        <v>0</v>
      </c>
      <c r="BI112" s="451">
        <f>IF(BH112="","",IF($AW$4=0,BH112,0))</f>
        <v>0</v>
      </c>
      <c r="BJ112" s="107">
        <f>VLOOKUP(BD112,CENY!$B$11:$M$2005,12,FALSE)</f>
        <v>26.51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OBJ!B198</f>
        <v>9257630</v>
      </c>
      <c r="BE113" s="23" t="str">
        <f>VLOOKUP(BD113,CENY!$B$11:$G$1034,2,FALSE)</f>
        <v>AVANTECH YOU KONCOVÁ KRYTKA ČELA VNITŘNÍ ZÁSUVKY V139 STŘÍBRNÁ</v>
      </c>
      <c r="BF113" s="24">
        <f>VLOOKUP(BD113,CENY!$B$11:$G$1034,3,FALSE)</f>
        <v>200</v>
      </c>
      <c r="BG113" s="24"/>
      <c r="BH113" s="25">
        <f>2*AY84</f>
        <v>0</v>
      </c>
      <c r="BI113" s="451">
        <f>IF(BH113="","",IF($AW$4=0,BH113,0))</f>
        <v>0</v>
      </c>
      <c r="BJ113" s="107">
        <f>VLOOKUP(BD113,CENY!$B$11:$M$2005,12,FALSE)</f>
        <v>4.95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/>
      <c r="BE114" s="23"/>
      <c r="BF114" s="24"/>
      <c r="BG114" s="24"/>
      <c r="BH114" s="25"/>
      <c r="BI114" s="451" t="str">
        <f t="shared" si="6"/>
        <v/>
      </c>
      <c r="BJ114" s="107"/>
      <c r="BK114" s="107" t="str">
        <f t="shared" si="7"/>
        <v/>
      </c>
    </row>
    <row r="115" spans="47:63">
      <c r="AU115" s="441">
        <f>OBJ!B354</f>
        <v>45167</v>
      </c>
      <c r="AV115" s="23" t="str">
        <f>VLOOKUP(AU115,CENY!$B$11:$G$1034,2,FALSE)</f>
        <v>VRUT PANHEAD 35X12</v>
      </c>
      <c r="AW115" s="24">
        <f>VLOOKUP(AU115,CENY!$B$11:$G$1034,3,FALSE)</f>
        <v>200</v>
      </c>
      <c r="AX115" s="24"/>
      <c r="AY115" s="25">
        <f>SUMPRODUCT(AX5:AX11,AY5:AY11)</f>
        <v>0</v>
      </c>
      <c r="AZ115" s="451">
        <f>IF(AY115="","",IF($AW$4=1,AY115,0))</f>
        <v>0</v>
      </c>
      <c r="BA115" s="107">
        <f>VLOOKUP(AU115,CENY!$B$11:$M$2005,12,FALSE)</f>
        <v>0.54</v>
      </c>
      <c r="BB115" s="107">
        <f>IF(BA115="","",BA115*AY115)</f>
        <v>0</v>
      </c>
      <c r="BC115" s="97" t="s">
        <v>506</v>
      </c>
      <c r="BD115" s="441">
        <f>OBJ!B354</f>
        <v>45167</v>
      </c>
      <c r="BE115" s="23" t="str">
        <f>VLOOKUP(BD115,CENY!$B$11:$G$1034,2,FALSE)</f>
        <v>VRUT PANHEAD 35X12</v>
      </c>
      <c r="BF115" s="24">
        <f>VLOOKUP(BD115,CENY!$B$11:$G$1034,3,FALSE)</f>
        <v>200</v>
      </c>
      <c r="BG115" s="24"/>
      <c r="BH115" s="25">
        <f>AY115+BH21*2+BH112</f>
        <v>0</v>
      </c>
      <c r="BI115" s="451">
        <f>IF(BH115="","",IF($AW$4=0,BH115,0))</f>
        <v>0</v>
      </c>
      <c r="BJ115" s="107">
        <f>VLOOKUP(BD115,CENY!$B$11:$M$2005,12,FALSE)</f>
        <v>0.54</v>
      </c>
      <c r="BK115" s="107">
        <f>IF(BJ115="","",BJ115*BH115)</f>
        <v>0</v>
      </c>
    </row>
    <row r="116" spans="47:63">
      <c r="AU116" s="441">
        <f>OBJ!B355</f>
        <v>45168</v>
      </c>
      <c r="AV116" s="23" t="str">
        <f>VLOOKUP(AU116,CENY!$B$11:$G$1034,2,FALSE)</f>
        <v>VRUT PANHEAD 35X20</v>
      </c>
      <c r="AW116" s="24">
        <f>VLOOKUP(AU116,CENY!$B$11:$G$1034,3,FALSE)</f>
        <v>200</v>
      </c>
      <c r="AX116" s="24"/>
      <c r="AY116" s="497">
        <v>0</v>
      </c>
      <c r="AZ116" s="451">
        <f>IF(AY116="","",IF($AW$4=1,AY116,0))</f>
        <v>0</v>
      </c>
      <c r="BA116" s="107">
        <f>VLOOKUP(AU116,CENY!$B$11:$M$2005,12,FALSE)</f>
        <v>0.78</v>
      </c>
      <c r="BB116" s="107">
        <f>IF(BA116="","",BA116*AY116)</f>
        <v>0</v>
      </c>
      <c r="BC116" s="97" t="s">
        <v>507</v>
      </c>
      <c r="BD116" s="441">
        <f>OBJ!B355</f>
        <v>45168</v>
      </c>
      <c r="BE116" s="23" t="str">
        <f>VLOOKUP(BD116,CENY!$B$11:$G$1034,2,FALSE)</f>
        <v>VRUT PANHEAD 35X20</v>
      </c>
      <c r="BF116" s="24">
        <f>VLOOKUP(BD116,CENY!$B$11:$G$1034,3,FALSE)</f>
        <v>200</v>
      </c>
      <c r="BG116" s="24"/>
      <c r="BH116" s="497">
        <v>0</v>
      </c>
      <c r="BI116" s="451">
        <f>IF(BH116="","",IF($AW$4=0,BH116,0))</f>
        <v>0</v>
      </c>
      <c r="BJ116" s="107">
        <f>VLOOKUP(BD116,CENY!$B$11:$M$2005,12,FALSE)</f>
        <v>0.78</v>
      </c>
      <c r="BK116" s="107">
        <f>IF(BJ116="","",BJ116*BH116)</f>
        <v>0</v>
      </c>
    </row>
    <row r="117" spans="47:63">
      <c r="AU117" s="441">
        <f>OBJ!B356</f>
        <v>9278224</v>
      </c>
      <c r="AV117" s="23" t="str">
        <f>VLOOKUP(AU117,CENY!$B$11:$G$1034,2,FALSE)</f>
        <v>AVANTECH YOU VRUT 3,5X30 PANHEAD POZINK.</v>
      </c>
      <c r="AW117" s="24">
        <f>VLOOKUP(AU117,CENY!$B$11:$G$1034,3,FALSE)</f>
        <v>200</v>
      </c>
      <c r="AX117" s="24"/>
      <c r="AY117" s="497">
        <v>0</v>
      </c>
      <c r="AZ117" s="451">
        <f>IF(AY117="","",IF($AW$4=1,AY117,0))</f>
        <v>0</v>
      </c>
      <c r="BA117" s="107">
        <f>VLOOKUP(AU117,CENY!$B$11:$M$2005,12,FALSE)</f>
        <v>0.73</v>
      </c>
      <c r="BB117" s="107">
        <f>IF(BA117="","",BA117*AY117)</f>
        <v>0</v>
      </c>
      <c r="BC117" s="97" t="s">
        <v>508</v>
      </c>
      <c r="BD117" s="441">
        <f>OBJ!B356</f>
        <v>9278224</v>
      </c>
      <c r="BE117" s="23" t="str">
        <f>VLOOKUP(BD117,CENY!$B$11:$G$1034,2,FALSE)</f>
        <v>AVANTECH YOU VRUT 3,5X30 PANHEAD POZINK.</v>
      </c>
      <c r="BF117" s="24">
        <f>VLOOKUP(BD117,CENY!$B$11:$G$1034,3,FALSE)</f>
        <v>200</v>
      </c>
      <c r="BG117" s="24"/>
      <c r="BH117" s="497">
        <f>2*SUM(BH5:BH18)</f>
        <v>0</v>
      </c>
      <c r="BI117" s="451">
        <f>IF(BH117="","",IF($AW$4=0,BH117,0))</f>
        <v>0</v>
      </c>
      <c r="BJ117" s="107">
        <f>VLOOKUP(BD117,CENY!$B$11:$M$2005,12,FALSE)</f>
        <v>0.73</v>
      </c>
      <c r="BK117" s="107">
        <f>IF(BJ117="","",BJ117*BH117)</f>
        <v>0</v>
      </c>
    </row>
    <row r="118" spans="47:63">
      <c r="AU118" s="441">
        <f>OBJ!B357</f>
        <v>9279197</v>
      </c>
      <c r="AV118" s="23" t="str">
        <f>VLOOKUP(AU118,CENY!$B$11:$G$1034,2,FALSE)</f>
        <v>SAMOŘEZNÝ ŠROUB 3,5X12 PANHEAD POZINK.</v>
      </c>
      <c r="AW118" s="24">
        <f>VLOOKUP(AU118,CENY!$B$11:$G$1034,3,FALSE)</f>
        <v>1000</v>
      </c>
      <c r="AX118" s="24"/>
      <c r="AY118" s="77">
        <v>0</v>
      </c>
      <c r="AZ118" s="451">
        <f>IF(AY118="","",IF($AW$4=1,AY118,0))</f>
        <v>0</v>
      </c>
      <c r="BA118" s="107">
        <f>VLOOKUP(AU118,CENY!$B$11:$M$2005,12,FALSE)</f>
        <v>1.51</v>
      </c>
      <c r="BB118" s="107">
        <f>IF(BA118="","",BA118*AY118)</f>
        <v>0</v>
      </c>
      <c r="BC118" s="97" t="s">
        <v>509</v>
      </c>
      <c r="BD118" s="441">
        <f>OBJ!B357</f>
        <v>9279197</v>
      </c>
      <c r="BE118" s="23" t="str">
        <f>VLOOKUP(BD118,CENY!$B$11:$G$1034,2,FALSE)</f>
        <v>SAMOŘEZNÝ ŠROUB 3,5X12 PANHEAD POZINK.</v>
      </c>
      <c r="BF118" s="24">
        <f>VLOOKUP(BD118,CENY!$B$11:$G$1034,3,FALSE)</f>
        <v>1000</v>
      </c>
      <c r="BG118" s="24"/>
      <c r="BH118" s="77">
        <f>3*BH20</f>
        <v>0</v>
      </c>
      <c r="BI118" s="451">
        <f>IF(BH118="","",IF($AW$4=0,BH118,0))</f>
        <v>0</v>
      </c>
      <c r="BJ118" s="107">
        <f>VLOOKUP(BD118,CENY!$B$11:$M$2005,12,FALSE)</f>
        <v>1.51</v>
      </c>
      <c r="BK118" s="107">
        <f>IF(BJ118="","",BJ118*BH118)</f>
        <v>0</v>
      </c>
    </row>
    <row r="119" spans="47:63">
      <c r="AU119" s="441">
        <f>OBJ!B358</f>
        <v>9137114</v>
      </c>
      <c r="AV119" s="23" t="str">
        <f>VLOOKUP(AU119,CENY!$B$11:$G$1034,2,FALSE)</f>
        <v>EUROŠROUB DBS 60 X 14</v>
      </c>
      <c r="AW119" s="24">
        <f>VLOOKUP(AU119,CENY!$B$11:$G$1034,3,FALSE)</f>
        <v>200</v>
      </c>
      <c r="AX119" s="24"/>
      <c r="AY119" s="25">
        <f>SUMPRODUCT(AX21:AX64,AY21:AY64)</f>
        <v>0</v>
      </c>
      <c r="AZ119" s="451">
        <f>IF(AY119="","",IF($AW$4=1,AY119,0))</f>
        <v>0</v>
      </c>
      <c r="BA119" s="107">
        <f>VLOOKUP(AU119,CENY!$B$11:$M$2005,12,FALSE)</f>
        <v>1.2</v>
      </c>
      <c r="BB119" s="107">
        <f>IF(BA119="","",BA119*AY119)</f>
        <v>0</v>
      </c>
      <c r="BC119" s="97" t="s">
        <v>510</v>
      </c>
      <c r="BD119" s="441">
        <f>OBJ!B358</f>
        <v>9137114</v>
      </c>
      <c r="BE119" s="23" t="str">
        <f>VLOOKUP(BD119,CENY!$B$11:$G$1034,2,FALSE)</f>
        <v>EUROŠROUB DBS 60 X 14</v>
      </c>
      <c r="BF119" s="24">
        <f>VLOOKUP(BD119,CENY!$B$11:$G$1034,3,FALSE)</f>
        <v>200</v>
      </c>
      <c r="BG119" s="24"/>
      <c r="BH119" s="25">
        <f>AY119</f>
        <v>0</v>
      </c>
      <c r="BI119" s="451">
        <f>IF(BH119="","",IF($AW$4=0,BH119,0))</f>
        <v>0</v>
      </c>
      <c r="BJ119" s="107">
        <f>VLOOKUP(BD119,CENY!$B$11:$M$2005,12,FALSE)</f>
        <v>1.2</v>
      </c>
      <c r="BK119" s="107">
        <f>IF(BJ119="","",BJ119*BH119)</f>
        <v>0</v>
      </c>
    </row>
    <row r="120" spans="47:63">
      <c r="AU120" s="22"/>
      <c r="AV120" s="23"/>
      <c r="AW120" s="24"/>
      <c r="AX120" s="24"/>
      <c r="AY120" s="25"/>
      <c r="AZ120" s="451"/>
      <c r="BA120" s="107"/>
      <c r="BB120" s="107"/>
      <c r="BD120" s="441"/>
      <c r="BE120" s="23"/>
      <c r="BF120" s="24"/>
      <c r="BG120" s="24"/>
      <c r="BH120" s="25"/>
      <c r="BI120" s="451"/>
      <c r="BJ120" s="107"/>
      <c r="BK120" s="107"/>
    </row>
    <row r="121" spans="47:63">
      <c r="AU121" s="22"/>
      <c r="AV121" s="23"/>
      <c r="AW121" s="24"/>
      <c r="AX121" s="24"/>
      <c r="AY121" s="25"/>
      <c r="AZ121" s="451"/>
      <c r="BA121" s="107"/>
      <c r="BB121" s="107"/>
      <c r="BD121" s="441"/>
      <c r="BE121" s="23"/>
      <c r="BF121" s="24"/>
      <c r="BG121" s="24"/>
      <c r="BH121" s="25"/>
      <c r="BI121" s="451" t="str">
        <f>IF(BH121="","",IF($AW$4=0,BH121,0))</f>
        <v/>
      </c>
      <c r="BJ121" s="107"/>
      <c r="BK121" s="107" t="str">
        <f>IF(BJ121="","",BJ121*BH121)</f>
        <v/>
      </c>
    </row>
    <row r="122" spans="47:63">
      <c r="AU122" s="22"/>
      <c r="AV122" s="23"/>
      <c r="AW122" s="24"/>
      <c r="AX122" s="24"/>
      <c r="AY122" s="25"/>
      <c r="AZ122" s="451" t="str">
        <f>IF(AY122="","",IF($AW$4=1,AY122,0))</f>
        <v/>
      </c>
      <c r="BA122" s="107"/>
      <c r="BB122" s="107" t="str">
        <f>IF(BA122="","",BA122*AY122)</f>
        <v/>
      </c>
      <c r="BD122" s="441"/>
      <c r="BE122" s="23"/>
      <c r="BF122" s="24"/>
      <c r="BG122" s="24"/>
      <c r="BH122" s="25"/>
      <c r="BI122" s="451" t="str">
        <f>IF(BH122="","",IF($AW$4=0,BH122,0))</f>
        <v/>
      </c>
      <c r="BJ122" s="107"/>
      <c r="BK122" s="107" t="str">
        <f>IF(BJ122="","",BJ122*BH122)</f>
        <v/>
      </c>
    </row>
  </sheetData>
  <sheetProtection password="DD97" sheet="1"/>
  <mergeCells count="173">
    <mergeCell ref="AG85:AH85"/>
    <mergeCell ref="AI85:AJ85"/>
    <mergeCell ref="AI84:AJ84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W84:X84"/>
    <mergeCell ref="Y84:Z84"/>
    <mergeCell ref="AA84:AB84"/>
    <mergeCell ref="AC84:AD84"/>
    <mergeCell ref="AE84:AF84"/>
    <mergeCell ref="AG84:AH84"/>
    <mergeCell ref="AA83:AB83"/>
    <mergeCell ref="AC83:AD83"/>
    <mergeCell ref="AE83:AF83"/>
    <mergeCell ref="AG83:AH83"/>
    <mergeCell ref="AI83:AJ83"/>
    <mergeCell ref="M84:N84"/>
    <mergeCell ref="O84:P84"/>
    <mergeCell ref="Q84:R84"/>
    <mergeCell ref="S84:T84"/>
    <mergeCell ref="U84:V84"/>
    <mergeCell ref="O83:P83"/>
    <mergeCell ref="Q83:R83"/>
    <mergeCell ref="S83:T83"/>
    <mergeCell ref="U83:V83"/>
    <mergeCell ref="W83:X83"/>
    <mergeCell ref="Y83:Z83"/>
    <mergeCell ref="AC81:AD81"/>
    <mergeCell ref="AE81:AF81"/>
    <mergeCell ref="AG81:AH81"/>
    <mergeCell ref="AI81:AJ81"/>
    <mergeCell ref="Y81:Z81"/>
    <mergeCell ref="AA81:AB81"/>
    <mergeCell ref="AK81:AL81"/>
    <mergeCell ref="O82:AJ82"/>
    <mergeCell ref="AE80:AF80"/>
    <mergeCell ref="AG80:AH80"/>
    <mergeCell ref="AI80:AJ80"/>
    <mergeCell ref="O81:P81"/>
    <mergeCell ref="Q81:R81"/>
    <mergeCell ref="S81:T81"/>
    <mergeCell ref="U81:V81"/>
    <mergeCell ref="W81:X81"/>
    <mergeCell ref="F10:K10"/>
    <mergeCell ref="AI67:AM67"/>
    <mergeCell ref="AO67:AR67"/>
    <mergeCell ref="O80:P80"/>
    <mergeCell ref="Q80:R80"/>
    <mergeCell ref="S80:T80"/>
    <mergeCell ref="U80:V80"/>
    <mergeCell ref="W80:X80"/>
    <mergeCell ref="Y80:Z80"/>
    <mergeCell ref="AA80:AB80"/>
    <mergeCell ref="AC80:AD80"/>
    <mergeCell ref="AI17:AO17"/>
    <mergeCell ref="AA18:AB18"/>
    <mergeCell ref="AC18:AD18"/>
    <mergeCell ref="AE18:AF18"/>
    <mergeCell ref="B19:G19"/>
    <mergeCell ref="H19:L19"/>
    <mergeCell ref="M19:N19"/>
    <mergeCell ref="Q19:R19"/>
    <mergeCell ref="S19:T19"/>
    <mergeCell ref="AN19:AO19"/>
    <mergeCell ref="B20:G20"/>
    <mergeCell ref="H20:L20"/>
    <mergeCell ref="M20:N20"/>
    <mergeCell ref="U2:Y2"/>
    <mergeCell ref="AA2:AE2"/>
    <mergeCell ref="AI2:AM2"/>
    <mergeCell ref="AK9:AP10"/>
    <mergeCell ref="A66:A105"/>
    <mergeCell ref="B67:E67"/>
    <mergeCell ref="G67:K67"/>
    <mergeCell ref="O67:S67"/>
    <mergeCell ref="U67:Y67"/>
    <mergeCell ref="AA67:AE67"/>
    <mergeCell ref="AO2:AR2"/>
    <mergeCell ref="B6:E6"/>
    <mergeCell ref="F6:K6"/>
    <mergeCell ref="B7:E7"/>
    <mergeCell ref="F7:K7"/>
    <mergeCell ref="B8:E8"/>
    <mergeCell ref="F8:K8"/>
    <mergeCell ref="B2:E2"/>
    <mergeCell ref="G2:K2"/>
    <mergeCell ref="O2:S2"/>
    <mergeCell ref="B9:E9"/>
    <mergeCell ref="F9:K9"/>
    <mergeCell ref="B10:E10"/>
    <mergeCell ref="Y18:Z18"/>
    <mergeCell ref="B11:E11"/>
    <mergeCell ref="F11:K11"/>
    <mergeCell ref="B12:E12"/>
    <mergeCell ref="F12:K12"/>
    <mergeCell ref="B13:E13"/>
    <mergeCell ref="F13:I13"/>
    <mergeCell ref="J13:K13"/>
    <mergeCell ref="O17:AF17"/>
    <mergeCell ref="AI18:AO18"/>
    <mergeCell ref="O18:P18"/>
    <mergeCell ref="Q18:R18"/>
    <mergeCell ref="S18:T18"/>
    <mergeCell ref="U18:V18"/>
    <mergeCell ref="W18:X18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Q27:R27"/>
    <mergeCell ref="S27:T27"/>
    <mergeCell ref="AN27:AO27"/>
    <mergeCell ref="B28:G28"/>
    <mergeCell ref="H28:L28"/>
    <mergeCell ref="M28:N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AN29:AO29"/>
    <mergeCell ref="W30:X30"/>
    <mergeCell ref="Y30:Z30"/>
    <mergeCell ref="AA30:AB30"/>
    <mergeCell ref="AC30:AD30"/>
    <mergeCell ref="B30:G30"/>
    <mergeCell ref="H30:L30"/>
    <mergeCell ref="M30:N30"/>
    <mergeCell ref="Q30:R30"/>
    <mergeCell ref="S30:T30"/>
    <mergeCell ref="U30:V30"/>
  </mergeCells>
  <conditionalFormatting sqref="AY15:AY20 BH30 AY23 AY25:AY36 AY38:AY42 BH35 BH37:BH42 BH44:BH59 BH65:BH70 BH72:BH76 BH78:BH83 BH85 BH5:BH22 AY5:AY13 AZ6:AZ82 AZ94:AZ114 AZ120:AZ122 BH120:BI122">
    <cfRule type="cellIs" dxfId="418" priority="66" stopIfTrue="1" operator="equal">
      <formula>0</formula>
    </cfRule>
  </conditionalFormatting>
  <conditionalFormatting sqref="AY53:AY56 AY67 AY44:AY48 AY50 AY69">
    <cfRule type="cellIs" dxfId="417" priority="64" stopIfTrue="1" operator="equal">
      <formula>0</formula>
    </cfRule>
  </conditionalFormatting>
  <conditionalFormatting sqref="O17:AF17 Q19:T19 Q20:AD20 W22:AD22 Q27:T27 Q28:AD28 Q30:AD30">
    <cfRule type="expression" dxfId="416" priority="65" stopIfTrue="1">
      <formula>$AW$4=0</formula>
    </cfRule>
  </conditionalFormatting>
  <conditionalFormatting sqref="AY43">
    <cfRule type="cellIs" dxfId="415" priority="44" stopIfTrue="1" operator="equal">
      <formula>0</formula>
    </cfRule>
  </conditionalFormatting>
  <conditionalFormatting sqref="AY76 AY82">
    <cfRule type="cellIs" dxfId="414" priority="63" stopIfTrue="1" operator="equal">
      <formula>0</formula>
    </cfRule>
  </conditionalFormatting>
  <conditionalFormatting sqref="AY94:AY97">
    <cfRule type="cellIs" dxfId="413" priority="61" stopIfTrue="1" operator="equal">
      <formula>0</formula>
    </cfRule>
  </conditionalFormatting>
  <conditionalFormatting sqref="AY51:AY52">
    <cfRule type="cellIs" dxfId="412" priority="60" stopIfTrue="1" operator="equal">
      <formula>0</formula>
    </cfRule>
  </conditionalFormatting>
  <conditionalFormatting sqref="AY57:AY61 AY63">
    <cfRule type="cellIs" dxfId="411" priority="59" stopIfTrue="1" operator="equal">
      <formula>0</formula>
    </cfRule>
  </conditionalFormatting>
  <conditionalFormatting sqref="AY71:AY73">
    <cfRule type="cellIs" dxfId="410" priority="58" stopIfTrue="1" operator="equal">
      <formula>0</formula>
    </cfRule>
  </conditionalFormatting>
  <conditionalFormatting sqref="AY74">
    <cfRule type="cellIs" dxfId="409" priority="57" stopIfTrue="1" operator="equal">
      <formula>0</formula>
    </cfRule>
  </conditionalFormatting>
  <conditionalFormatting sqref="AY75">
    <cfRule type="cellIs" dxfId="408" priority="56" stopIfTrue="1" operator="equal">
      <formula>0</formula>
    </cfRule>
  </conditionalFormatting>
  <conditionalFormatting sqref="BH102:BH104 BH106">
    <cfRule type="cellIs" dxfId="407" priority="54" stopIfTrue="1" operator="equal">
      <formula>0</formula>
    </cfRule>
  </conditionalFormatting>
  <conditionalFormatting sqref="AY98:AY114 AY120:AY122">
    <cfRule type="cellIs" dxfId="406" priority="52" stopIfTrue="1" operator="equal">
      <formula>0</formula>
    </cfRule>
  </conditionalFormatting>
  <conditionalFormatting sqref="AY64:AY65">
    <cfRule type="cellIs" dxfId="405" priority="51" stopIfTrue="1" operator="equal">
      <formula>0</formula>
    </cfRule>
  </conditionalFormatting>
  <conditionalFormatting sqref="BH86:BH100">
    <cfRule type="cellIs" dxfId="404" priority="50" stopIfTrue="1" operator="equal">
      <formula>0</formula>
    </cfRule>
  </conditionalFormatting>
  <conditionalFormatting sqref="BH107:BH109 BH114">
    <cfRule type="cellIs" dxfId="403" priority="49" stopIfTrue="1" operator="equal">
      <formula>0</formula>
    </cfRule>
  </conditionalFormatting>
  <conditionalFormatting sqref="BH27">
    <cfRule type="cellIs" dxfId="402" priority="35" stopIfTrue="1" operator="equal">
      <formula>0</formula>
    </cfRule>
  </conditionalFormatting>
  <conditionalFormatting sqref="AY14">
    <cfRule type="cellIs" dxfId="401" priority="48" stopIfTrue="1" operator="equal">
      <formula>0</formula>
    </cfRule>
  </conditionalFormatting>
  <conditionalFormatting sqref="AY21:AY22">
    <cfRule type="cellIs" dxfId="400" priority="47" stopIfTrue="1" operator="equal">
      <formula>0</formula>
    </cfRule>
  </conditionalFormatting>
  <conditionalFormatting sqref="AY24">
    <cfRule type="cellIs" dxfId="399" priority="46" stopIfTrue="1" operator="equal">
      <formula>0</formula>
    </cfRule>
  </conditionalFormatting>
  <conditionalFormatting sqref="AY37">
    <cfRule type="cellIs" dxfId="398" priority="45" stopIfTrue="1" operator="equal">
      <formula>0</formula>
    </cfRule>
  </conditionalFormatting>
  <conditionalFormatting sqref="AY49">
    <cfRule type="cellIs" dxfId="397" priority="43" stopIfTrue="1" operator="equal">
      <formula>0</formula>
    </cfRule>
  </conditionalFormatting>
  <conditionalFormatting sqref="AY62">
    <cfRule type="cellIs" dxfId="396" priority="42" stopIfTrue="1" operator="equal">
      <formula>0</formula>
    </cfRule>
  </conditionalFormatting>
  <conditionalFormatting sqref="AY66">
    <cfRule type="cellIs" dxfId="395" priority="41" stopIfTrue="1" operator="equal">
      <formula>0</formula>
    </cfRule>
  </conditionalFormatting>
  <conditionalFormatting sqref="AY68">
    <cfRule type="cellIs" dxfId="394" priority="40" stopIfTrue="1" operator="equal">
      <formula>0</formula>
    </cfRule>
  </conditionalFormatting>
  <conditionalFormatting sqref="AY70">
    <cfRule type="cellIs" dxfId="393" priority="39" stopIfTrue="1" operator="equal">
      <formula>0</formula>
    </cfRule>
  </conditionalFormatting>
  <conditionalFormatting sqref="AY77:AY81">
    <cfRule type="cellIs" dxfId="392" priority="38" stopIfTrue="1" operator="equal">
      <formula>0</formula>
    </cfRule>
  </conditionalFormatting>
  <conditionalFormatting sqref="F13:K13">
    <cfRule type="expression" dxfId="391" priority="37" stopIfTrue="1">
      <formula>$AW$4=1</formula>
    </cfRule>
  </conditionalFormatting>
  <conditionalFormatting sqref="BH23:BH26">
    <cfRule type="cellIs" dxfId="390" priority="36" stopIfTrue="1" operator="equal">
      <formula>0</formula>
    </cfRule>
  </conditionalFormatting>
  <conditionalFormatting sqref="BH28">
    <cfRule type="cellIs" dxfId="389" priority="34" stopIfTrue="1" operator="equal">
      <formula>0</formula>
    </cfRule>
  </conditionalFormatting>
  <conditionalFormatting sqref="BH29">
    <cfRule type="cellIs" dxfId="388" priority="33" stopIfTrue="1" operator="equal">
      <formula>0</formula>
    </cfRule>
  </conditionalFormatting>
  <conditionalFormatting sqref="BH31:BH34">
    <cfRule type="cellIs" dxfId="387" priority="32" stopIfTrue="1" operator="equal">
      <formula>0</formula>
    </cfRule>
  </conditionalFormatting>
  <conditionalFormatting sqref="BH36">
    <cfRule type="cellIs" dxfId="386" priority="31" stopIfTrue="1" operator="equal">
      <formula>0</formula>
    </cfRule>
  </conditionalFormatting>
  <conditionalFormatting sqref="BH43">
    <cfRule type="cellIs" dxfId="385" priority="30" stopIfTrue="1" operator="equal">
      <formula>0</formula>
    </cfRule>
  </conditionalFormatting>
  <conditionalFormatting sqref="BH60">
    <cfRule type="cellIs" dxfId="384" priority="29" stopIfTrue="1" operator="equal">
      <formula>0</formula>
    </cfRule>
  </conditionalFormatting>
  <conditionalFormatting sqref="BH61:BH64">
    <cfRule type="cellIs" dxfId="383" priority="28" stopIfTrue="1" operator="equal">
      <formula>0</formula>
    </cfRule>
  </conditionalFormatting>
  <conditionalFormatting sqref="BH71">
    <cfRule type="cellIs" dxfId="382" priority="27" stopIfTrue="1" operator="equal">
      <formula>0</formula>
    </cfRule>
  </conditionalFormatting>
  <conditionalFormatting sqref="BH77">
    <cfRule type="cellIs" dxfId="381" priority="26" stopIfTrue="1" operator="equal">
      <formula>0</formula>
    </cfRule>
  </conditionalFormatting>
  <conditionalFormatting sqref="BH84">
    <cfRule type="cellIs" dxfId="380" priority="25" stopIfTrue="1" operator="equal">
      <formula>0</formula>
    </cfRule>
  </conditionalFormatting>
  <conditionalFormatting sqref="BH101">
    <cfRule type="cellIs" dxfId="379" priority="24" stopIfTrue="1" operator="equal">
      <formula>0</formula>
    </cfRule>
  </conditionalFormatting>
  <conditionalFormatting sqref="BH105">
    <cfRule type="cellIs" dxfId="378" priority="23" stopIfTrue="1" operator="equal">
      <formula>0</formula>
    </cfRule>
  </conditionalFormatting>
  <conditionalFormatting sqref="AZ5">
    <cfRule type="cellIs" dxfId="377" priority="21" stopIfTrue="1" operator="equal">
      <formula>0</formula>
    </cfRule>
  </conditionalFormatting>
  <conditionalFormatting sqref="BI5">
    <cfRule type="cellIs" dxfId="376" priority="20" stopIfTrue="1" operator="equal">
      <formula>0</formula>
    </cfRule>
  </conditionalFormatting>
  <conditionalFormatting sqref="BI6:BI109 BI114">
    <cfRule type="cellIs" dxfId="375" priority="19" stopIfTrue="1" operator="equal">
      <formula>0</formula>
    </cfRule>
  </conditionalFormatting>
  <conditionalFormatting sqref="AR87">
    <cfRule type="expression" dxfId="374" priority="18" stopIfTrue="1">
      <formula>$AU$87=AU89</formula>
    </cfRule>
  </conditionalFormatting>
  <conditionalFormatting sqref="AZ85:AZ93">
    <cfRule type="cellIs" dxfId="373" priority="17" stopIfTrue="1" operator="equal">
      <formula>0</formula>
    </cfRule>
  </conditionalFormatting>
  <conditionalFormatting sqref="AY88:AY93">
    <cfRule type="cellIs" dxfId="372" priority="16" stopIfTrue="1" operator="equal">
      <formula>0</formula>
    </cfRule>
  </conditionalFormatting>
  <conditionalFormatting sqref="AY85:AY87">
    <cfRule type="cellIs" dxfId="371" priority="15" stopIfTrue="1" operator="equal">
      <formula>0</formula>
    </cfRule>
  </conditionalFormatting>
  <conditionalFormatting sqref="AZ83:AZ84">
    <cfRule type="cellIs" dxfId="370" priority="14" stopIfTrue="1" operator="equal">
      <formula>0</formula>
    </cfRule>
  </conditionalFormatting>
  <conditionalFormatting sqref="AY83:AY84">
    <cfRule type="cellIs" dxfId="369" priority="13" stopIfTrue="1" operator="equal">
      <formula>0</formula>
    </cfRule>
  </conditionalFormatting>
  <conditionalFormatting sqref="BH110:BH111">
    <cfRule type="cellIs" dxfId="368" priority="12" stopIfTrue="1" operator="equal">
      <formula>0</formula>
    </cfRule>
  </conditionalFormatting>
  <conditionalFormatting sqref="BI110:BI111">
    <cfRule type="cellIs" dxfId="367" priority="11" stopIfTrue="1" operator="equal">
      <formula>0</formula>
    </cfRule>
  </conditionalFormatting>
  <conditionalFormatting sqref="BH113">
    <cfRule type="cellIs" dxfId="366" priority="10" stopIfTrue="1" operator="equal">
      <formula>0</formula>
    </cfRule>
  </conditionalFormatting>
  <conditionalFormatting sqref="BI112:BI113">
    <cfRule type="cellIs" dxfId="365" priority="9" stopIfTrue="1" operator="equal">
      <formula>0</formula>
    </cfRule>
  </conditionalFormatting>
  <conditionalFormatting sqref="BH112">
    <cfRule type="cellIs" dxfId="364" priority="8" stopIfTrue="1" operator="equal">
      <formula>0</formula>
    </cfRule>
  </conditionalFormatting>
  <conditionalFormatting sqref="AZ115:AZ119">
    <cfRule type="cellIs" dxfId="363" priority="7" stopIfTrue="1" operator="equal">
      <formula>0</formula>
    </cfRule>
  </conditionalFormatting>
  <conditionalFormatting sqref="AY115:AY119">
    <cfRule type="cellIs" dxfId="362" priority="6" stopIfTrue="1" operator="equal">
      <formula>0</formula>
    </cfRule>
  </conditionalFormatting>
  <conditionalFormatting sqref="BH115 BH118:BH119">
    <cfRule type="cellIs" dxfId="361" priority="5" stopIfTrue="1" operator="equal">
      <formula>0</formula>
    </cfRule>
  </conditionalFormatting>
  <conditionalFormatting sqref="BI115:BI119">
    <cfRule type="cellIs" dxfId="360" priority="4" stopIfTrue="1" operator="equal">
      <formula>0</formula>
    </cfRule>
  </conditionalFormatting>
  <conditionalFormatting sqref="BH116:BH117">
    <cfRule type="cellIs" dxfId="359" priority="3" stopIfTrue="1" operator="equal">
      <formula>0</formula>
    </cfRule>
  </conditionalFormatting>
  <conditionalFormatting sqref="AI17:AO17">
    <cfRule type="expression" dxfId="358" priority="2" stopIfTrue="1">
      <formula>$AW$4=0</formula>
    </cfRule>
  </conditionalFormatting>
  <conditionalFormatting sqref="AI25:AO25">
    <cfRule type="expression" dxfId="357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AK9:AO10" location="'IT70(vn100)'!A66" display="'IT70(vn100)'!A66"/>
    <hyperlink ref="AK9:AP10" location="'AVT139(vn-A)'!A66" display="'AVT139(vn-A)'!A66"/>
    <hyperlink ref="M69" location="MENU!A1" display="MENU!A1"/>
    <hyperlink ref="B67:E67" location="'AVT139(vn-A)'!A1" display="'AVT139(vn-A)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rgb="FFFF0000"/>
  </sheetPr>
  <dimension ref="A1:BK140"/>
  <sheetViews>
    <sheetView showGridLines="0" showRowColHeaders="0" zoomScale="95" zoomScaleNormal="95" workbookViewId="0">
      <selection activeCell="B5" sqref="B5"/>
    </sheetView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SUM(BB5:BB997)</f>
        <v>0</v>
      </c>
      <c r="BD4" s="105" t="s">
        <v>40</v>
      </c>
      <c r="BK4" s="444">
        <f>SUM(BK5:BK990)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AVANTECH YOU BOKY V SADĚ V187 MM NL270 MM STŘÍBRNÁ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847.2</v>
      </c>
      <c r="BB5" s="107">
        <f t="shared" ref="BB5:BB68" si="0">IF(BA5="","",BA5*AY5)</f>
        <v>0</v>
      </c>
      <c r="BD5" s="441">
        <f>OBJ!B116</f>
        <v>9255044</v>
      </c>
      <c r="BE5" s="23" t="str">
        <f>VLOOKUP(BD5,CENY!$B$11:$G$1034,2,FALSE)</f>
        <v>AVANTECH YOU BOK V187 MM NL270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293.88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438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AVANTECH YOU BOKY V SADĚ V187 MM NL300 MM STŘÍBRNÁ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9" si="1">IF(AY6="","",IF($AW$4=1,AY6,0))</f>
        <v>0</v>
      </c>
      <c r="BA6" s="107">
        <f>VLOOKUP(AU6,CENY!$B$11:$M$2005,12,FALSE)</f>
        <v>853.97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AVANTECH YOU BOK V187 MM NL270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293.88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AVANTECH YOU BOKY V SADĚ V187 MM NL350 MM STŘÍBRNÁ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865.25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AVANTECH YOU BOK V187 MM NL300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297.16000000000003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AVANTECH YOU BOKY V SADĚ V187 MM NL400 MM STŘÍBRNÁ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876.53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AVANTECH YOU BOK V187 MM NL300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297.16000000000003</v>
      </c>
      <c r="BK8" s="107">
        <f t="shared" si="3"/>
        <v>0</v>
      </c>
    </row>
    <row r="9" spans="1:63" ht="14.4" customHeight="1" thickTop="1">
      <c r="B9" s="555"/>
      <c r="C9" s="563"/>
      <c r="D9" s="563"/>
      <c r="E9" s="564"/>
      <c r="F9" s="565"/>
      <c r="G9" s="566"/>
      <c r="H9" s="566"/>
      <c r="I9" s="566"/>
      <c r="J9" s="566"/>
      <c r="K9" s="567"/>
      <c r="AK9" s="649" t="str">
        <f>verze!E160</f>
        <v>Je nutné natypovat šířky čel ?</v>
      </c>
      <c r="AL9" s="650"/>
      <c r="AM9" s="650"/>
      <c r="AN9" s="650"/>
      <c r="AO9" s="650"/>
      <c r="AP9" s="651"/>
      <c r="AU9" s="441">
        <f>OBJ!B110</f>
        <v>9255266</v>
      </c>
      <c r="AV9" s="23" t="str">
        <f>VLOOKUP(AU9,CENY!$B$11:$G$1034,2,FALSE)</f>
        <v>AVANTECH YOU BOKY V SADĚ V187 MM NL450 MM STŘÍBRNÁ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887.81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AVANTECH YOU BOK V187 MM NL350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302.63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OBJ!B111</f>
        <v>9255267</v>
      </c>
      <c r="AV10" s="23" t="str">
        <f>VLOOKUP(AU10,CENY!$B$11:$G$1034,2,FALSE)</f>
        <v>AVANTECH YOU BOKY V SADĚ V187 MM NL500 MM STŘÍBRNÁ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899.09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AVANTECH YOU BOK V187 MM NL350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302.63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AVANTECH YOU BOKY V SADĚ V187 MM NL550 MM STŘÍBRNÁ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910.37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AVANTECH YOU BOK V187 MM NL400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308.10000000000002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AVANTECH YOU BOKY V SADĚ V187 MM NL600 MM STŘÍBRNÁ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927.39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AVANTECH YOU BOK V187 MM NL400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308.10000000000002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OBJ!B114</f>
        <v>9255270</v>
      </c>
      <c r="AV13" s="23" t="str">
        <f>VLOOKUP(AU13,CENY!$B$11:$G$1034,2,FALSE)</f>
        <v>AVANTECH YOU BOKY V SADĚ V187 MM NL650 MM STŘÍBRNÁ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950.52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AVANTECH YOU BOK V187 MM NL450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313.57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AVANTECH YOU BOK V187 MM NL450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313.57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AVANTECH YOU DEKORATIVNÍ PROFIL NL270 MM STŘÍBRNÝ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9.18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AVANTECH YOU BOK V187 MM NL500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319.02999999999997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AVANTECH YOU DEKORATIVNÍ PROFIL NL300 MM STŘÍBRNÝ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9.2799999999999994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AVANTECH YOU BOK V187 MM NL500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319.02999999999997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AVANTECH YOU DEKORATIVNÍ PROFIL NL350 MM STŘÍBRNÝ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9.4499999999999993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AVANTECH YOU BOK V187 MM NL550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324.5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AVANTECH YOU DEKORATIVNÍ PROFIL NL400 MM STŘÍBRNÝ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9.6199999999999992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AVANTECH YOU BOK V187 MM NL550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324.5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AVANTECH YOU DEKORATIVNÍ PROFIL NL450 MM STŘÍBRNÝ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9.8000000000000007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AVANTECH YOU BOK V187 MM NL600 MM STŘÍBRNÝ LEVÝ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332.75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AVANTECH YOU DEKORATIVNÍ PROFIL NL500 MM STŘÍBRNÝ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9.9700000000000006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AVANTECH YOU BOK V187 MM NL600 MM STŘÍBRNÝ PRAVÝ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332.75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AVANTECH YOU DEKORATIVNÍ PROFIL NL550 MM STŘÍBRNÝ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10.14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AVANTECH YOU BOK V187 MM NL650 MM STŘÍBRNÝ LEVÝ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343.97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AVANTECH YOU DEKORATIVNÍ PROFIL NL600 MM STŘÍBRNÝ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10.39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AVANTECH YOU BOK V187 MM NL650 MM STŘÍBRNÝ PRAVÝ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343.97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AVANTECH YOU DEKORATIVNÍ PROFIL NL650 MM STŘÍBRNÝ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10.74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2">
        <v>9255838</v>
      </c>
      <c r="BE24" s="443" t="str">
        <f>VLOOKUP(BD24,CENY!$B$11:$G$1034,2,FALSE)</f>
        <v>AVANTECH YOU PŘÍCHYTKA ČELA V187 / 251 MM K NAŠROUBOVÁNÍ</v>
      </c>
      <c r="BF24" s="24">
        <f>VLOOKUP(BD24,CENY!$B$11:$G$1034,3,FALSE)</f>
        <v>200</v>
      </c>
      <c r="BG24" s="24"/>
      <c r="BH24" s="77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53.15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 10KG PLNOVÝSUV 270 MM EB21 SILENT SYSTEM SADA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AVANTECH YOU STABILIZÁTOR ZAD V101/139/187/251 MM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13.29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 10KG PLNOVÝSUV 300 MM EB21 SILENT SYSTEM SADA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561.63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 10KG PLNOVÝSUV 350 MM EB21 SILENT SYSTEM SADA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561.63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AVANTECH YOU DEKORATIVNÍ PROFIL NL270 MM STŘÍBRNÝ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9.18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AVANTECH YOU DEKORATIVNÍ PROFIL NL300 MM STŘÍBRNÝ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9.2799999999999994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 40KG PLNOVÝSUV 270 MM EB21 SILENT SYSTEM SADA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561.63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AVANTECH YOU DEKORATIVNÍ PROFIL NL350 MM STŘÍBRNÝ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9.4499999999999993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 40KG PLNOVÝSUV 300 MM EB21 SILENT SYSTEM SADA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561.63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AVANTECH YOU DEKORATIVNÍ PROFIL NL400 MM STŘÍBRNÝ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9.6199999999999992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 40KG PLNOVÝSUV 350 MM EB21 SILENT SYSTEM SADA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561.63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AVANTECH YOU DEKORATIVNÍ PROFIL NL450 MM STŘÍBRNÝ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9.8000000000000007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OBJ!B239</f>
        <v>9257004</v>
      </c>
      <c r="AV32" s="23" t="str">
        <f>VLOOKUP(AU32,CENY!$B$11:$G$1034,2,FALSE)</f>
        <v>ACTRO YOU 40KG PLNOVÝSUV 400 MM EB21 SILENT SYSTEM SADA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567.85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AVANTECH YOU DEKORATIVNÍ PROFIL NL500 MM STŘÍBRNÝ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9.9700000000000006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OBJ!B240</f>
        <v>9257006</v>
      </c>
      <c r="AV33" s="23" t="str">
        <f>VLOOKUP(AU33,CENY!$B$11:$G$1034,2,FALSE)</f>
        <v>ACTRO YOU 40KG PLNOVÝSUV 450 MM EB21 SILENT SYSTEM SADA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574.04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AVANTECH YOU DEKORATIVNÍ PROFIL NL550 MM STŘÍBRNÝ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10.14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OBJ!B241</f>
        <v>9257008</v>
      </c>
      <c r="AV34" s="23" t="str">
        <f>VLOOKUP(AU34,CENY!$B$11:$G$1034,2,FALSE)</f>
        <v>ACTRO YOU 40KG PLNOVÝSUV 500 MM EB21 SILENT SYSTEM SADA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580.26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AVANTECH YOU DEKORATIVNÍ PROFIL NL600 MM STŘÍBRNÝ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10.39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 40KG PLNOVÝSUV 550 MM EB21 SILENT SYSTEM SADA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613.44000000000005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AVANTECH YOU DEKORATIVNÍ PROFIL NL650 MM STŘÍBRNÝ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10.74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 40KG PLNOVÝSUV 600 MM EB21 SILENT SYSTÉM SADA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620.78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 10KG PLNOVÝSUV 270 MM EB21 SILENT SYSTEM LEVÝ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 70KG PLNOVÝSUV 450 MM EB21 SILENT SYSTEM SADA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691.9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 10KG PLNOVÝSUV 270 MM EB21 SILENT SYSTEM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 70KG PLNOVÝSUV 500 MM EB21 SILENT SYSTEM SADA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698.13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 10KG PLNOVÝSUV 300 MM EB21 SILENT SYSTEM LEVÝ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 70KG PLNOVÝSUV 550 MM EB21 SILENT SYSTEM SADA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731.3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 10KG PLNOVÝSUV 300 MM EB21 SILENT SYSTEM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243.93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 70KG PLNOVÝSUV 600 MM EB21 SILENT SYSTEM SADA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798.31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 10KG PLNOVÝSUV 350 MM EB21 SILENT SYSTEM LEVÝ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243.93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 70KG PLNOVÝSUV 650 MM EB21 SILENT SYSTEM SADA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828.55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 10KG PLNOVÝSUV 350 MM EB21 SILENT SYSTEM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243.93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PUSH TO OPEN SILENT ACTRO YOU / ACTRO 5D 10 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544.37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 40KG PLNOVÝSUV 270 MM EB21 SILENT SYSTEM LEVÝ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243.93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PUSH TO OPEN SILENT ACTRO YOU / ACTRO 5D 20 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544.37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 40KG PLNOVÝSUV 270 MM EB21 SILENT SYSTEM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243.93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PUSH TO OPEN SILENT ACTRO YOU / ACTRO 5D 40 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544.37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 40KG PLNOVÝSUV 300 MM EB21 SILENT SYSTEM LEVÝ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243.93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PUSH TO OPEN SILENT ACTRO YOU / ACTRO 5D 70 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544.37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 40KG PLNOVÝSUV 300 MM EB21 SILENT SYSTEM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243.93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SYNCHRONIZAČNÍ TYČ 2000 MM</v>
      </c>
      <c r="AW48" s="24">
        <f>VLOOKUP(AU48,CENY!$B$11:$G$1034,3,FALSE)</f>
        <v>100</v>
      </c>
      <c r="AX48" s="24"/>
      <c r="AY48" s="25">
        <f>IF(SUM(AN19:AO22)+SUM(AN27:AO29)+SUM(O30:AD30)=0,0,AY83)</f>
        <v>0</v>
      </c>
      <c r="AZ48" s="451">
        <f t="shared" si="1"/>
        <v>0</v>
      </c>
      <c r="BA48" s="107">
        <f>VLOOKUP(AU48,CENY!$B$11:$M$2005,12,FALSE)</f>
        <v>144.30000000000001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 40KG PLNOVÝSUV 350 MM EB21 SILENT SYSTEM LEVÝ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243.93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 40KG PLNOVÝSUV 350 MM EB21 SILENT SYSTEM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243.93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 10 KG PLNOVÝSUV 270 MM EB21 SILENT SYSTEM SADA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413.4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 40KG PLNOVÝSUV 400 MM EB21 SILENT SYSTEM LEVÝ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247.05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 10 KG PLNOVÝSUV 300 MM EB21 SILENT SYSTEM SADA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414.13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 40KG PLNOVÝSUV 400 MM EB21 SILENT SYSTEM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247.05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 10 KG PLNOVÝSUV 350 MM EB21 SILENT SYSTEM SADA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421.61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 40KG PLNOVÝSUV 450 MM EB21 SILENT SYSTEM LEVÝ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250.14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 40KG PLNOVÝSUV 450 MM EB21 SILENT SYSTEM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250.14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 PLNOVÝSUV 270 MM EB21 SILENT SYSTEM SADA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372.29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 40KG PLNOVÝSUV 500 MM EB21 SILENT SYSTEM LEVÝ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253.25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 PLNOVÝSUV 300 MM EB21 SILENT SYSTEM SADA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369.3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 40KG PLNOVÝSUV 500 MM EB21 SILENT SYSTEM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253.25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 PLNOVÝSUV 350 MM EB21 SILENT SYSTEM SADA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376.77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 40KG PLNOVÝSUV 550 MM EB21 SILENT SYSTEM LEVÝ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269.83999999999997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 PLNOVÝSUV 400 MM EB21 SILENT SYSTEM SADA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384.24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 40KG PLNOVÝSUV 550 MM EB21 SILENT SYSTEM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269.83999999999997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 PLNOVÝSUV 450 MM EB21 SILENT SYSTEM SADA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391.72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 40KG PLNOVÝSUV 600 MM EB21 SILENT SYSTÉM LEVÝ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273.51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 PLNOVÝSUV 500 MM EB21 SILENT SYSTEM SADA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399.19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 40KG PLNOVÝSUV 600 MM EB21 SILENT SYSTÉM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273.51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 PLNOVÝSUV 550 MM EB21 SILENT SYSTEM SADA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412.64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 PLNOVÝSUV 600 MM EB21 SILENT SYSTEM SADA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420.11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 70KG PLNOVÝSUV 450 MM EB21 SILENT SYSTEM LEVÝ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309.07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 70KG PLNOVÝSUV 450 MM EB21 SILENT SYSTEM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309.07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PUSH TO OPEN SILENT QUADRO YOU 10 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544.37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 70KG PLNOVÝSUV 500 MM EB21 SILENT SYSTEM LEVÝ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312.18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PUSH TO OPEN SILENT QUADRO YOU 20 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544.37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 70KG PLNOVÝSUV 500 MM EB21 SILENT SYSTEM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312.18</v>
      </c>
      <c r="BK64" s="107">
        <f t="shared" si="3"/>
        <v>0</v>
      </c>
    </row>
    <row r="65" spans="1:63" ht="14.4" customHeight="1">
      <c r="AU65" s="441">
        <f>OBJ!B324</f>
        <v>9257896</v>
      </c>
      <c r="AV65" s="23" t="str">
        <f>VLOOKUP(AU65,CENY!$B$11:$G$1034,2,FALSE)</f>
        <v>PUSH TO OPEN SILENT QUADRO YOU 30 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544.37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 70KG PLNOVÝSUV 550 MM EB21 SILENT SYSTEM LEVÝ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328.77</v>
      </c>
      <c r="BK65" s="107">
        <f t="shared" si="3"/>
        <v>0</v>
      </c>
    </row>
    <row r="66" spans="1:63" ht="12.9" customHeight="1" thickBot="1">
      <c r="A66" s="633"/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 70KG PLNOVÝSUV 550 MM EB21 SILENT SYSTEM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328.77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441">
        <f>OBJ!B326</f>
        <v>9256928</v>
      </c>
      <c r="AV67" s="23" t="str">
        <f>VLOOKUP(AU67,CENY!$B$11:$G$1034,2,FALSE)</f>
        <v>QUADRO YOU PLNOVÝSUV 270 MM EB21 PUSH TO OPEN SADA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413.4</v>
      </c>
      <c r="BB67" s="107">
        <f t="shared" si="0"/>
        <v>0</v>
      </c>
      <c r="BD67" s="441">
        <f>OBJ!B272</f>
        <v>9257025</v>
      </c>
      <c r="BE67" s="23" t="str">
        <f>VLOOKUP(BD67,CENY!$B$11:$G$1034,2,FALSE)</f>
        <v>ACTRO YOU 70KG PLNOVÝSUV 600 MM EB21 SILENT SYSTEM LEVÝ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362.28</v>
      </c>
      <c r="BK67" s="107">
        <f t="shared" si="3"/>
        <v>0</v>
      </c>
    </row>
    <row r="68" spans="1:63" ht="12.9" customHeight="1">
      <c r="A68" s="633"/>
      <c r="AU68" s="441">
        <f>OBJ!B327</f>
        <v>9256929</v>
      </c>
      <c r="AV68" s="23" t="str">
        <f>VLOOKUP(AU68,CENY!$B$11:$G$1034,2,FALSE)</f>
        <v>QUADRO YOU PLNOVÝSUV 300 MM EB21 PUSH TO OPEN SADA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si="1"/>
        <v>0</v>
      </c>
      <c r="BA68" s="107">
        <f>VLOOKUP(AU68,CENY!$B$11:$M$2005,12,FALSE)</f>
        <v>414.13</v>
      </c>
      <c r="BB68" s="107">
        <f t="shared" si="0"/>
        <v>0</v>
      </c>
      <c r="BD68" s="441">
        <f>OBJ!B273</f>
        <v>9257026</v>
      </c>
      <c r="BE68" s="23" t="str">
        <f>VLOOKUP(BD68,CENY!$B$11:$G$1034,2,FALSE)</f>
        <v>ACTRO YOU 70KG PLNOVÝSUV 600 MM EB21 SILENT SYSTEM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362.28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>
        <f>OBJ!B328</f>
        <v>9256931</v>
      </c>
      <c r="AV69" s="23" t="str">
        <f>VLOOKUP(AU69,CENY!$B$11:$G$1034,2,FALSE)</f>
        <v>QUADRO YOU PLNOVÝSUV 350 MM EB21 PUSH TO OPEN SADA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1"/>
        <v>0</v>
      </c>
      <c r="BA69" s="107">
        <f>VLOOKUP(AU69,CENY!$B$11:$M$2005,12,FALSE)</f>
        <v>421.61</v>
      </c>
      <c r="BB69" s="107">
        <f t="shared" ref="BB69:BB130" si="4">IF(BA69="","",BA69*AY69)</f>
        <v>0</v>
      </c>
      <c r="BD69" s="441">
        <f>OBJ!B274</f>
        <v>9257027</v>
      </c>
      <c r="BE69" s="23" t="str">
        <f>VLOOKUP(BD69,CENY!$B$11:$G$1034,2,FALSE)</f>
        <v>ACTRO YOU 70KG PLNOVÝSUV 650 MM EB21 SILENT SYSTEM LEVÝ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377.39</v>
      </c>
      <c r="BK69" s="107">
        <f t="shared" si="3"/>
        <v>0</v>
      </c>
    </row>
    <row r="70" spans="1:63" ht="14.4" customHeight="1">
      <c r="A70" s="633"/>
      <c r="AU70" s="441">
        <f>OBJ!B329</f>
        <v>9256933</v>
      </c>
      <c r="AV70" s="23" t="str">
        <f>VLOOKUP(AU70,CENY!$B$11:$G$1034,2,FALSE)</f>
        <v>QUADRO YOU PLNOVÝSUV 400 MM EB21 PUSH TO OPEN SADA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ref="AZ70:AZ131" si="5">IF(AY70="","",IF($AW$4=1,AY70,0))</f>
        <v>0</v>
      </c>
      <c r="BA70" s="107">
        <f>VLOOKUP(AU70,CENY!$B$11:$M$2005,12,FALSE)</f>
        <v>429.08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 70KG PLNOVÝSUV 650 MM EB21 SILENT SYSTEM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32" si="6">IF(BH70="","",IF($AW$4=0,BH70,0))</f>
        <v>0</v>
      </c>
      <c r="BJ70" s="107">
        <f>VLOOKUP(BD70,CENY!$B$11:$M$2005,12,FALSE)</f>
        <v>377.39</v>
      </c>
      <c r="BK70" s="107">
        <f t="shared" ref="BK70:BK132" si="7">IF(BJ70="","",BJ70*BH70)</f>
        <v>0</v>
      </c>
    </row>
    <row r="71" spans="1:63" ht="14.4" customHeight="1">
      <c r="A71" s="633"/>
      <c r="AU71" s="441">
        <f>OBJ!B330</f>
        <v>9256935</v>
      </c>
      <c r="AV71" s="23" t="str">
        <f>VLOOKUP(AU71,CENY!$B$11:$G$1034,2,FALSE)</f>
        <v>QUADRO YOU PLNOVÝSUV 450 MM EB21 PUSH TO OPEN SADA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436.55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1:63" ht="14.4" customHeight="1">
      <c r="A72" s="633"/>
      <c r="AU72" s="441">
        <f>OBJ!B331</f>
        <v>9256937</v>
      </c>
      <c r="AV72" s="23" t="str">
        <f>VLOOKUP(AU72,CENY!$B$11:$G$1034,2,FALSE)</f>
        <v>QUADRO YOU PLNOVÝSUV 500 MM EB21 PUSH TO OPEN SADA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444.02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PUSH TO OPEN SILENT ACTRO YOU / ACTRO 5D 10 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544.37</v>
      </c>
      <c r="BK72" s="107">
        <f t="shared" si="7"/>
        <v>0</v>
      </c>
    </row>
    <row r="73" spans="1:63" ht="14.4" customHeight="1">
      <c r="A73" s="633"/>
      <c r="AU73" s="441">
        <f>OBJ!B332</f>
        <v>9256939</v>
      </c>
      <c r="AV73" s="23" t="str">
        <f>VLOOKUP(AU73,CENY!$B$11:$G$1034,2,FALSE)</f>
        <v>QUADRO YOU PLNOVÝSUV 550 MM EB21 PUSH TO OPEN SADA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457.48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PUSH TO OPEN SILENT ACTRO YOU / ACTRO 5D 20 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544.37</v>
      </c>
      <c r="BK73" s="107">
        <f t="shared" si="7"/>
        <v>0</v>
      </c>
    </row>
    <row r="74" spans="1:63" ht="14.4" customHeight="1">
      <c r="A74" s="633"/>
      <c r="AU74" s="441">
        <f>OBJ!B333</f>
        <v>9256941</v>
      </c>
      <c r="AV74" s="23" t="str">
        <f>VLOOKUP(AU74,CENY!$B$11:$G$1034,2,FALSE)</f>
        <v>QUADRO YOU PLNOVÝSUV 600 MM EB21 PUSH TO OPEN SADA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464.95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PUSH TO OPEN SILENT ACTRO YOU / ACTRO 5D 40 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544.37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PUSH TO OPEN SILENT ACTRO YOU / ACTRO 5D 70 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544.37</v>
      </c>
      <c r="BK75" s="107">
        <f t="shared" si="7"/>
        <v>0</v>
      </c>
    </row>
    <row r="76" spans="1:63" ht="14.4" customHeight="1">
      <c r="A76" s="633"/>
      <c r="AU76" s="441">
        <f>OBJ!B351</f>
        <v>9219966</v>
      </c>
      <c r="AV76" s="23" t="str">
        <f>VLOOKUP(AU76,CENY!$B$11:$G$1034,2,FALSE)</f>
        <v>PUSH TO OPEN SYNCHRO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13.07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SYNCHRONIZAČNÍ TYČ 2000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144.30000000000001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1:63" ht="14.4" customHeight="1">
      <c r="A78" s="633"/>
      <c r="AU78" s="442">
        <v>9255839</v>
      </c>
      <c r="AV78" s="443" t="str">
        <f>VLOOKUP(AU78,CENY!$B$11:$G$1034,2,FALSE)</f>
        <v>AVANTECH YOU PŘÍCHYTKA ČELA V187 / 251 MM K ZALISOVÁNÍ</v>
      </c>
      <c r="AW78" s="24">
        <f>VLOOKUP(AU78,CENY!$B$11:$G$1034,3,FALSE)</f>
        <v>200</v>
      </c>
      <c r="AX78" s="24"/>
      <c r="AY78" s="77">
        <v>0</v>
      </c>
      <c r="AZ78" s="451">
        <f t="shared" si="5"/>
        <v>0</v>
      </c>
      <c r="BA78" s="107">
        <f>VLOOKUP(AU78,CENY!$B$11:$M$2005,12,FALSE)</f>
        <v>53.8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 10 KG PLNOVÝSUV 270 MM EB21 SILENT SYSTEM LEVÝ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174.19</v>
      </c>
      <c r="BK78" s="107">
        <f t="shared" si="7"/>
        <v>0</v>
      </c>
    </row>
    <row r="79" spans="1:63" ht="14.4" customHeight="1">
      <c r="A79" s="633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 10 KG PLNOVÝSUV 270 MM EB21 SILENT SYSTEM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174.19</v>
      </c>
      <c r="BK79" s="107">
        <f t="shared" si="7"/>
        <v>0</v>
      </c>
    </row>
    <row r="80" spans="1:63" ht="14.4" customHeight="1">
      <c r="A80" s="633"/>
      <c r="O80" s="656">
        <f t="shared" ref="O80:AI80" si="8">CEILING(O84/FLOOR(2000/O85,1),1)</f>
        <v>0</v>
      </c>
      <c r="P80" s="656"/>
      <c r="Q80" s="656">
        <f t="shared" si="8"/>
        <v>0</v>
      </c>
      <c r="R80" s="656"/>
      <c r="S80" s="656">
        <f t="shared" si="8"/>
        <v>0</v>
      </c>
      <c r="T80" s="656"/>
      <c r="U80" s="656">
        <f t="shared" si="8"/>
        <v>0</v>
      </c>
      <c r="V80" s="656"/>
      <c r="W80" s="656">
        <f t="shared" si="8"/>
        <v>0</v>
      </c>
      <c r="X80" s="656"/>
      <c r="Y80" s="656">
        <f t="shared" si="8"/>
        <v>0</v>
      </c>
      <c r="Z80" s="656"/>
      <c r="AA80" s="656">
        <f t="shared" si="8"/>
        <v>0</v>
      </c>
      <c r="AB80" s="656"/>
      <c r="AC80" s="656">
        <f t="shared" si="8"/>
        <v>0</v>
      </c>
      <c r="AD80" s="656"/>
      <c r="AE80" s="656">
        <f t="shared" si="8"/>
        <v>0</v>
      </c>
      <c r="AF80" s="656"/>
      <c r="AG80" s="656">
        <f t="shared" si="8"/>
        <v>0</v>
      </c>
      <c r="AH80" s="656"/>
      <c r="AI80" s="656">
        <f t="shared" si="8"/>
        <v>0</v>
      </c>
      <c r="AJ80" s="656"/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 t="shared" si="4"/>
        <v/>
      </c>
      <c r="BD80" s="441">
        <f>OBJ!B292</f>
        <v>9256946</v>
      </c>
      <c r="BE80" s="23" t="str">
        <f>VLOOKUP(BD80,CENY!$B$11:$G$1034,2,FALSE)</f>
        <v>QUADRO YOU 10 KG PLNOVÝSUV 300 MM EB21 SILENT SYSTEM LEVÝ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172.7</v>
      </c>
      <c r="BK80" s="107">
        <f t="shared" si="7"/>
        <v>0</v>
      </c>
    </row>
    <row r="81" spans="1:63" ht="14.4" customHeight="1">
      <c r="A81" s="633"/>
      <c r="O81" s="655">
        <f>O85*O84</f>
        <v>0</v>
      </c>
      <c r="P81" s="655"/>
      <c r="Q81" s="655">
        <f>Q85*Q84</f>
        <v>0</v>
      </c>
      <c r="R81" s="655"/>
      <c r="S81" s="655">
        <f>S85*S84</f>
        <v>0</v>
      </c>
      <c r="T81" s="655"/>
      <c r="U81" s="655">
        <f>U85*U84</f>
        <v>0</v>
      </c>
      <c r="V81" s="655"/>
      <c r="W81" s="655">
        <f>W85*W84</f>
        <v>0</v>
      </c>
      <c r="X81" s="655"/>
      <c r="Y81" s="655">
        <f>Y85*Y84</f>
        <v>0</v>
      </c>
      <c r="Z81" s="655"/>
      <c r="AA81" s="655">
        <f>AA85*AA84</f>
        <v>0</v>
      </c>
      <c r="AB81" s="655"/>
      <c r="AC81" s="655">
        <f>AC85*AC84</f>
        <v>0</v>
      </c>
      <c r="AD81" s="655"/>
      <c r="AE81" s="655">
        <f>AE85*AE84</f>
        <v>0</v>
      </c>
      <c r="AF81" s="655"/>
      <c r="AG81" s="655">
        <f>AG85*AG84</f>
        <v>0</v>
      </c>
      <c r="AH81" s="655"/>
      <c r="AI81" s="655">
        <f>AI85*AI84</f>
        <v>0</v>
      </c>
      <c r="AJ81" s="655"/>
      <c r="AK81" s="633"/>
      <c r="AL81" s="633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 10 KG PLNOVÝSUV 300 MM EB21 SILENT SYSTEM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172.7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 10 KG PLNOVÝSUV 350 MM EB21 SILENT SYSTEM LEVÝ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176.43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OBJ!B189</f>
        <v>9257271</v>
      </c>
      <c r="AV83" s="23" t="str">
        <f>VLOOKUP(AU83,CENY!$B$11:$G$1034,2,FALSE)</f>
        <v>AVANTECH YOU ALU PROFIL VNITŘNÍ ČELO V187 MM L2000 MM STŘÍBRNÁ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2125.92</v>
      </c>
      <c r="BB83" s="107">
        <f t="shared" si="4"/>
        <v>0</v>
      </c>
      <c r="BD83" s="441">
        <f>OBJ!B295</f>
        <v>9256951</v>
      </c>
      <c r="BE83" s="23" t="str">
        <f>VLOOKUP(BD83,CENY!$B$11:$G$1034,2,FALSE)</f>
        <v>QUADRO YOU 10 KG PLNOVÝSUV 350 MM EB21 SILENT SYSTEM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176.43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OBJ!B193</f>
        <v>9257613</v>
      </c>
      <c r="AV84" s="23" t="str">
        <f>VLOOKUP(AU84,CENY!$B$11:$G$1034,2,FALSE)</f>
        <v>AVANTECH YOU SADA SPOJEK PRO VNITŘNÍ ČELO K BOKŮM V187 MM STŘÍBRNÁ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>IF(AY84="","",IF($AW$4=1,AY84,0))</f>
        <v>0</v>
      </c>
      <c r="BA84" s="107">
        <f>VLOOKUP(AU84,CENY!$B$11:$M$2005,12,FALSE)</f>
        <v>135.11000000000001</v>
      </c>
      <c r="BB84" s="107">
        <f t="shared" si="4"/>
        <v>0</v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1:63" ht="14.4" customHeight="1">
      <c r="A85" s="633"/>
      <c r="O85" s="657">
        <f>O83-2*FORM!$AM$24-12</f>
        <v>252</v>
      </c>
      <c r="P85" s="657"/>
      <c r="Q85" s="657">
        <f>Q83-2*FORM!$AM$24-12</f>
        <v>352</v>
      </c>
      <c r="R85" s="657"/>
      <c r="S85" s="657">
        <f>S83-2*FORM!$AM$24-12</f>
        <v>402</v>
      </c>
      <c r="T85" s="657"/>
      <c r="U85" s="657">
        <f>U83-2*FORM!$AM$24-12</f>
        <v>452</v>
      </c>
      <c r="V85" s="657"/>
      <c r="W85" s="657">
        <f>W83-2*FORM!$AM$24-12</f>
        <v>502</v>
      </c>
      <c r="X85" s="657"/>
      <c r="Y85" s="657">
        <f>Y83-2*FORM!$AM$24-12</f>
        <v>552</v>
      </c>
      <c r="Z85" s="657"/>
      <c r="AA85" s="657">
        <f>AA83-2*FORM!$AM$24-12</f>
        <v>652</v>
      </c>
      <c r="AB85" s="657"/>
      <c r="AC85" s="657">
        <f>AC83-2*FORM!$AM$24-12</f>
        <v>752</v>
      </c>
      <c r="AD85" s="657"/>
      <c r="AE85" s="657">
        <f>AE83-2*FORM!$AM$24-12</f>
        <v>852</v>
      </c>
      <c r="AF85" s="657"/>
      <c r="AG85" s="657">
        <f>AG83-2*FORM!$AM$24-12</f>
        <v>952</v>
      </c>
      <c r="AH85" s="657"/>
      <c r="AI85" s="657">
        <f>AI83-2*FORM!$AM$24-12</f>
        <v>1152</v>
      </c>
      <c r="AJ85" s="657"/>
      <c r="AU85" s="441"/>
      <c r="AV85" s="23"/>
      <c r="AW85" s="24"/>
      <c r="AX85" s="24"/>
      <c r="AY85" s="25"/>
      <c r="AZ85" s="451" t="str">
        <f t="shared" ref="AZ85:AZ94" si="9">IF(AY85="","",IF($AW$4=1,AY85,0))</f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 PLNOVÝSUV 270 MM EB21 SILENT SYSTEM LEVÝ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174.19</v>
      </c>
      <c r="BK85" s="107">
        <f t="shared" si="7"/>
        <v>0</v>
      </c>
    </row>
    <row r="86" spans="1:63" ht="14.4" customHeight="1">
      <c r="A86" s="633"/>
      <c r="AR86" s="177" t="str">
        <f>IF(AU89=0,verze!E169&amp;" "&amp;AU87&amp;" "&amp;verze!E170,"")</f>
        <v>Je potřebné vybrat 0 ks vnitřních čel.</v>
      </c>
      <c r="AU86" s="441"/>
      <c r="AV86" s="23"/>
      <c r="AW86" s="24"/>
      <c r="AX86" s="24"/>
      <c r="AY86" s="25"/>
      <c r="AZ86" s="451" t="str">
        <f t="shared" si="9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 PLNOVÝSUV 270 MM EB21 SILENT SYSTEM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174.19</v>
      </c>
      <c r="BK86" s="107">
        <f t="shared" si="7"/>
        <v>0</v>
      </c>
    </row>
    <row r="87" spans="1:63" ht="14.4" customHeight="1">
      <c r="A87" s="633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9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 PLNOVÝSUV 300 MM EB21 SILENT SYSTEM LEVÝ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172.7</v>
      </c>
      <c r="BK87" s="107">
        <f t="shared" si="7"/>
        <v>0</v>
      </c>
    </row>
    <row r="88" spans="1:63" ht="14.4" customHeight="1">
      <c r="A88" s="633"/>
      <c r="AU88" s="22"/>
      <c r="AV88" s="23"/>
      <c r="AW88" s="24"/>
      <c r="AX88" s="24"/>
      <c r="AY88" s="25"/>
      <c r="AZ88" s="451" t="str">
        <f t="shared" si="9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 PLNOVÝSUV 300 MM EB21 SILENT SYSTEM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172.7</v>
      </c>
      <c r="BK88" s="107">
        <f t="shared" si="7"/>
        <v>0</v>
      </c>
    </row>
    <row r="89" spans="1:63" ht="14.4" customHeight="1">
      <c r="A89" s="633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9"/>
        <v/>
      </c>
      <c r="BA89" s="107"/>
      <c r="BB89" s="107" t="str">
        <f t="shared" si="4"/>
        <v/>
      </c>
      <c r="BD89" s="441">
        <f>OBJ!B309</f>
        <v>9256860</v>
      </c>
      <c r="BE89" s="23" t="str">
        <f>VLOOKUP(BD89,CENY!$B$11:$G$1034,2,FALSE)</f>
        <v>QUADRO YOU PLNOVÝSUV 350 MM EB21 SILENT SYSTEM LEVÝ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176.43</v>
      </c>
      <c r="BK89" s="107">
        <f t="shared" si="7"/>
        <v>0</v>
      </c>
    </row>
    <row r="90" spans="1:63" ht="14.4" customHeight="1">
      <c r="A90" s="633"/>
      <c r="AU90" s="24">
        <f>AU87-AU89</f>
        <v>0</v>
      </c>
      <c r="AV90" s="23"/>
      <c r="AW90" s="24"/>
      <c r="AX90" s="24"/>
      <c r="AY90" s="25"/>
      <c r="AZ90" s="451" t="str">
        <f t="shared" si="9"/>
        <v/>
      </c>
      <c r="BA90" s="107"/>
      <c r="BB90" s="107" t="str">
        <f t="shared" si="4"/>
        <v/>
      </c>
      <c r="BD90" s="441">
        <f>OBJ!B310</f>
        <v>9256861</v>
      </c>
      <c r="BE90" s="23" t="str">
        <f>VLOOKUP(BD90,CENY!$B$11:$G$1034,2,FALSE)</f>
        <v>QUADRO YOU PLNOVÝSUV 350 MM EB21 SILENT SYSTEM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176.43</v>
      </c>
      <c r="BK90" s="107">
        <f t="shared" si="7"/>
        <v>0</v>
      </c>
    </row>
    <row r="91" spans="1:63" ht="14.4" customHeight="1">
      <c r="A91" s="633"/>
      <c r="AU91" s="24">
        <f>ABS(AU90)</f>
        <v>0</v>
      </c>
      <c r="AV91" s="23"/>
      <c r="AW91" s="24"/>
      <c r="AX91" s="24"/>
      <c r="AY91" s="25"/>
      <c r="AZ91" s="451" t="str">
        <f t="shared" si="9"/>
        <v/>
      </c>
      <c r="BA91" s="107"/>
      <c r="BB91" s="107" t="str">
        <f t="shared" si="4"/>
        <v/>
      </c>
      <c r="BD91" s="441">
        <f>OBJ!B311</f>
        <v>9256864</v>
      </c>
      <c r="BE91" s="23" t="str">
        <f>VLOOKUP(BD91,CENY!$B$11:$G$1034,2,FALSE)</f>
        <v>QUADRO YOU PLNOVÝSUV 400 MM EB21 SILENT SYSTEM LEVÝ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180.17</v>
      </c>
      <c r="BK91" s="107">
        <f t="shared" si="7"/>
        <v>0</v>
      </c>
    </row>
    <row r="92" spans="1:63" ht="14.4" customHeight="1">
      <c r="A92" s="633"/>
      <c r="AU92" s="22"/>
      <c r="AV92" s="23"/>
      <c r="AW92" s="24"/>
      <c r="AX92" s="24"/>
      <c r="AY92" s="25"/>
      <c r="AZ92" s="451" t="str">
        <f t="shared" si="9"/>
        <v/>
      </c>
      <c r="BA92" s="107"/>
      <c r="BB92" s="107" t="str">
        <f t="shared" si="4"/>
        <v/>
      </c>
      <c r="BD92" s="441">
        <f>OBJ!B312</f>
        <v>9256865</v>
      </c>
      <c r="BE92" s="23" t="str">
        <f>VLOOKUP(BD92,CENY!$B$11:$G$1034,2,FALSE)</f>
        <v>QUADRO YOU PLNOVÝSUV 400 MM EB21 SILENT SYSTEM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180.17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9"/>
        <v/>
      </c>
      <c r="BA93" s="107"/>
      <c r="BB93" s="107" t="str">
        <f t="shared" si="4"/>
        <v/>
      </c>
      <c r="BD93" s="441">
        <f>OBJ!B313</f>
        <v>9256868</v>
      </c>
      <c r="BE93" s="23" t="str">
        <f>VLOOKUP(BD93,CENY!$B$11:$G$1034,2,FALSE)</f>
        <v>QUADRO YOU PLNOVÝSUV 450 MM EB21 SILENT SYSTEM LEVÝ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183.9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9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 PLNOVÝSUV 450 MM EB21 SILENT SYSTEM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183.9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 PLNOVÝSUV 500 MM EB21 SILENT SYSTEM LEVÝ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187.64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 PLNOVÝSUV 500 MM EB21 SILENT SYSTEM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187.64</v>
      </c>
      <c r="BK96" s="107">
        <f t="shared" si="7"/>
        <v>0</v>
      </c>
    </row>
    <row r="97" spans="1:63" ht="14.4" customHeight="1">
      <c r="A97" s="633"/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 PLNOVÝSUV 550 MM EB21 SILENT SYSTEM LEVÝ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194.36</v>
      </c>
      <c r="BK97" s="107">
        <f t="shared" si="7"/>
        <v>0</v>
      </c>
    </row>
    <row r="98" spans="1:63" ht="14.4" customHeight="1">
      <c r="A98" s="633"/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 PLNOVÝSUV 550 MM EB21 SILENT SYSTEM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194.36</v>
      </c>
      <c r="BK98" s="107">
        <f t="shared" si="7"/>
        <v>0</v>
      </c>
    </row>
    <row r="99" spans="1:63" ht="14.4" customHeight="1">
      <c r="A99" s="633"/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 PLNOVÝSUV 600 MM EB21 SILENT SYSTEM LEVÝ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198.1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 PLNOVÝSUV 600 MM EB21 SILENT SYSTEM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198.1</v>
      </c>
      <c r="BK100" s="107">
        <f t="shared" si="7"/>
        <v>0</v>
      </c>
    </row>
    <row r="101" spans="1:63">
      <c r="A101" s="633"/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PUSH TO OPEN SILENT QUADRO YOU 10 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544.37</v>
      </c>
      <c r="BK102" s="107">
        <f t="shared" si="7"/>
        <v>0</v>
      </c>
    </row>
    <row r="103" spans="1:63">
      <c r="A103" s="633"/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PUSH TO OPEN SILENT QUADRO YOU 20 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544.37</v>
      </c>
      <c r="BK103" s="107">
        <f t="shared" si="7"/>
        <v>0</v>
      </c>
    </row>
    <row r="104" spans="1:63">
      <c r="A104" s="633"/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PUSH TO OPEN SILENT QUADRO YOU 30 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544.37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 PLNOVÝSUV 270 MM EB21 PUSH TO OPEN LEVÝ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194.74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 PLNOVÝSUV 270 MM EB21 PUSH TO OPEN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194.74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 PLNOVÝSUV 300 MM EB21 PUSH TO OPEN LEVÝ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195.11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 PLNOVÝSUV 300 MM EB21 PUSH TO OPEN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195.11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 PLNOVÝSUV 350 MM EB21 PUSH TO OPEN LEVÝ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198.85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 PLNOVÝSUV 350 MM EB21 PUSH TO OPEN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198.85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 PLNOVÝSUV 400 MM EB21 PUSH TO OPEN LEVÝ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202.58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 PLNOVÝSUV 400 MM EB21 PUSH TO OPEN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202.58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 PLNOVÝSUV 450 MM EB21 PUSH TO OPEN LEVÝ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206.32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 PLNOVÝSUV 450 MM EB21 PUSH TO OPEN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206.32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 PLNOVÝSUV 500 MM EB21 PUSH TO OPEN LEVÝ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210.06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 PLNOVÝSUV 500 MM EB21 PUSH TO OPEN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210.06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 PLNOVÝSUV 550 MM EB21 PUSH TO OPEN LEVÝ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216.78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 PLNOVÝSUV 550 MM EB21 PUSH TO OPEN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216.78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 PLNOVÝSUV 600 MM EB21 PUSH TO OPEN LEVÝ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223.51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 PLNOVÝSUV 600 MM EB21 PUSH TO OPEN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223.51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13.07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 t="shared" si="7"/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22"/>
      <c r="AV127" s="23"/>
      <c r="AW127" s="24"/>
      <c r="AX127" s="24"/>
      <c r="AY127" s="25"/>
      <c r="AZ127" s="451" t="str">
        <f t="shared" si="5"/>
        <v/>
      </c>
      <c r="BA127" s="107"/>
      <c r="BB127" s="107" t="str">
        <f t="shared" si="4"/>
        <v/>
      </c>
      <c r="BD127" s="441"/>
      <c r="BE127" s="23"/>
      <c r="BF127" s="24"/>
      <c r="BG127" s="24"/>
      <c r="BH127" s="25"/>
      <c r="BI127" s="451" t="str">
        <f t="shared" si="6"/>
        <v/>
      </c>
      <c r="BJ127" s="107"/>
      <c r="BK127" s="107" t="str">
        <f t="shared" si="7"/>
        <v/>
      </c>
    </row>
    <row r="128" spans="47:63">
      <c r="AU128" s="22"/>
      <c r="AV128" s="23"/>
      <c r="AW128" s="24"/>
      <c r="AX128" s="24"/>
      <c r="AY128" s="25"/>
      <c r="AZ128" s="451" t="str">
        <f t="shared" si="5"/>
        <v/>
      </c>
      <c r="BA128" s="107"/>
      <c r="BB128" s="107" t="str">
        <f t="shared" si="4"/>
        <v/>
      </c>
      <c r="BD128" s="441">
        <f>OBJ!B189</f>
        <v>9257271</v>
      </c>
      <c r="BE128" s="23" t="str">
        <f>VLOOKUP(BD128,CENY!$B$11:$G$1034,2,FALSE)</f>
        <v>AVANTECH YOU ALU PROFIL VNITŘNÍ ČELO V187 MM L2000 MM STŘÍBRNÁ</v>
      </c>
      <c r="BF128" s="24">
        <f>VLOOKUP(BD128,CENY!$B$11:$G$1034,3,FALSE)</f>
        <v>1</v>
      </c>
      <c r="BG128" s="24"/>
      <c r="BH128" s="25">
        <f>AY83</f>
        <v>0</v>
      </c>
      <c r="BI128" s="451">
        <f>IF(BH128="","",IF($AW$4=0,BH128,0))</f>
        <v>0</v>
      </c>
      <c r="BJ128" s="107">
        <f>VLOOKUP(BD128,CENY!$B$11:$M$2005,12,FALSE)</f>
        <v>2125.92</v>
      </c>
      <c r="BK128" s="107">
        <f t="shared" si="7"/>
        <v>0</v>
      </c>
    </row>
    <row r="129" spans="47:63">
      <c r="AU129" s="22"/>
      <c r="AV129" s="23"/>
      <c r="AW129" s="24"/>
      <c r="AX129" s="24"/>
      <c r="AY129" s="25"/>
      <c r="AZ129" s="451" t="str">
        <f t="shared" si="5"/>
        <v/>
      </c>
      <c r="BA129" s="107"/>
      <c r="BB129" s="107" t="str">
        <f t="shared" si="4"/>
        <v/>
      </c>
      <c r="BD129" s="441"/>
      <c r="BE129" s="23"/>
      <c r="BF129" s="24"/>
      <c r="BG129" s="24"/>
      <c r="BH129" s="25"/>
      <c r="BI129" s="451" t="str">
        <f>IF(BH129="","",IF($AW$4=0,BH129,0))</f>
        <v/>
      </c>
      <c r="BJ129" s="107"/>
      <c r="BK129" s="107" t="str">
        <f t="shared" si="7"/>
        <v/>
      </c>
    </row>
    <row r="130" spans="47:63">
      <c r="AU130" s="22"/>
      <c r="AV130" s="23"/>
      <c r="AW130" s="24"/>
      <c r="AX130" s="24"/>
      <c r="AY130" s="25"/>
      <c r="AZ130" s="451" t="str">
        <f t="shared" si="5"/>
        <v/>
      </c>
      <c r="BA130" s="107"/>
      <c r="BB130" s="107" t="str">
        <f t="shared" si="4"/>
        <v/>
      </c>
      <c r="BD130" s="441">
        <f>OBJ!B196</f>
        <v>9257641</v>
      </c>
      <c r="BE130" s="23" t="str">
        <f>VLOOKUP(BD130,CENY!$B$11:$G$1034,2,FALSE)</f>
        <v>AVANTECH YOU STABILIZÁTOR ČELA VNITŘNÍ ZÁSUVKY</v>
      </c>
      <c r="BF130" s="24">
        <f>VLOOKUP(BD130,CENY!$B$11:$G$1034,3,FALSE)</f>
        <v>100</v>
      </c>
      <c r="BG130" s="24"/>
      <c r="BH130" s="25">
        <f>AY84</f>
        <v>0</v>
      </c>
      <c r="BI130" s="451">
        <f>IF(BH130="","",IF($AW$4=0,BH130,0))</f>
        <v>0</v>
      </c>
      <c r="BJ130" s="107">
        <f>VLOOKUP(BD130,CENY!$B$11:$M$2005,12,FALSE)</f>
        <v>26.51</v>
      </c>
      <c r="BK130" s="107">
        <f t="shared" si="7"/>
        <v>0</v>
      </c>
    </row>
    <row r="131" spans="47:63">
      <c r="AU131" s="22"/>
      <c r="AV131" s="23"/>
      <c r="AW131" s="24"/>
      <c r="AX131" s="24"/>
      <c r="AY131" s="25"/>
      <c r="AZ131" s="451" t="str">
        <f t="shared" si="5"/>
        <v/>
      </c>
      <c r="BA131" s="107"/>
      <c r="BB131" s="107" t="str">
        <f t="shared" ref="BB131:BB137" si="10">IF(BA131="","",BA131*AY131)</f>
        <v/>
      </c>
      <c r="BD131" s="441">
        <f>OBJ!B199</f>
        <v>9257631</v>
      </c>
      <c r="BE131" s="23" t="str">
        <f>VLOOKUP(BD131,CENY!$B$11:$G$1034,2,FALSE)</f>
        <v>AVANTECH YOU KONCOVÁ KRYTKA ČELA VNITŘNÍ ZÁSUVKY V187 STŘÍBRNÁ</v>
      </c>
      <c r="BF131" s="24">
        <f>VLOOKUP(BD131,CENY!$B$11:$G$1034,3,FALSE)</f>
        <v>200</v>
      </c>
      <c r="BG131" s="24"/>
      <c r="BH131" s="25">
        <f>2*AY84</f>
        <v>0</v>
      </c>
      <c r="BI131" s="451">
        <f>IF(BH131="","",IF($AW$4=0,BH131,0))</f>
        <v>0</v>
      </c>
      <c r="BJ131" s="107">
        <f>VLOOKUP(BD131,CENY!$B$11:$M$2005,12,FALSE)</f>
        <v>6.44</v>
      </c>
      <c r="BK131" s="107">
        <f t="shared" si="7"/>
        <v>0</v>
      </c>
    </row>
    <row r="132" spans="47:63">
      <c r="AU132" s="22"/>
      <c r="AV132" s="23"/>
      <c r="AW132" s="24"/>
      <c r="AX132" s="24"/>
      <c r="AY132" s="25"/>
      <c r="AZ132" s="451" t="str">
        <f t="shared" ref="AZ132:AZ137" si="11">IF(AY132="","",IF($AW$4=1,AY132,0))</f>
        <v/>
      </c>
      <c r="BA132" s="107"/>
      <c r="BB132" s="107" t="str">
        <f t="shared" si="10"/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7:63">
      <c r="AU133" s="441">
        <f>OBJ!B354</f>
        <v>45167</v>
      </c>
      <c r="AV133" s="23" t="str">
        <f>VLOOKUP(AU133,CENY!$B$11:$G$1034,2,FALSE)</f>
        <v>VRUT PANHEAD 35X12</v>
      </c>
      <c r="AW133" s="24">
        <f>VLOOKUP(AU133,CENY!$B$11:$G$1034,3,FALSE)</f>
        <v>200</v>
      </c>
      <c r="AX133" s="24"/>
      <c r="AY133" s="25">
        <f>SUMPRODUCT(AX5:AX13,AY5:AY13)</f>
        <v>0</v>
      </c>
      <c r="AZ133" s="451">
        <f t="shared" si="11"/>
        <v>0</v>
      </c>
      <c r="BA133" s="107">
        <f>VLOOKUP(AU133,CENY!$B$11:$M$2005,12,FALSE)</f>
        <v>0.54</v>
      </c>
      <c r="BB133" s="107">
        <f t="shared" si="10"/>
        <v>0</v>
      </c>
      <c r="BC133" s="97" t="s">
        <v>506</v>
      </c>
      <c r="BD133" s="441">
        <f>OBJ!B354</f>
        <v>45167</v>
      </c>
      <c r="BE133" s="23" t="str">
        <f>VLOOKUP(BD133,CENY!$B$11:$G$1034,2,FALSE)</f>
        <v>VRUT PANHEAD 35X12</v>
      </c>
      <c r="BF133" s="24">
        <f>VLOOKUP(BD133,CENY!$B$11:$G$1034,3,FALSE)</f>
        <v>200</v>
      </c>
      <c r="BG133" s="24"/>
      <c r="BH133" s="25">
        <f>AY133+BH25*2+BH130</f>
        <v>0</v>
      </c>
      <c r="BI133" s="451">
        <f>IF(BH133="","",IF($AW$4=0,BH133,0))</f>
        <v>0</v>
      </c>
      <c r="BJ133" s="107">
        <f>VLOOKUP(BD133,CENY!$B$11:$M$2005,12,FALSE)</f>
        <v>0.54</v>
      </c>
      <c r="BK133" s="107">
        <f>IF(BJ133="","",BJ133*BH133)</f>
        <v>0</v>
      </c>
    </row>
    <row r="134" spans="47:63">
      <c r="AU134" s="441">
        <f>OBJ!B355</f>
        <v>45168</v>
      </c>
      <c r="AV134" s="23" t="str">
        <f>VLOOKUP(AU134,CENY!$B$11:$G$1034,2,FALSE)</f>
        <v>VRUT PANHEAD 35X20</v>
      </c>
      <c r="AW134" s="24">
        <f>VLOOKUP(AU134,CENY!$B$11:$G$1034,3,FALSE)</f>
        <v>200</v>
      </c>
      <c r="AX134" s="24"/>
      <c r="AY134" s="497">
        <v>0</v>
      </c>
      <c r="AZ134" s="451">
        <f t="shared" si="11"/>
        <v>0</v>
      </c>
      <c r="BA134" s="107">
        <f>VLOOKUP(AU134,CENY!$B$11:$M$2005,12,FALSE)</f>
        <v>0.78</v>
      </c>
      <c r="BB134" s="107">
        <f t="shared" si="10"/>
        <v>0</v>
      </c>
      <c r="BC134" s="97" t="s">
        <v>507</v>
      </c>
      <c r="BD134" s="441">
        <f>OBJ!B355</f>
        <v>45168</v>
      </c>
      <c r="BE134" s="23" t="str">
        <f>VLOOKUP(BD134,CENY!$B$11:$G$1034,2,FALSE)</f>
        <v>VRUT PANHEAD 35X20</v>
      </c>
      <c r="BF134" s="24">
        <f>VLOOKUP(BD134,CENY!$B$11:$G$1034,3,FALSE)</f>
        <v>200</v>
      </c>
      <c r="BG134" s="24"/>
      <c r="BH134" s="497">
        <v>0</v>
      </c>
      <c r="BI134" s="451">
        <f>IF(BH134="","",IF($AW$4=0,BH134,0))</f>
        <v>0</v>
      </c>
      <c r="BJ134" s="107">
        <f>VLOOKUP(BD134,CENY!$B$11:$M$2005,12,FALSE)</f>
        <v>0.78</v>
      </c>
      <c r="BK134" s="107">
        <f>IF(BJ134="","",BJ134*BH134)</f>
        <v>0</v>
      </c>
    </row>
    <row r="135" spans="47:63">
      <c r="AU135" s="441">
        <f>OBJ!B356</f>
        <v>9278224</v>
      </c>
      <c r="AV135" s="23" t="str">
        <f>VLOOKUP(AU135,CENY!$B$11:$G$1034,2,FALSE)</f>
        <v>AVANTECH YOU VRUT 3,5X30 PANHEAD POZINK.</v>
      </c>
      <c r="AW135" s="24">
        <f>VLOOKUP(AU135,CENY!$B$11:$G$1034,3,FALSE)</f>
        <v>200</v>
      </c>
      <c r="AX135" s="24"/>
      <c r="AY135" s="497">
        <v>0</v>
      </c>
      <c r="AZ135" s="451">
        <f t="shared" si="11"/>
        <v>0</v>
      </c>
      <c r="BA135" s="107">
        <f>VLOOKUP(AU135,CENY!$B$11:$M$2005,12,FALSE)</f>
        <v>0.73</v>
      </c>
      <c r="BB135" s="107">
        <f t="shared" si="10"/>
        <v>0</v>
      </c>
      <c r="BC135" s="97" t="s">
        <v>508</v>
      </c>
      <c r="BD135" s="441">
        <f>OBJ!B356</f>
        <v>9278224</v>
      </c>
      <c r="BE135" s="23" t="str">
        <f>VLOOKUP(BD135,CENY!$B$11:$G$1034,2,FALSE)</f>
        <v>AVANTECH YOU VRUT 3,5X30 PANHEAD POZINK.</v>
      </c>
      <c r="BF135" s="24">
        <f>VLOOKUP(BD135,CENY!$B$11:$G$1034,3,FALSE)</f>
        <v>200</v>
      </c>
      <c r="BG135" s="24"/>
      <c r="BH135" s="497">
        <f>2*SUM(BH5:BH22)</f>
        <v>0</v>
      </c>
      <c r="BI135" s="451">
        <f>IF(BH135="","",IF($AW$4=0,BH135,0))</f>
        <v>0</v>
      </c>
      <c r="BJ135" s="107">
        <f>VLOOKUP(BD135,CENY!$B$11:$M$2005,12,FALSE)</f>
        <v>0.73</v>
      </c>
      <c r="BK135" s="107">
        <f>IF(BJ135="","",BJ135*BH135)</f>
        <v>0</v>
      </c>
    </row>
    <row r="136" spans="47:63">
      <c r="AU136" s="441">
        <f>OBJ!B357</f>
        <v>9279197</v>
      </c>
      <c r="AV136" s="23" t="str">
        <f>VLOOKUP(AU136,CENY!$B$11:$G$1034,2,FALSE)</f>
        <v>SAMOŘEZNÝ ŠROUB 3,5X12 PANHEAD POZINK.</v>
      </c>
      <c r="AW136" s="24">
        <f>VLOOKUP(AU136,CENY!$B$11:$G$1034,3,FALSE)</f>
        <v>1000</v>
      </c>
      <c r="AX136" s="24"/>
      <c r="AY136" s="77">
        <v>0</v>
      </c>
      <c r="AZ136" s="451">
        <f t="shared" si="11"/>
        <v>0</v>
      </c>
      <c r="BA136" s="107">
        <f>VLOOKUP(AU136,CENY!$B$11:$M$2005,12,FALSE)</f>
        <v>1.51</v>
      </c>
      <c r="BB136" s="107">
        <f t="shared" si="10"/>
        <v>0</v>
      </c>
      <c r="BC136" s="97" t="s">
        <v>509</v>
      </c>
      <c r="BD136" s="441">
        <f>OBJ!B357</f>
        <v>9279197</v>
      </c>
      <c r="BE136" s="23" t="str">
        <f>VLOOKUP(BD136,CENY!$B$11:$G$1034,2,FALSE)</f>
        <v>SAMOŘEZNÝ ŠROUB 3,5X12 PANHEAD POZINK.</v>
      </c>
      <c r="BF136" s="24">
        <f>VLOOKUP(BD136,CENY!$B$11:$G$1034,3,FALSE)</f>
        <v>1000</v>
      </c>
      <c r="BG136" s="24"/>
      <c r="BH136" s="77">
        <f>4*BH24</f>
        <v>0</v>
      </c>
      <c r="BI136" s="451">
        <f>IF(BH136="","",IF($AW$4=0,BH136,0))</f>
        <v>0</v>
      </c>
      <c r="BJ136" s="107">
        <f>VLOOKUP(BD136,CENY!$B$11:$M$2005,12,FALSE)</f>
        <v>1.51</v>
      </c>
      <c r="BK136" s="107">
        <f>IF(BJ136="","",BJ136*BH136)</f>
        <v>0</v>
      </c>
    </row>
    <row r="137" spans="47:63">
      <c r="AU137" s="441">
        <f>OBJ!B358</f>
        <v>9137114</v>
      </c>
      <c r="AV137" s="23" t="str">
        <f>VLOOKUP(AU137,CENY!$B$11:$G$1034,2,FALSE)</f>
        <v>EUROŠROUB DBS 60 X 14</v>
      </c>
      <c r="AW137" s="24">
        <f>VLOOKUP(AU137,CENY!$B$11:$G$1034,3,FALSE)</f>
        <v>200</v>
      </c>
      <c r="AX137" s="24"/>
      <c r="AY137" s="25">
        <f>SUMPRODUCT(AX25:AX74,AY25:AY74)</f>
        <v>0</v>
      </c>
      <c r="AZ137" s="451">
        <f t="shared" si="11"/>
        <v>0</v>
      </c>
      <c r="BA137" s="107">
        <f>VLOOKUP(AU137,CENY!$B$11:$M$2005,12,FALSE)</f>
        <v>1.2</v>
      </c>
      <c r="BB137" s="107">
        <f t="shared" si="10"/>
        <v>0</v>
      </c>
      <c r="BC137" s="97" t="s">
        <v>510</v>
      </c>
      <c r="BD137" s="441">
        <f>OBJ!B358</f>
        <v>9137114</v>
      </c>
      <c r="BE137" s="23" t="str">
        <f>VLOOKUP(BD137,CENY!$B$11:$G$1034,2,FALSE)</f>
        <v>EUROŠROUB DBS 60 X 14</v>
      </c>
      <c r="BF137" s="24">
        <f>VLOOKUP(BD137,CENY!$B$11:$G$1034,3,FALSE)</f>
        <v>200</v>
      </c>
      <c r="BG137" s="24"/>
      <c r="BH137" s="25">
        <f>AY137</f>
        <v>0</v>
      </c>
      <c r="BI137" s="451">
        <f>IF(BH137="","",IF($AW$4=0,BH137,0))</f>
        <v>0</v>
      </c>
      <c r="BJ137" s="107">
        <f>VLOOKUP(BD137,CENY!$B$11:$M$2005,12,FALSE)</f>
        <v>1.2</v>
      </c>
      <c r="BK137" s="107">
        <f>IF(BJ137="","",BJ137*BH137)</f>
        <v>0</v>
      </c>
    </row>
    <row r="138" spans="47:63">
      <c r="AU138" s="22"/>
      <c r="AV138" s="23"/>
      <c r="AW138" s="24"/>
      <c r="AX138" s="24"/>
      <c r="AY138" s="25"/>
      <c r="AZ138" s="451"/>
      <c r="BA138" s="107"/>
      <c r="BB138" s="107"/>
      <c r="BD138" s="441"/>
      <c r="BE138" s="23"/>
      <c r="BF138" s="24"/>
      <c r="BG138" s="24"/>
      <c r="BH138" s="25"/>
      <c r="BI138" s="451"/>
      <c r="BJ138" s="107"/>
      <c r="BK138" s="107"/>
    </row>
    <row r="139" spans="47:63">
      <c r="AU139" s="22"/>
      <c r="AV139" s="23"/>
      <c r="AW139" s="24"/>
      <c r="AX139" s="24"/>
      <c r="AY139" s="25"/>
      <c r="AZ139" s="451"/>
      <c r="BA139" s="107"/>
      <c r="BB139" s="107"/>
      <c r="BD139" s="441"/>
      <c r="BE139" s="23"/>
      <c r="BF139" s="24"/>
      <c r="BG139" s="24"/>
      <c r="BH139" s="25"/>
      <c r="BI139" s="451" t="str">
        <f>IF(BH139="","",IF($AW$4=0,BH139,0))</f>
        <v/>
      </c>
      <c r="BJ139" s="107"/>
      <c r="BK139" s="107" t="str">
        <f>IF(BJ139="","",BJ139*BH139)</f>
        <v/>
      </c>
    </row>
    <row r="140" spans="47:63">
      <c r="AU140" s="22"/>
      <c r="AV140" s="23"/>
      <c r="AW140" s="24"/>
      <c r="AX140" s="24"/>
      <c r="AY140" s="25"/>
      <c r="AZ140" s="451" t="str">
        <f>IF(AY140="","",IF($AW$4=1,AY140,0))</f>
        <v/>
      </c>
      <c r="BA140" s="107"/>
      <c r="BB140" s="107" t="str">
        <f>IF(BA140="","",BA140*AY140)</f>
        <v/>
      </c>
      <c r="BD140" s="441"/>
      <c r="BE140" s="23"/>
      <c r="BF140" s="24"/>
      <c r="BG140" s="24"/>
      <c r="BH140" s="25"/>
      <c r="BI140" s="451" t="str">
        <f>IF(BH140="","",IF($AW$4=0,BH140,0))</f>
        <v/>
      </c>
      <c r="BJ140" s="107"/>
      <c r="BK140" s="107" t="str">
        <f>IF(BJ140="","",BJ140*BH140)</f>
        <v/>
      </c>
    </row>
  </sheetData>
  <sheetProtection password="DD97" sheet="1"/>
  <mergeCells count="179"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9:E9"/>
    <mergeCell ref="F9:K9"/>
    <mergeCell ref="B10:E10"/>
    <mergeCell ref="F10:K10"/>
    <mergeCell ref="B11:E11"/>
    <mergeCell ref="F11:K11"/>
    <mergeCell ref="B12:E12"/>
    <mergeCell ref="F12:I12"/>
    <mergeCell ref="J12:K12"/>
    <mergeCell ref="B13:E13"/>
    <mergeCell ref="F13:I13"/>
    <mergeCell ref="J13:K13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B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B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N28:AO28"/>
    <mergeCell ref="W83:X83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I80:AJ80"/>
    <mergeCell ref="Q80:R80"/>
    <mergeCell ref="S80:T80"/>
    <mergeCell ref="U80:V80"/>
    <mergeCell ref="W80:X80"/>
    <mergeCell ref="Y80:Z80"/>
    <mergeCell ref="AA80:AB80"/>
    <mergeCell ref="AC80:AD80"/>
    <mergeCell ref="AG80:AH80"/>
    <mergeCell ref="A66:A105"/>
    <mergeCell ref="B67:E67"/>
    <mergeCell ref="G67:K67"/>
    <mergeCell ref="O67:S67"/>
    <mergeCell ref="U67:Y67"/>
    <mergeCell ref="AA67:AE67"/>
    <mergeCell ref="AE80:AF80"/>
    <mergeCell ref="AE81:AF81"/>
    <mergeCell ref="AI67:AM67"/>
    <mergeCell ref="O81:P81"/>
    <mergeCell ref="Q81:R81"/>
    <mergeCell ref="S81:T81"/>
    <mergeCell ref="U81:V81"/>
    <mergeCell ref="W81:X81"/>
    <mergeCell ref="Y81:Z81"/>
    <mergeCell ref="AA81:AB81"/>
    <mergeCell ref="AC81:AD81"/>
    <mergeCell ref="AK81:AL81"/>
    <mergeCell ref="O82:AJ82"/>
    <mergeCell ref="O83:P83"/>
    <mergeCell ref="Q83:R83"/>
    <mergeCell ref="S83:T83"/>
    <mergeCell ref="U83:V83"/>
    <mergeCell ref="O80:P80"/>
    <mergeCell ref="M84:N84"/>
    <mergeCell ref="O84:P84"/>
    <mergeCell ref="Q84:R84"/>
    <mergeCell ref="S84:T84"/>
    <mergeCell ref="U84:V84"/>
    <mergeCell ref="AA85:AB85"/>
    <mergeCell ref="W84:X84"/>
    <mergeCell ref="Y84:Z84"/>
    <mergeCell ref="AA84:AB84"/>
    <mergeCell ref="AK9:AP10"/>
    <mergeCell ref="AI84:AJ84"/>
    <mergeCell ref="O85:P85"/>
    <mergeCell ref="Q85:R85"/>
    <mergeCell ref="S85:T85"/>
    <mergeCell ref="U85:V85"/>
    <mergeCell ref="W85:X85"/>
    <mergeCell ref="Y85:Z85"/>
    <mergeCell ref="AI83:AJ83"/>
    <mergeCell ref="Y83:Z83"/>
    <mergeCell ref="AG83:AH83"/>
    <mergeCell ref="AG81:AH81"/>
    <mergeCell ref="AG84:AH84"/>
    <mergeCell ref="AA83:AB83"/>
    <mergeCell ref="AC83:AD83"/>
    <mergeCell ref="AE83:AF83"/>
    <mergeCell ref="AI81:AJ81"/>
    <mergeCell ref="AG85:AH85"/>
    <mergeCell ref="AC85:AD85"/>
    <mergeCell ref="AE85:AF85"/>
    <mergeCell ref="AC84:AD84"/>
    <mergeCell ref="AE84:AF84"/>
    <mergeCell ref="AI85:AJ85"/>
    <mergeCell ref="AO67:AR67"/>
  </mergeCells>
  <conditionalFormatting sqref="BH26:BH85 AY5:AY42 BH5:BH24 AZ6:AZ82 AZ95:AZ132 BH132:BI132 BH138:BI140 AZ138:AZ140">
    <cfRule type="cellIs" dxfId="356" priority="46" stopIfTrue="1" operator="equal">
      <formula>0</formula>
    </cfRule>
  </conditionalFormatting>
  <conditionalFormatting sqref="AY53:AY56 AY66:AY69 AY43:AY50">
    <cfRule type="cellIs" dxfId="355" priority="44" stopIfTrue="1" operator="equal">
      <formula>0</formula>
    </cfRule>
  </conditionalFormatting>
  <conditionalFormatting sqref="O17:AF17 O19:T19 O20:AD20 W22:AF22 O27:T27 O28:AD28 O30:AD30">
    <cfRule type="expression" dxfId="354" priority="45" stopIfTrue="1">
      <formula>$AW$4=0</formula>
    </cfRule>
  </conditionalFormatting>
  <conditionalFormatting sqref="AY76:AY77 AY79 AY81:AY82">
    <cfRule type="cellIs" dxfId="353" priority="43" stopIfTrue="1" operator="equal">
      <formula>0</formula>
    </cfRule>
  </conditionalFormatting>
  <conditionalFormatting sqref="AY95:AY97">
    <cfRule type="cellIs" dxfId="352" priority="41" stopIfTrue="1" operator="equal">
      <formula>0</formula>
    </cfRule>
  </conditionalFormatting>
  <conditionalFormatting sqref="BH25">
    <cfRule type="cellIs" dxfId="351" priority="40" stopIfTrue="1" operator="equal">
      <formula>0</formula>
    </cfRule>
  </conditionalFormatting>
  <conditionalFormatting sqref="AY51:AY52">
    <cfRule type="cellIs" dxfId="350" priority="39" stopIfTrue="1" operator="equal">
      <formula>0</formula>
    </cfRule>
  </conditionalFormatting>
  <conditionalFormatting sqref="AY57:AY63">
    <cfRule type="cellIs" dxfId="349" priority="38" stopIfTrue="1" operator="equal">
      <formula>0</formula>
    </cfRule>
  </conditionalFormatting>
  <conditionalFormatting sqref="AY70:AY73">
    <cfRule type="cellIs" dxfId="348" priority="37" stopIfTrue="1" operator="equal">
      <formula>0</formula>
    </cfRule>
  </conditionalFormatting>
  <conditionalFormatting sqref="AY74">
    <cfRule type="cellIs" dxfId="347" priority="36" stopIfTrue="1" operator="equal">
      <formula>0</formula>
    </cfRule>
  </conditionalFormatting>
  <conditionalFormatting sqref="AY75">
    <cfRule type="cellIs" dxfId="346" priority="35" stopIfTrue="1" operator="equal">
      <formula>0</formula>
    </cfRule>
  </conditionalFormatting>
  <conditionalFormatting sqref="AY78">
    <cfRule type="cellIs" dxfId="345" priority="34" stopIfTrue="1" operator="equal">
      <formula>0</formula>
    </cfRule>
  </conditionalFormatting>
  <conditionalFormatting sqref="BH101:BH106">
    <cfRule type="cellIs" dxfId="344" priority="32" stopIfTrue="1" operator="equal">
      <formula>0</formula>
    </cfRule>
  </conditionalFormatting>
  <conditionalFormatting sqref="BH122:BH124 BH126:BH127">
    <cfRule type="cellIs" dxfId="343" priority="31" stopIfTrue="1" operator="equal">
      <formula>0</formula>
    </cfRule>
  </conditionalFormatting>
  <conditionalFormatting sqref="AY98:AY132 AY138:AY140">
    <cfRule type="cellIs" dxfId="342" priority="30" stopIfTrue="1" operator="equal">
      <formula>0</formula>
    </cfRule>
  </conditionalFormatting>
  <conditionalFormatting sqref="AY64:AY65">
    <cfRule type="cellIs" dxfId="341" priority="29" stopIfTrue="1" operator="equal">
      <formula>0</formula>
    </cfRule>
  </conditionalFormatting>
  <conditionalFormatting sqref="BH86:BH100">
    <cfRule type="cellIs" dxfId="340" priority="28" stopIfTrue="1" operator="equal">
      <formula>0</formula>
    </cfRule>
  </conditionalFormatting>
  <conditionalFormatting sqref="BH107:BH121">
    <cfRule type="cellIs" dxfId="339" priority="27" stopIfTrue="1" operator="equal">
      <formula>0</formula>
    </cfRule>
  </conditionalFormatting>
  <conditionalFormatting sqref="AY80">
    <cfRule type="cellIs" dxfId="338" priority="26" stopIfTrue="1" operator="equal">
      <formula>0</formula>
    </cfRule>
  </conditionalFormatting>
  <conditionalFormatting sqref="BH125">
    <cfRule type="cellIs" dxfId="337" priority="25" stopIfTrue="1" operator="equal">
      <formula>0</formula>
    </cfRule>
  </conditionalFormatting>
  <conditionalFormatting sqref="F13:K13">
    <cfRule type="expression" dxfId="336" priority="24" stopIfTrue="1">
      <formula>$AW$4=1</formula>
    </cfRule>
  </conditionalFormatting>
  <conditionalFormatting sqref="AZ5">
    <cfRule type="cellIs" dxfId="335" priority="23" stopIfTrue="1" operator="equal">
      <formula>0</formula>
    </cfRule>
  </conditionalFormatting>
  <conditionalFormatting sqref="BI5">
    <cfRule type="cellIs" dxfId="334" priority="22" stopIfTrue="1" operator="equal">
      <formula>0</formula>
    </cfRule>
  </conditionalFormatting>
  <conditionalFormatting sqref="BI6:BI127">
    <cfRule type="cellIs" dxfId="333" priority="21" stopIfTrue="1" operator="equal">
      <formula>0</formula>
    </cfRule>
  </conditionalFormatting>
  <conditionalFormatting sqref="AR87">
    <cfRule type="expression" dxfId="332" priority="20" stopIfTrue="1">
      <formula>$AU$87=AU89</formula>
    </cfRule>
  </conditionalFormatting>
  <conditionalFormatting sqref="AZ94">
    <cfRule type="cellIs" dxfId="331" priority="19" stopIfTrue="1" operator="equal">
      <formula>0</formula>
    </cfRule>
  </conditionalFormatting>
  <conditionalFormatting sqref="AY94">
    <cfRule type="cellIs" dxfId="330" priority="18" stopIfTrue="1" operator="equal">
      <formula>0</formula>
    </cfRule>
  </conditionalFormatting>
  <conditionalFormatting sqref="AZ85:AZ93">
    <cfRule type="cellIs" dxfId="329" priority="17" stopIfTrue="1" operator="equal">
      <formula>0</formula>
    </cfRule>
  </conditionalFormatting>
  <conditionalFormatting sqref="AY88:AY93">
    <cfRule type="cellIs" dxfId="328" priority="16" stopIfTrue="1" operator="equal">
      <formula>0</formula>
    </cfRule>
  </conditionalFormatting>
  <conditionalFormatting sqref="AY85:AY87">
    <cfRule type="cellIs" dxfId="327" priority="15" stopIfTrue="1" operator="equal">
      <formula>0</formula>
    </cfRule>
  </conditionalFormatting>
  <conditionalFormatting sqref="AZ83:AZ84">
    <cfRule type="cellIs" dxfId="326" priority="14" stopIfTrue="1" operator="equal">
      <formula>0</formula>
    </cfRule>
  </conditionalFormatting>
  <conditionalFormatting sqref="AY83:AY84">
    <cfRule type="cellIs" dxfId="325" priority="13" stopIfTrue="1" operator="equal">
      <formula>0</formula>
    </cfRule>
  </conditionalFormatting>
  <conditionalFormatting sqref="BH128:BH129">
    <cfRule type="cellIs" dxfId="324" priority="12" stopIfTrue="1" operator="equal">
      <formula>0</formula>
    </cfRule>
  </conditionalFormatting>
  <conditionalFormatting sqref="BI128">
    <cfRule type="cellIs" dxfId="323" priority="11" stopIfTrue="1" operator="equal">
      <formula>0</formula>
    </cfRule>
  </conditionalFormatting>
  <conditionalFormatting sqref="BH130:BH131">
    <cfRule type="cellIs" dxfId="322" priority="10" stopIfTrue="1" operator="equal">
      <formula>0</formula>
    </cfRule>
  </conditionalFormatting>
  <conditionalFormatting sqref="BI130:BI131">
    <cfRule type="cellIs" dxfId="321" priority="9" stopIfTrue="1" operator="equal">
      <formula>0</formula>
    </cfRule>
  </conditionalFormatting>
  <conditionalFormatting sqref="BI129">
    <cfRule type="cellIs" dxfId="320" priority="8" stopIfTrue="1" operator="equal">
      <formula>0</formula>
    </cfRule>
  </conditionalFormatting>
  <conditionalFormatting sqref="AZ133:AZ137">
    <cfRule type="cellIs" dxfId="319" priority="7" stopIfTrue="1" operator="equal">
      <formula>0</formula>
    </cfRule>
  </conditionalFormatting>
  <conditionalFormatting sqref="AY133:AY137">
    <cfRule type="cellIs" dxfId="318" priority="6" stopIfTrue="1" operator="equal">
      <formula>0</formula>
    </cfRule>
  </conditionalFormatting>
  <conditionalFormatting sqref="BH133 BH136:BH137">
    <cfRule type="cellIs" dxfId="317" priority="5" stopIfTrue="1" operator="equal">
      <formula>0</formula>
    </cfRule>
  </conditionalFormatting>
  <conditionalFormatting sqref="BI133:BI137">
    <cfRule type="cellIs" dxfId="316" priority="4" stopIfTrue="1" operator="equal">
      <formula>0</formula>
    </cfRule>
  </conditionalFormatting>
  <conditionalFormatting sqref="BH134:BH135">
    <cfRule type="cellIs" dxfId="315" priority="3" stopIfTrue="1" operator="equal">
      <formula>0</formula>
    </cfRule>
  </conditionalFormatting>
  <conditionalFormatting sqref="AI17:AO17">
    <cfRule type="expression" dxfId="314" priority="2" stopIfTrue="1">
      <formula>$AW$4=0</formula>
    </cfRule>
  </conditionalFormatting>
  <conditionalFormatting sqref="AI25:AO25">
    <cfRule type="expression" dxfId="313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M69" location="MENU!A1" display="MENU!A1"/>
    <hyperlink ref="B67:E67" location="'AVT187(vn-A)'!A1" display="'AVT187(vn-A)'!A1"/>
    <hyperlink ref="AK9:AO10" location="'IT70(vn100)'!A66" display="'IT70(vn100)'!A66"/>
    <hyperlink ref="AK9:AP10" location="'AVT187(vn-A)'!A66" display="'AVT187(vn-A)'!A66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rgb="FFFF0000"/>
  </sheetPr>
  <dimension ref="A1:BK115"/>
  <sheetViews>
    <sheetView showGridLines="0" showRowColHeaders="0" zoomScale="95" zoomScaleNormal="95" workbookViewId="0">
      <selection activeCell="B4" sqref="B4"/>
    </sheetView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SUM(BB5:BB972)</f>
        <v>0</v>
      </c>
      <c r="BD4" s="105" t="s">
        <v>40</v>
      </c>
      <c r="BK4" s="444">
        <f>SUM(BK5:BK961)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AVANTECH YOU BOKY V SADĚ INLAY V187 MM L350 MM STŘÍBRNÁ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890.83</v>
      </c>
      <c r="BB5" s="107">
        <f t="shared" ref="BB5:BB68" si="0">IF(BA5="","",BA5*AY5)</f>
        <v>0</v>
      </c>
      <c r="BD5" s="441">
        <f>OBJ!B169</f>
        <v>9257131</v>
      </c>
      <c r="BE5" s="23" t="str">
        <f>VLOOKUP(BD5,CENY!$B$11:$G$1034,2,FALSE)</f>
        <v>AVANTECH YOU BOK INLAY V187 MM NL350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324.87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453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AVANTECH YOU BOKY V SADĚ INLAY V187 MM L400 MM STŘÍBRNÁ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9" si="1">IF(AY6="","",IF($AW$4=1,AY6,0))</f>
        <v>0</v>
      </c>
      <c r="BA6" s="107">
        <f>VLOOKUP(AU6,CENY!$B$11:$M$2005,12,FALSE)</f>
        <v>902.57</v>
      </c>
      <c r="BB6" s="107">
        <f t="shared" si="0"/>
        <v>0</v>
      </c>
      <c r="BD6" s="441">
        <f>OBJ!B170</f>
        <v>9257132</v>
      </c>
      <c r="BE6" s="23" t="str">
        <f>VLOOKUP(BD6,CENY!$B$11:$G$1034,2,FALSE)</f>
        <v>AVANTECH YOU BOK INLAY V187 MM NL350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324.87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AVANTECH YOU BOKY V SADĚ INLAY V187 MM L450 MM STŘÍBRNÁ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914.31</v>
      </c>
      <c r="BB7" s="107">
        <f t="shared" si="0"/>
        <v>0</v>
      </c>
      <c r="BD7" s="441">
        <f>OBJ!B171</f>
        <v>9257133</v>
      </c>
      <c r="BE7" s="23" t="str">
        <f>VLOOKUP(BD7,CENY!$B$11:$G$1034,2,FALSE)</f>
        <v>AVANTECH YOU BOK INLAY V187 MM NL400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330.74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AVANTECH YOU BOKY V SADĚ INLAY V187 MM L500 MM STŘÍBRNÁ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926.05</v>
      </c>
      <c r="BB8" s="107">
        <f t="shared" si="0"/>
        <v>0</v>
      </c>
      <c r="BD8" s="441">
        <f>OBJ!B172</f>
        <v>9257134</v>
      </c>
      <c r="BE8" s="23" t="str">
        <f>VLOOKUP(BD8,CENY!$B$11:$G$1034,2,FALSE)</f>
        <v>AVANTECH YOU BOK INLAY V187 MM NL400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330.74</v>
      </c>
      <c r="BK8" s="107">
        <f t="shared" si="3"/>
        <v>0</v>
      </c>
    </row>
    <row r="9" spans="1:63" ht="14.4" customHeight="1" thickTop="1">
      <c r="B9" s="553"/>
      <c r="C9" s="553"/>
      <c r="D9" s="553"/>
      <c r="E9" s="553"/>
      <c r="F9" s="554"/>
      <c r="G9" s="554"/>
      <c r="H9" s="554"/>
      <c r="I9" s="554"/>
      <c r="J9" s="554"/>
      <c r="K9" s="554"/>
      <c r="AK9" s="649" t="str">
        <f>verze!E160</f>
        <v>Je nutné natypovat šířky čel ?</v>
      </c>
      <c r="AL9" s="650"/>
      <c r="AM9" s="650"/>
      <c r="AN9" s="650"/>
      <c r="AO9" s="650"/>
      <c r="AP9" s="651"/>
      <c r="AU9" s="441">
        <f>OBJ!B165</f>
        <v>9257177</v>
      </c>
      <c r="AV9" s="23" t="str">
        <f>VLOOKUP(AU9,CENY!$B$11:$G$1034,2,FALSE)</f>
        <v>AVANTECH YOU BOKY V SADĚ INLAY V187 MM L550 MM STŘÍBRNÁ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937.8</v>
      </c>
      <c r="BB9" s="107">
        <f t="shared" si="0"/>
        <v>0</v>
      </c>
      <c r="BD9" s="441">
        <f>OBJ!B173</f>
        <v>9257135</v>
      </c>
      <c r="BE9" s="23" t="str">
        <f>VLOOKUP(BD9,CENY!$B$11:$G$1034,2,FALSE)</f>
        <v>AVANTECH YOU BOK INLAY V187 MM NL450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336.61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OBJ!B166</f>
        <v>9257178</v>
      </c>
      <c r="AV10" s="23" t="str">
        <f>VLOOKUP(AU10,CENY!$B$11:$G$1034,2,FALSE)</f>
        <v>AVANTECH YOU BOKY V SADĚ INLAY V187 MM L600 MM STŘÍBRNÁ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955.51</v>
      </c>
      <c r="BB10" s="107">
        <f t="shared" si="0"/>
        <v>0</v>
      </c>
      <c r="BD10" s="441">
        <f>OBJ!B174</f>
        <v>9257136</v>
      </c>
      <c r="BE10" s="23" t="str">
        <f>VLOOKUP(BD10,CENY!$B$11:$G$1034,2,FALSE)</f>
        <v>AVANTECH YOU BOK INLAY V187 MM NL450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336.61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AVANTECH YOU BOKY V SADĚ INLAY V187 MM L650 MM STŘÍBRNÁ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979.59</v>
      </c>
      <c r="BB11" s="107">
        <f t="shared" si="0"/>
        <v>0</v>
      </c>
      <c r="BD11" s="441">
        <f>OBJ!B175</f>
        <v>9257137</v>
      </c>
      <c r="BE11" s="23" t="str">
        <f>VLOOKUP(BD11,CENY!$B$11:$G$1034,2,FALSE)</f>
        <v>AVANTECH YOU BOK INLAY V187 MM NL500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342.48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OBJ!B176</f>
        <v>9257138</v>
      </c>
      <c r="BE12" s="23" t="str">
        <f>VLOOKUP(BD12,CENY!$B$11:$G$1034,2,FALSE)</f>
        <v>AVANTECH YOU BOK INLAY V187 MM NL500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342.48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OBJ!B209</f>
        <v>9283178</v>
      </c>
      <c r="AV13" s="23" t="str">
        <f>VLOOKUP(AU13,CENY!$B$11:$G$1034,2,FALSE)</f>
        <v>AVANTECH YOU SKLENĚNÁ VÝPLŇ 10 MM K BOKŮM INLAY NL350 MM</v>
      </c>
      <c r="AW13" s="24">
        <f>VLOOKUP(AU13,CENY!$B$11:$G$1034,3,FALSE)</f>
        <v>1</v>
      </c>
      <c r="AX13" s="24"/>
      <c r="AY13" s="25">
        <f>1*(S19+S20+S27+S28+S30)</f>
        <v>0</v>
      </c>
      <c r="AZ13" s="451">
        <f t="shared" si="1"/>
        <v>0</v>
      </c>
      <c r="BA13" s="107">
        <f>VLOOKUP(AU13,CENY!$B$11:$M$2005,12,FALSE)</f>
        <v>670.1</v>
      </c>
      <c r="BB13" s="107">
        <f t="shared" si="0"/>
        <v>0</v>
      </c>
      <c r="BD13" s="441">
        <f>OBJ!B177</f>
        <v>9257139</v>
      </c>
      <c r="BE13" s="23" t="str">
        <f>VLOOKUP(BD13,CENY!$B$11:$G$1034,2,FALSE)</f>
        <v>AVANTECH YOU BOK INLAY V187 MM NL550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348.35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AVANTECH YOU SKLENĚNÁ VÝPLŇ 10 MM K BOKŮM INLAY NL400 MM</v>
      </c>
      <c r="AW14" s="24">
        <f>VLOOKUP(AU14,CENY!$B$11:$G$1034,3,FALSE)</f>
        <v>1</v>
      </c>
      <c r="AX14" s="24"/>
      <c r="AY14" s="25">
        <f>1*(U20+U28+U30)</f>
        <v>0</v>
      </c>
      <c r="AZ14" s="451">
        <f t="shared" si="1"/>
        <v>0</v>
      </c>
      <c r="BA14" s="107">
        <f>VLOOKUP(AU14,CENY!$B$11:$M$2005,12,FALSE)</f>
        <v>708.04</v>
      </c>
      <c r="BB14" s="107">
        <f t="shared" si="0"/>
        <v>0</v>
      </c>
      <c r="BD14" s="441">
        <f>OBJ!B178</f>
        <v>9257140</v>
      </c>
      <c r="BE14" s="23" t="str">
        <f>VLOOKUP(BD14,CENY!$B$11:$G$1034,2,FALSE)</f>
        <v>AVANTECH YOU BOK INLAY V187 MM NL550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348.35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AVANTECH YOU SKLENĚNÁ VÝPLŇ 10 MM K BOKŮM INLAY NL450 MM</v>
      </c>
      <c r="AW15" s="24">
        <f>VLOOKUP(AU15,CENY!$B$11:$G$1034,3,FALSE)</f>
        <v>1</v>
      </c>
      <c r="AX15" s="24"/>
      <c r="AY15" s="25">
        <f>1*(W20+W22+W28+W30)</f>
        <v>0</v>
      </c>
      <c r="AZ15" s="451">
        <f t="shared" si="1"/>
        <v>0</v>
      </c>
      <c r="BA15" s="107">
        <f>VLOOKUP(AU15,CENY!$B$11:$M$2005,12,FALSE)</f>
        <v>745.99</v>
      </c>
      <c r="BB15" s="107">
        <f t="shared" si="0"/>
        <v>0</v>
      </c>
      <c r="BD15" s="441">
        <f>OBJ!B179</f>
        <v>9257141</v>
      </c>
      <c r="BE15" s="23" t="str">
        <f>VLOOKUP(BD15,CENY!$B$11:$G$1034,2,FALSE)</f>
        <v>AVANTECH YOU BOK INLAY V187 MM NL600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357.21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AVANTECH YOU SKLENĚNÁ VÝPLŇ 10 MM K BOKŮM INLAY NL500 MM</v>
      </c>
      <c r="AW16" s="24">
        <f>VLOOKUP(AU16,CENY!$B$11:$G$1034,3,FALSE)</f>
        <v>1</v>
      </c>
      <c r="AX16" s="24"/>
      <c r="AY16" s="25">
        <f>1*(Y20+Y22+Y28+Y30)</f>
        <v>0</v>
      </c>
      <c r="AZ16" s="451">
        <f t="shared" si="1"/>
        <v>0</v>
      </c>
      <c r="BA16" s="107">
        <f>VLOOKUP(AU16,CENY!$B$11:$M$2005,12,FALSE)</f>
        <v>783.93</v>
      </c>
      <c r="BB16" s="107">
        <f t="shared" si="0"/>
        <v>0</v>
      </c>
      <c r="BD16" s="441">
        <f>OBJ!B180</f>
        <v>9257142</v>
      </c>
      <c r="BE16" s="23" t="str">
        <f>VLOOKUP(BD16,CENY!$B$11:$G$1034,2,FALSE)</f>
        <v>AVANTECH YOU BOK INLAY V187 MM NL600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357.21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OBJ!B213</f>
        <v>9283182</v>
      </c>
      <c r="AV17" s="23" t="str">
        <f>VLOOKUP(AU17,CENY!$B$11:$G$1034,2,FALSE)</f>
        <v>AVANTECH YOU SKLENĚNÁ VÝPLŇ 10 MM K BOKŮM INLAY NL550 MM</v>
      </c>
      <c r="AW17" s="24">
        <f>VLOOKUP(AU17,CENY!$B$11:$G$1034,3,FALSE)</f>
        <v>1</v>
      </c>
      <c r="AX17" s="24"/>
      <c r="AY17" s="25">
        <f>1*(AA20+AA22+AA28+AA30)</f>
        <v>0</v>
      </c>
      <c r="AZ17" s="451">
        <f t="shared" si="1"/>
        <v>0</v>
      </c>
      <c r="BA17" s="107">
        <f>VLOOKUP(AU17,CENY!$B$11:$M$2005,12,FALSE)</f>
        <v>859.8</v>
      </c>
      <c r="BB17" s="107">
        <f t="shared" si="0"/>
        <v>0</v>
      </c>
      <c r="BD17" s="441">
        <f>OBJ!B181</f>
        <v>9257143</v>
      </c>
      <c r="BE17" s="23" t="str">
        <f>VLOOKUP(BD17,CENY!$B$11:$G$1034,2,FALSE)</f>
        <v>AVANTECH YOU BOK INLAY V187 MM NL650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369.25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OBJ!B214</f>
        <v>9283183</v>
      </c>
      <c r="AV18" s="23" t="str">
        <f>VLOOKUP(AU18,CENY!$B$11:$G$1034,2,FALSE)</f>
        <v>AVANTECH YOU SKLENĚNÁ VÝPLŇ 10 MM K BOKŮM INLAY NL600 MM</v>
      </c>
      <c r="AW18" s="24">
        <f>VLOOKUP(AU18,CENY!$B$11:$G$1034,3,FALSE)</f>
        <v>1</v>
      </c>
      <c r="AX18" s="24"/>
      <c r="AY18" s="25">
        <f>1*(AC20+AC22+AC28+AC30)</f>
        <v>0</v>
      </c>
      <c r="AZ18" s="451">
        <f t="shared" si="1"/>
        <v>0</v>
      </c>
      <c r="BA18" s="107">
        <f>VLOOKUP(AU18,CENY!$B$11:$M$2005,12,FALSE)</f>
        <v>935.66</v>
      </c>
      <c r="BB18" s="107">
        <f t="shared" si="0"/>
        <v>0</v>
      </c>
      <c r="BD18" s="441">
        <f>OBJ!B182</f>
        <v>9257144</v>
      </c>
      <c r="BE18" s="23" t="str">
        <f>VLOOKUP(BD18,CENY!$B$11:$G$1034,2,FALSE)</f>
        <v>AVANTECH YOU BOK INLAY V187 MM NL650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369.25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71"/>
      <c r="V19" s="472"/>
      <c r="W19" s="471"/>
      <c r="X19" s="472"/>
      <c r="Y19" s="471"/>
      <c r="Z19" s="472"/>
      <c r="AA19" s="471"/>
      <c r="AB19" s="472"/>
      <c r="AC19" s="471"/>
      <c r="AD19" s="472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OBJ!B215</f>
        <v>9283184</v>
      </c>
      <c r="AV19" s="23" t="str">
        <f>VLOOKUP(AU19,CENY!$B$11:$G$1034,2,FALSE)</f>
        <v>AVANTECH YOU SKLENĚNÁ VÝPLŇ 10 MM K BOKŮM INLAY NL650 MM</v>
      </c>
      <c r="AW19" s="24">
        <f>VLOOKUP(AU19,CENY!$B$11:$G$1034,3,FALSE)</f>
        <v>1</v>
      </c>
      <c r="AX19" s="24"/>
      <c r="AY19" s="25">
        <f>1*(AE22)</f>
        <v>0</v>
      </c>
      <c r="AZ19" s="451">
        <f t="shared" si="1"/>
        <v>0</v>
      </c>
      <c r="BA19" s="107">
        <f>VLOOKUP(AU19,CENY!$B$11:$M$2005,12,FALSE)</f>
        <v>1011.52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2">
        <v>9257257</v>
      </c>
      <c r="BE20" s="443" t="str">
        <f>VLOOKUP(BD20,CENY!$B$11:$G$1034,2,FALSE)</f>
        <v>AVANTECH YOU PŘÍCHYTKA ČELA PRO BOK INLAY, K NAŠROUBOVÁNÍ</v>
      </c>
      <c r="BF20" s="24">
        <f>VLOOKUP(BD20,CENY!$B$11:$G$1034,3,FALSE)</f>
        <v>200</v>
      </c>
      <c r="BG20" s="24"/>
      <c r="BH20" s="77">
        <f>2*(SUM(S19)+SUM(S20:AD20)+SUM(W22:AF22)+SUM(S27)+SUM(S28:AD28)+SUM(S30:AD30))</f>
        <v>0</v>
      </c>
      <c r="BI20" s="451">
        <f t="shared" si="2"/>
        <v>0</v>
      </c>
      <c r="BJ20" s="107">
        <f>VLOOKUP(BD20,CENY!$B$11:$M$2005,12,FALSE)</f>
        <v>53.15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71"/>
      <c r="P21" s="472"/>
      <c r="Q21" s="471"/>
      <c r="R21" s="472"/>
      <c r="S21" s="471"/>
      <c r="T21" s="472"/>
      <c r="U21" s="471"/>
      <c r="V21" s="472"/>
      <c r="W21" s="471"/>
      <c r="X21" s="472"/>
      <c r="Y21" s="471"/>
      <c r="Z21" s="472"/>
      <c r="AA21" s="471"/>
      <c r="AB21" s="472"/>
      <c r="AC21" s="471"/>
      <c r="AD21" s="472"/>
      <c r="AE21" s="471"/>
      <c r="AF21" s="472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 10KG PLNOVÝSUV 350 MM EB21 SILENT SYSTEM SADA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561.63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AVANTECH YOU STABILIZÁTOR ZAD V101/139/187/251 MM</v>
      </c>
      <c r="BF21" s="24">
        <f>VLOOKUP(BD21,CENY!$B$11:$G$1034,3,FALSE)</f>
        <v>200</v>
      </c>
      <c r="BG21" s="24"/>
      <c r="BH21" s="25">
        <f>2*(SUM(S19)+SUM(S20:AD20)+SUM(W22:AF22)+SUM(S27)+SUM(S28:AD28)+SUM(S30:AD30))</f>
        <v>0</v>
      </c>
      <c r="BI21" s="451">
        <f t="shared" si="2"/>
        <v>0</v>
      </c>
      <c r="BJ21" s="107">
        <f>VLOOKUP(BD21,CENY!$B$11:$M$2005,12,FALSE)</f>
        <v>13.29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 40KG PLNOVÝSUV 350 MM EB21 SILENT SYSTEM SADA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561.63</v>
      </c>
      <c r="BB23" s="107">
        <f t="shared" si="0"/>
        <v>0</v>
      </c>
      <c r="BD23" s="441">
        <f>OBJ!B209</f>
        <v>9283178</v>
      </c>
      <c r="BE23" s="23" t="str">
        <f>VLOOKUP(BD23,CENY!$B$11:$G$1034,2,FALSE)</f>
        <v>AVANTECH YOU SKLENĚNÁ VÝPLŇ 10 MM K BOKŮM INLAY NL350 MM</v>
      </c>
      <c r="BF23" s="24">
        <f>VLOOKUP(BD23,CENY!$B$11:$G$1034,3,FALSE)</f>
        <v>1</v>
      </c>
      <c r="BG23" s="24"/>
      <c r="BH23" s="25">
        <f>1*(S19+S20+S27+S28+S30)</f>
        <v>0</v>
      </c>
      <c r="BI23" s="451">
        <f t="shared" si="2"/>
        <v>0</v>
      </c>
      <c r="BJ23" s="107">
        <f>VLOOKUP(BD23,CENY!$B$11:$M$2005,12,FALSE)</f>
        <v>670.1</v>
      </c>
      <c r="BK23" s="107">
        <f t="shared" si="3"/>
        <v>0</v>
      </c>
    </row>
    <row r="24" spans="2:63" ht="14.4" customHeight="1">
      <c r="AU24" s="441">
        <f>OBJ!B239</f>
        <v>9257004</v>
      </c>
      <c r="AV24" s="23" t="str">
        <f>VLOOKUP(AU24,CENY!$B$11:$G$1034,2,FALSE)</f>
        <v>ACTRO YOU 40KG PLNOVÝSUV 400 MM EB21 SILENT SYSTEM SADA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567.85</v>
      </c>
      <c r="BB24" s="107">
        <f t="shared" si="0"/>
        <v>0</v>
      </c>
      <c r="BD24" s="441">
        <f>OBJ!B210</f>
        <v>9283179</v>
      </c>
      <c r="BE24" s="23" t="str">
        <f>VLOOKUP(BD24,CENY!$B$11:$G$1034,2,FALSE)</f>
        <v>AVANTECH YOU SKLENĚNÁ VÝPLŇ 10 MM K BOKŮM INLAY NL400 MM</v>
      </c>
      <c r="BF24" s="24">
        <f>VLOOKUP(BD24,CENY!$B$11:$G$1034,3,FALSE)</f>
        <v>1</v>
      </c>
      <c r="BG24" s="24"/>
      <c r="BH24" s="25">
        <f>1*(U20+U28+U30)</f>
        <v>0</v>
      </c>
      <c r="BI24" s="451">
        <f t="shared" si="2"/>
        <v>0</v>
      </c>
      <c r="BJ24" s="107">
        <f>VLOOKUP(BD24,CENY!$B$11:$M$2005,12,FALSE)</f>
        <v>708.04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 40KG PLNOVÝSUV 450 MM EB21 SILENT SYSTEM SADA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574.04</v>
      </c>
      <c r="BB25" s="107">
        <f t="shared" si="0"/>
        <v>0</v>
      </c>
      <c r="BD25" s="441">
        <f>OBJ!B211</f>
        <v>9283180</v>
      </c>
      <c r="BE25" s="23" t="str">
        <f>VLOOKUP(BD25,CENY!$B$11:$G$1034,2,FALSE)</f>
        <v>AVANTECH YOU SKLENĚNÁ VÝPLŇ 10 MM K BOKŮM INLAY NL450 MM</v>
      </c>
      <c r="BF25" s="24">
        <f>VLOOKUP(BD25,CENY!$B$11:$G$1034,3,FALSE)</f>
        <v>1</v>
      </c>
      <c r="BG25" s="24"/>
      <c r="BH25" s="25">
        <f>1*(W20+W22+W28+W30)</f>
        <v>0</v>
      </c>
      <c r="BI25" s="451">
        <f t="shared" si="2"/>
        <v>0</v>
      </c>
      <c r="BJ25" s="107">
        <f>VLOOKUP(BD25,CENY!$B$11:$M$2005,12,FALSE)</f>
        <v>745.99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 40KG PLNOVÝSUV 500 MM EB21 SILENT SYSTEM SADA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580.26</v>
      </c>
      <c r="BB26" s="107">
        <f t="shared" si="0"/>
        <v>0</v>
      </c>
      <c r="BD26" s="441">
        <f>OBJ!B212</f>
        <v>9283181</v>
      </c>
      <c r="BE26" s="23" t="str">
        <f>VLOOKUP(BD26,CENY!$B$11:$G$1034,2,FALSE)</f>
        <v>AVANTECH YOU SKLENĚNÁ VÝPLŇ 10 MM K BOKŮM INLAY NL500 MM</v>
      </c>
      <c r="BF26" s="24">
        <f>VLOOKUP(BD26,CENY!$B$11:$G$1034,3,FALSE)</f>
        <v>1</v>
      </c>
      <c r="BG26" s="24"/>
      <c r="BH26" s="25">
        <f>1*(Y20+Y22+Y28+Y30)</f>
        <v>0</v>
      </c>
      <c r="BI26" s="451">
        <f t="shared" si="2"/>
        <v>0</v>
      </c>
      <c r="BJ26" s="107">
        <f>VLOOKUP(BD26,CENY!$B$11:$M$2005,12,FALSE)</f>
        <v>783.93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71"/>
      <c r="V27" s="472"/>
      <c r="W27" s="471"/>
      <c r="X27" s="472"/>
      <c r="Y27" s="471"/>
      <c r="Z27" s="472"/>
      <c r="AA27" s="471"/>
      <c r="AB27" s="472"/>
      <c r="AC27" s="471"/>
      <c r="AD27" s="472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 40KG PLNOVÝSUV 550 MM EB21 SILENT SYSTEM SADA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613.44000000000005</v>
      </c>
      <c r="BB27" s="107">
        <f t="shared" si="0"/>
        <v>0</v>
      </c>
      <c r="BD27" s="441">
        <f>OBJ!B213</f>
        <v>9283182</v>
      </c>
      <c r="BE27" s="23" t="str">
        <f>VLOOKUP(BD27,CENY!$B$11:$G$1034,2,FALSE)</f>
        <v>AVANTECH YOU SKLENĚNÁ VÝPLŇ 10 MM K BOKŮM INLAY NL550 MM</v>
      </c>
      <c r="BF27" s="24">
        <f>VLOOKUP(BD27,CENY!$B$11:$G$1034,3,FALSE)</f>
        <v>1</v>
      </c>
      <c r="BG27" s="24"/>
      <c r="BH27" s="25">
        <f>1*(AA20+AA22+AA28+AA30)</f>
        <v>0</v>
      </c>
      <c r="BI27" s="451">
        <f t="shared" si="2"/>
        <v>0</v>
      </c>
      <c r="BJ27" s="107">
        <f>VLOOKUP(BD27,CENY!$B$11:$M$2005,12,FALSE)</f>
        <v>859.8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 40KG PLNOVÝSUV 600 MM EB21 SILENT SYSTÉM SADA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620.78</v>
      </c>
      <c r="BB28" s="107">
        <f t="shared" si="0"/>
        <v>0</v>
      </c>
      <c r="BD28" s="441">
        <f>OBJ!B214</f>
        <v>9283183</v>
      </c>
      <c r="BE28" s="23" t="str">
        <f>VLOOKUP(BD28,CENY!$B$11:$G$1034,2,FALSE)</f>
        <v>AVANTECH YOU SKLENĚNÁ VÝPLŇ 10 MM K BOKŮM INLAY NL600 MM</v>
      </c>
      <c r="BF28" s="24">
        <f>VLOOKUP(BD28,CENY!$B$11:$G$1034,3,FALSE)</f>
        <v>1</v>
      </c>
      <c r="BG28" s="24"/>
      <c r="BH28" s="25">
        <f>1*(AC20+AC22+AC28+AC30)</f>
        <v>0</v>
      </c>
      <c r="BI28" s="451">
        <f t="shared" si="2"/>
        <v>0</v>
      </c>
      <c r="BJ28" s="107">
        <f>VLOOKUP(BD28,CENY!$B$11:$M$2005,12,FALSE)</f>
        <v>935.66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71"/>
      <c r="P29" s="472"/>
      <c r="Q29" s="471"/>
      <c r="R29" s="472"/>
      <c r="S29" s="471"/>
      <c r="T29" s="472"/>
      <c r="U29" s="471"/>
      <c r="V29" s="472"/>
      <c r="W29" s="471"/>
      <c r="X29" s="472"/>
      <c r="Y29" s="471"/>
      <c r="Z29" s="472"/>
      <c r="AA29" s="471"/>
      <c r="AB29" s="472"/>
      <c r="AC29" s="471"/>
      <c r="AD29" s="472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OBJ!B215</f>
        <v>9283184</v>
      </c>
      <c r="BE29" s="23" t="str">
        <f>VLOOKUP(BD29,CENY!$B$11:$G$1034,2,FALSE)</f>
        <v>AVANTECH YOU SKLENĚNÁ VÝPLŇ 10 MM K BOKŮM INLAY NL650 MM</v>
      </c>
      <c r="BF29" s="24">
        <f>VLOOKUP(BD29,CENY!$B$11:$G$1034,3,FALSE)</f>
        <v>1</v>
      </c>
      <c r="BG29" s="24"/>
      <c r="BH29" s="25">
        <f>1*(AE22)</f>
        <v>0</v>
      </c>
      <c r="BI29" s="451">
        <f t="shared" si="2"/>
        <v>0</v>
      </c>
      <c r="BJ29" s="107">
        <f>VLOOKUP(BD29,CENY!$B$11:$M$2005,12,FALSE)</f>
        <v>1011.52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71"/>
      <c r="P30" s="472"/>
      <c r="Q30" s="471"/>
      <c r="R30" s="472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 70KG PLNOVÝSUV 450 MM EB21 SILENT SYSTEM SADA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691.9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OBJ!B262</f>
        <v>9257036</v>
      </c>
      <c r="AV31" s="23" t="str">
        <f>VLOOKUP(AU31,CENY!$B$11:$G$1034,2,FALSE)</f>
        <v>ACTRO YOU 70KG PLNOVÝSUV 500 MM EB21 SILENT SYSTEM SADA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698.13</v>
      </c>
      <c r="BB31" s="107">
        <f t="shared" si="0"/>
        <v>0</v>
      </c>
      <c r="BD31" s="441">
        <f>OBJ!B233</f>
        <v>9256965</v>
      </c>
      <c r="BE31" s="23" t="str">
        <f>VLOOKUP(BD31,CENY!$B$11:$G$1034,2,FALSE)</f>
        <v>ACTRO YOU 10KG PLNOVÝSUV 350 MM EB21 SILENT SYSTEM LEVÝ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243.93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OBJ!B263</f>
        <v>9257038</v>
      </c>
      <c r="AV32" s="23" t="str">
        <f>VLOOKUP(AU32,CENY!$B$11:$G$1034,2,FALSE)</f>
        <v>ACTRO YOU 70KG PLNOVÝSUV 550 MM EB21 SILENT SYSTEM SADA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731.3</v>
      </c>
      <c r="BB32" s="107">
        <f t="shared" si="0"/>
        <v>0</v>
      </c>
      <c r="BD32" s="441">
        <f>OBJ!B234</f>
        <v>9256966</v>
      </c>
      <c r="BE32" s="23" t="str">
        <f>VLOOKUP(BD32,CENY!$B$11:$G$1034,2,FALSE)</f>
        <v>ACTRO YOU 10KG PLNOVÝSUV 350 MM EB21 SILENT SYSTEM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OBJ!B264</f>
        <v>9257040</v>
      </c>
      <c r="AV33" s="23" t="str">
        <f>VLOOKUP(AU33,CENY!$B$11:$G$1034,2,FALSE)</f>
        <v>ACTRO YOU 70KG PLNOVÝSUV 600 MM EB21 SILENT SYSTEM SADA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798.31</v>
      </c>
      <c r="BB33" s="107">
        <f t="shared" si="0"/>
        <v>0</v>
      </c>
      <c r="BD33" s="441"/>
      <c r="BE33" s="23"/>
      <c r="BF33" s="24"/>
      <c r="BG33" s="24"/>
      <c r="BH33" s="25"/>
      <c r="BI33" s="451" t="str">
        <f t="shared" si="2"/>
        <v/>
      </c>
      <c r="BJ33" s="107"/>
      <c r="BK33" s="107" t="str">
        <f t="shared" si="3"/>
        <v/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OBJ!B265</f>
        <v>9257041</v>
      </c>
      <c r="AV34" s="23" t="str">
        <f>VLOOKUP(AU34,CENY!$B$11:$G$1034,2,FALSE)</f>
        <v>ACTRO YOU 70KG PLNOVÝSUV 650 MM EB21 SILENT SYSTEM SADA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828.55</v>
      </c>
      <c r="BB34" s="107">
        <f t="shared" si="0"/>
        <v>0</v>
      </c>
      <c r="BD34" s="441">
        <f>OBJ!B248</f>
        <v>9256980</v>
      </c>
      <c r="BE34" s="23" t="str">
        <f>VLOOKUP(BD34,CENY!$B$11:$G$1034,2,FALSE)</f>
        <v>ACTRO YOU 40KG PLNOVÝSUV 350 MM EB21 SILENT SYSTEM LEVÝ</v>
      </c>
      <c r="BF34" s="24">
        <f>VLOOKUP(BD34,CENY!$B$11:$G$1034,3,FALSE)</f>
        <v>10</v>
      </c>
      <c r="BG34" s="24"/>
      <c r="BH34" s="25">
        <f>AY23</f>
        <v>0</v>
      </c>
      <c r="BI34" s="451">
        <f t="shared" si="2"/>
        <v>0</v>
      </c>
      <c r="BJ34" s="107">
        <f>VLOOKUP(BD34,CENY!$B$11:$M$2005,12,FALSE)</f>
        <v>243.93</v>
      </c>
      <c r="BK34" s="107">
        <f t="shared" si="3"/>
        <v>0</v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OBJ!B249</f>
        <v>9256981</v>
      </c>
      <c r="BE35" s="23" t="str">
        <f>VLOOKUP(BD35,CENY!$B$11:$G$1034,2,FALSE)</f>
        <v>ACTRO YOU 40KG PLNOVÝSUV 350 MM EB21 SILENT SYSTEM PRAVÝ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243.93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PUSH TO OPEN SILENT ACTRO YOU / ACTRO 5D 10 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544.37</v>
      </c>
      <c r="BB36" s="107">
        <f t="shared" si="0"/>
        <v>0</v>
      </c>
      <c r="BD36" s="441">
        <f>OBJ!B250</f>
        <v>9256984</v>
      </c>
      <c r="BE36" s="23" t="str">
        <f>VLOOKUP(BD36,CENY!$B$11:$G$1034,2,FALSE)</f>
        <v>ACTRO YOU 40KG PLNOVÝSUV 400 MM EB21 SILENT SYSTEM LEVÝ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247.05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PUSH TO OPEN SILENT ACTRO YOU / ACTRO 5D 20 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>
        <f>OBJ!B251</f>
        <v>9256985</v>
      </c>
      <c r="BE37" s="23" t="str">
        <f>VLOOKUP(BD37,CENY!$B$11:$G$1034,2,FALSE)</f>
        <v>ACTRO YOU 40KG PLNOVÝSUV 400 MM EB21 SILENT SYSTEM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247.05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PUSH TO OPEN SILENT ACTRO YOU / ACTRO 5D 40 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544.37</v>
      </c>
      <c r="BB38" s="107">
        <f t="shared" si="0"/>
        <v>0</v>
      </c>
      <c r="BD38" s="441">
        <f>OBJ!B252</f>
        <v>9256988</v>
      </c>
      <c r="BE38" s="23" t="str">
        <f>VLOOKUP(BD38,CENY!$B$11:$G$1034,2,FALSE)</f>
        <v>ACTRO YOU 40KG PLNOVÝSUV 450 MM EB21 SILENT SYSTEM LEVÝ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250.14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PUSH TO OPEN SILENT ACTRO YOU / ACTRO 5D 70 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544.37</v>
      </c>
      <c r="BB39" s="107">
        <f t="shared" si="0"/>
        <v>0</v>
      </c>
      <c r="BD39" s="441">
        <f>OBJ!B253</f>
        <v>9256989</v>
      </c>
      <c r="BE39" s="23" t="str">
        <f>VLOOKUP(BD39,CENY!$B$11:$G$1034,2,FALSE)</f>
        <v>ACTRO YOU 40KG PLNOVÝSUV 450 MM EB21 SILENT SYSTEM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250.14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SYNCHRONIZAČNÍ TYČ 2000 MM</v>
      </c>
      <c r="AW40" s="24">
        <f>VLOOKUP(AU40,CENY!$B$11:$G$1034,3,FALSE)</f>
        <v>100</v>
      </c>
      <c r="AX40" s="24"/>
      <c r="AY40" s="25">
        <f>IF(SUM(AN19:AO22)+SUM(AN27:AO29)+SUM(S30:AD30)=0,0,AY83)</f>
        <v>0</v>
      </c>
      <c r="AZ40" s="451">
        <f t="shared" si="1"/>
        <v>0</v>
      </c>
      <c r="BA40" s="107">
        <f>VLOOKUP(AU40,CENY!$B$11:$M$2005,12,FALSE)</f>
        <v>144.30000000000001</v>
      </c>
      <c r="BB40" s="107">
        <f t="shared" si="0"/>
        <v>0</v>
      </c>
      <c r="BD40" s="441">
        <f>OBJ!B254</f>
        <v>9256992</v>
      </c>
      <c r="BE40" s="23" t="str">
        <f>VLOOKUP(BD40,CENY!$B$11:$G$1034,2,FALSE)</f>
        <v>ACTRO YOU 40KG PLNOVÝSUV 500 MM EB21 SILENT SYSTEM LEVÝ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253.25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OBJ!B255</f>
        <v>9256993</v>
      </c>
      <c r="BE41" s="23" t="str">
        <f>VLOOKUP(BD41,CENY!$B$11:$G$1034,2,FALSE)</f>
        <v>ACTRO YOU 40KG PLNOVÝSUV 500 MM EB21 SILENT SYSTEM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253.25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 10 KG PLNOVÝSUV 350 MM EB21 SILENT SYSTEM SADA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421.61</v>
      </c>
      <c r="BB42" s="107">
        <f t="shared" si="0"/>
        <v>0</v>
      </c>
      <c r="BD42" s="441">
        <f>OBJ!B256</f>
        <v>9256996</v>
      </c>
      <c r="BE42" s="23" t="str">
        <f>VLOOKUP(BD42,CENY!$B$11:$G$1034,2,FALSE)</f>
        <v>ACTRO YOU 40KG PLNOVÝSUV 550 MM EB21 SILENT SYSTEM LEVÝ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269.83999999999997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OBJ!B257</f>
        <v>9256997</v>
      </c>
      <c r="BE43" s="23" t="str">
        <f>VLOOKUP(BD43,CENY!$B$11:$G$1034,2,FALSE)</f>
        <v>ACTRO YOU 40KG PLNOVÝSUV 550 MM EB21 SILENT SYSTEM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269.83999999999997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 PLNOVÝSUV 350 MM EB21 SILENT SYSTEM SADA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376.77</v>
      </c>
      <c r="BB44" s="107">
        <f t="shared" si="0"/>
        <v>0</v>
      </c>
      <c r="BD44" s="441">
        <f>OBJ!B258</f>
        <v>9268679</v>
      </c>
      <c r="BE44" s="23" t="str">
        <f>VLOOKUP(BD44,CENY!$B$11:$G$1034,2,FALSE)</f>
        <v>ACTRO YOU 40KG PLNOVÝSUV 600 MM EB21 SILENT SYSTÉM LEVÝ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273.51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 PLNOVÝSUV 400 MM EB21 SILENT SYSTEM SADA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384.24</v>
      </c>
      <c r="BB45" s="107">
        <f t="shared" si="0"/>
        <v>0</v>
      </c>
      <c r="BD45" s="441">
        <f>OBJ!B259</f>
        <v>9268680</v>
      </c>
      <c r="BE45" s="23" t="str">
        <f>VLOOKUP(BD45,CENY!$B$11:$G$1034,2,FALSE)</f>
        <v>ACTRO YOU 40KG PLNOVÝSUV 600 MM EB21 SILENT SYSTÉM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273.51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 PLNOVÝSUV 450 MM EB21 SILENT SYSTEM SADA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391.72</v>
      </c>
      <c r="BB46" s="107">
        <f t="shared" si="0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2:63" ht="14.4" customHeight="1">
      <c r="AU47" s="441">
        <f>OBJ!B302</f>
        <v>9256892</v>
      </c>
      <c r="AV47" s="23" t="str">
        <f>VLOOKUP(AU47,CENY!$B$11:$G$1034,2,FALSE)</f>
        <v>QUADRO YOU PLNOVÝSUV 500 MM EB21 SILENT SYSTEM SADA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399.19</v>
      </c>
      <c r="BB47" s="107">
        <f t="shared" si="0"/>
        <v>0</v>
      </c>
      <c r="BD47" s="441">
        <f>OBJ!B266</f>
        <v>9257013</v>
      </c>
      <c r="BE47" s="23" t="str">
        <f>VLOOKUP(BD47,CENY!$B$11:$G$1034,2,FALSE)</f>
        <v>ACTRO YOU 70KG PLNOVÝSUV 450 MM EB21 SILENT SYSTEM LEVÝ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309.07</v>
      </c>
      <c r="BK47" s="107">
        <f t="shared" si="3"/>
        <v>0</v>
      </c>
    </row>
    <row r="48" spans="2:63" ht="14.4" customHeight="1">
      <c r="AU48" s="441">
        <f>OBJ!B303</f>
        <v>9256894</v>
      </c>
      <c r="AV48" s="23" t="str">
        <f>VLOOKUP(AU48,CENY!$B$11:$G$1034,2,FALSE)</f>
        <v>QUADRO YOU PLNOVÝSUV 550 MM EB21 SILENT SYSTEM SADA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412.64</v>
      </c>
      <c r="BB48" s="107">
        <f t="shared" si="0"/>
        <v>0</v>
      </c>
      <c r="BD48" s="441">
        <f>OBJ!B267</f>
        <v>9257014</v>
      </c>
      <c r="BE48" s="23" t="str">
        <f>VLOOKUP(BD48,CENY!$B$11:$G$1034,2,FALSE)</f>
        <v>ACTRO YOU 70KG PLNOVÝSUV 450 MM EB21 SILENT SYSTEM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309.07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 PLNOVÝSUV 600 MM EB21 SILENT SYSTEM SADA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420.11</v>
      </c>
      <c r="BB49" s="107">
        <f t="shared" si="0"/>
        <v>0</v>
      </c>
      <c r="BD49" s="441">
        <f>OBJ!B268</f>
        <v>9257017</v>
      </c>
      <c r="BE49" s="23" t="str">
        <f>VLOOKUP(BD49,CENY!$B$11:$G$1034,2,FALSE)</f>
        <v>ACTRO YOU 70KG PLNOVÝSUV 500 MM EB21 SILENT SYSTEM LEVÝ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312.18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OBJ!B269</f>
        <v>9257018</v>
      </c>
      <c r="BE50" s="23" t="str">
        <f>VLOOKUP(BD50,CENY!$B$11:$G$1034,2,FALSE)</f>
        <v>ACTRO YOU 70KG PLNOVÝSUV 500 MM EB21 SILENT SYSTEM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312.18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PUSH TO OPEN SILENT QUADRO YOU 10 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544.37</v>
      </c>
      <c r="BB51" s="107">
        <f t="shared" si="0"/>
        <v>0</v>
      </c>
      <c r="BD51" s="441">
        <f>OBJ!B270</f>
        <v>9257021</v>
      </c>
      <c r="BE51" s="23" t="str">
        <f>VLOOKUP(BD51,CENY!$B$11:$G$1034,2,FALSE)</f>
        <v>ACTRO YOU 70KG PLNOVÝSUV 550 MM EB21 SILENT SYSTEM LEVÝ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328.77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PUSH TO OPEN SILENT QUADRO YOU 20 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544.37</v>
      </c>
      <c r="BB52" s="107">
        <f t="shared" si="0"/>
        <v>0</v>
      </c>
      <c r="BD52" s="441">
        <f>OBJ!B271</f>
        <v>9257022</v>
      </c>
      <c r="BE52" s="23" t="str">
        <f>VLOOKUP(BD52,CENY!$B$11:$G$1034,2,FALSE)</f>
        <v>ACTRO YOU 70KG PLNOVÝSUV 550 MM EB21 SILENT SYSTEM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328.77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PUSH TO OPEN SILENT QUADRO YOU 30 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544.37</v>
      </c>
      <c r="BB53" s="107">
        <f t="shared" si="0"/>
        <v>0</v>
      </c>
      <c r="BD53" s="441">
        <f>OBJ!B272</f>
        <v>9257025</v>
      </c>
      <c r="BE53" s="23" t="str">
        <f>VLOOKUP(BD53,CENY!$B$11:$G$1034,2,FALSE)</f>
        <v>ACTRO YOU 70KG PLNOVÝSUV 600 MM EB21 SILENT SYSTEM LEVÝ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362.28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OBJ!B273</f>
        <v>9257026</v>
      </c>
      <c r="BE54" s="23" t="str">
        <f>VLOOKUP(BD54,CENY!$B$11:$G$1034,2,FALSE)</f>
        <v>ACTRO YOU 70KG PLNOVÝSUV 600 MM EB21 SILENT SYSTEM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362.28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 PLNOVÝSUV 350 MM EB21 PUSH TO OPEN SADA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421.61</v>
      </c>
      <c r="BB55" s="107">
        <f t="shared" si="0"/>
        <v>0</v>
      </c>
      <c r="BD55" s="441">
        <f>OBJ!B274</f>
        <v>9257027</v>
      </c>
      <c r="BE55" s="23" t="str">
        <f>VLOOKUP(BD55,CENY!$B$11:$G$1034,2,FALSE)</f>
        <v>ACTRO YOU 70KG PLNOVÝSUV 650 MM EB21 SILENT SYSTEM LEVÝ</v>
      </c>
      <c r="BF55" s="24">
        <f>VLOOKUP(BD55,CENY!$B$11:$G$1034,3,FALSE)</f>
        <v>5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377.39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 PLNOVÝSUV 400 MM EB21 PUSH TO OPEN SADA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429.08</v>
      </c>
      <c r="BB56" s="107">
        <f t="shared" si="0"/>
        <v>0</v>
      </c>
      <c r="BD56" s="441">
        <f>OBJ!B275</f>
        <v>9257028</v>
      </c>
      <c r="BE56" s="23" t="str">
        <f>VLOOKUP(BD56,CENY!$B$11:$G$1034,2,FALSE)</f>
        <v>ACTRO YOU 70KG PLNOVÝSUV 650 MM EB21 SILENT SYSTEM PRAVÝ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377.39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 PLNOVÝSUV 450 MM EB21 PUSH TO OPEN SADA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436.55</v>
      </c>
      <c r="BB57" s="107">
        <f t="shared" si="0"/>
        <v>0</v>
      </c>
      <c r="BD57" s="441"/>
      <c r="BE57" s="23"/>
      <c r="BF57" s="24"/>
      <c r="BG57" s="24"/>
      <c r="BH57" s="25"/>
      <c r="BI57" s="451" t="str">
        <f t="shared" si="2"/>
        <v/>
      </c>
      <c r="BJ57" s="107"/>
      <c r="BK57" s="107" t="str">
        <f t="shared" si="3"/>
        <v/>
      </c>
    </row>
    <row r="58" spans="47:63" ht="14.4" customHeight="1">
      <c r="AU58" s="441">
        <f>OBJ!B331</f>
        <v>9256937</v>
      </c>
      <c r="AV58" s="23" t="str">
        <f>VLOOKUP(AU58,CENY!$B$11:$G$1034,2,FALSE)</f>
        <v>QUADRO YOU PLNOVÝSUV 500 MM EB21 PUSH TO OPEN SADA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444.02</v>
      </c>
      <c r="BB58" s="107">
        <f t="shared" si="0"/>
        <v>0</v>
      </c>
      <c r="BD58" s="441">
        <f>OBJ!B277</f>
        <v>9257890</v>
      </c>
      <c r="BE58" s="23" t="str">
        <f>VLOOKUP(BD58,CENY!$B$11:$G$1034,2,FALSE)</f>
        <v>PUSH TO OPEN SILENT ACTRO YOU / ACTRO 5D 10 KG</v>
      </c>
      <c r="BF58" s="24">
        <f>VLOOKUP(BD58,CENY!$B$11:$G$1034,3,FALSE)</f>
        <v>1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544.37</v>
      </c>
      <c r="BK58" s="107">
        <f t="shared" si="3"/>
        <v>0</v>
      </c>
    </row>
    <row r="59" spans="47:63" ht="14.4" customHeight="1">
      <c r="AU59" s="441">
        <f>OBJ!B332</f>
        <v>9256939</v>
      </c>
      <c r="AV59" s="23" t="str">
        <f>VLOOKUP(AU59,CENY!$B$11:$G$1034,2,FALSE)</f>
        <v>QUADRO YOU PLNOVÝSUV 550 MM EB21 PUSH TO OPEN SADA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457.48</v>
      </c>
      <c r="BB59" s="107">
        <f t="shared" si="0"/>
        <v>0</v>
      </c>
      <c r="BD59" s="441">
        <f>OBJ!B278</f>
        <v>9257891</v>
      </c>
      <c r="BE59" s="23" t="str">
        <f>VLOOKUP(BD59,CENY!$B$11:$G$1034,2,FALSE)</f>
        <v>PUSH TO OPEN SILENT ACTRO YOU / ACTRO 5D 20 KG</v>
      </c>
      <c r="BF59" s="24">
        <f>VLOOKUP(BD59,CENY!$B$11:$G$1034,3,FALSE)</f>
        <v>1</v>
      </c>
      <c r="BG59" s="24"/>
      <c r="BH59" s="25">
        <f>AY37</f>
        <v>0</v>
      </c>
      <c r="BI59" s="451">
        <f t="shared" si="2"/>
        <v>0</v>
      </c>
      <c r="BJ59" s="107">
        <f>VLOOKUP(BD59,CENY!$B$11:$M$2005,12,FALSE)</f>
        <v>544.37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 PLNOVÝSUV 600 MM EB21 PUSH TO OPEN SADA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464.95</v>
      </c>
      <c r="BB60" s="107">
        <f t="shared" si="0"/>
        <v>0</v>
      </c>
      <c r="BD60" s="441">
        <f>OBJ!B279</f>
        <v>9257892</v>
      </c>
      <c r="BE60" s="23" t="str">
        <f>VLOOKUP(BD60,CENY!$B$11:$G$1034,2,FALSE)</f>
        <v>PUSH TO OPEN SILENT ACTRO YOU / ACTRO 5D 40 KG</v>
      </c>
      <c r="BF60" s="24">
        <f>VLOOKUP(BD60,CENY!$B$11:$G$1034,3,FALSE)</f>
        <v>1</v>
      </c>
      <c r="BG60" s="24"/>
      <c r="BH60" s="25">
        <f>AY38</f>
        <v>0</v>
      </c>
      <c r="BI60" s="451">
        <f t="shared" si="2"/>
        <v>0</v>
      </c>
      <c r="BJ60" s="107">
        <f>VLOOKUP(BD60,CENY!$B$11:$M$2005,12,FALSE)</f>
        <v>544.37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OBJ!B280</f>
        <v>9257893</v>
      </c>
      <c r="BE61" s="23" t="str">
        <f>VLOOKUP(BD61,CENY!$B$11:$G$1034,2,FALSE)</f>
        <v>PUSH TO OPEN SILENT ACTRO YOU / ACTRO 5D 70 KG</v>
      </c>
      <c r="BF61" s="24">
        <f>VLOOKUP(BD61,CENY!$B$11:$G$1034,3,FALSE)</f>
        <v>1</v>
      </c>
      <c r="BG61" s="24"/>
      <c r="BH61" s="25">
        <f>AY39</f>
        <v>0</v>
      </c>
      <c r="BI61" s="451">
        <f t="shared" si="2"/>
        <v>0</v>
      </c>
      <c r="BJ61" s="107">
        <f>VLOOKUP(BD61,CENY!$B$11:$M$2005,12,FALSE)</f>
        <v>544.37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13.07</v>
      </c>
      <c r="BB62" s="107">
        <f t="shared" si="0"/>
        <v>0</v>
      </c>
      <c r="BD62" s="441">
        <f>OBJ!B281</f>
        <v>9236718</v>
      </c>
      <c r="BE62" s="23" t="str">
        <f>VLOOKUP(BD62,CENY!$B$11:$G$1034,2,FALSE)</f>
        <v>PUSH TO OPEN SYNCHRONIZAČNÍ TYČ 2000 MM</v>
      </c>
      <c r="BF62" s="24">
        <f>VLOOKUP(BD62,CENY!$B$11:$G$1034,3,FALSE)</f>
        <v>100</v>
      </c>
      <c r="BG62" s="24"/>
      <c r="BH62" s="25">
        <f>AY40</f>
        <v>0</v>
      </c>
      <c r="BI62" s="451">
        <f t="shared" si="2"/>
        <v>0</v>
      </c>
      <c r="BJ62" s="107">
        <f>VLOOKUP(BD62,CENY!$B$11:$M$2005,12,FALSE)</f>
        <v>144.30000000000001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0"/>
        <v/>
      </c>
      <c r="BD63" s="441"/>
      <c r="BE63" s="23"/>
      <c r="BF63" s="24"/>
      <c r="BG63" s="24"/>
      <c r="BH63" s="25"/>
      <c r="BI63" s="451" t="str">
        <f t="shared" si="2"/>
        <v/>
      </c>
      <c r="BJ63" s="107"/>
      <c r="BK63" s="107" t="str">
        <f t="shared" si="3"/>
        <v/>
      </c>
    </row>
    <row r="64" spans="47:63" ht="14.4" customHeight="1">
      <c r="AU64" s="442">
        <v>9257258</v>
      </c>
      <c r="AV64" s="443" t="str">
        <f>VLOOKUP(AU64,CENY!$B$11:$G$1034,2,FALSE)</f>
        <v>AVANTECH YOU PŘÍCHYTKA ČELA PRO BOK INLAY, K ZALISOVÁNÍ</v>
      </c>
      <c r="AW64" s="24">
        <f>VLOOKUP(AU64,CENY!$B$11:$G$1034,3,FALSE)</f>
        <v>200</v>
      </c>
      <c r="AX64" s="24"/>
      <c r="AY64" s="77">
        <v>0</v>
      </c>
      <c r="AZ64" s="451">
        <f t="shared" si="1"/>
        <v>0</v>
      </c>
      <c r="BA64" s="107">
        <f>VLOOKUP(AU64,CENY!$B$11:$M$2005,12,FALSE)</f>
        <v>53.8</v>
      </c>
      <c r="BB64" s="107">
        <f t="shared" si="0"/>
        <v>0</v>
      </c>
      <c r="BD64" s="441">
        <f>OBJ!B294</f>
        <v>9256950</v>
      </c>
      <c r="BE64" s="23" t="str">
        <f>VLOOKUP(BD64,CENY!$B$11:$G$1034,2,FALSE)</f>
        <v>QUADRO YOU 10 KG PLNOVÝSUV 350 MM EB21 SILENT SYSTEM LEVÝ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176.43</v>
      </c>
      <c r="BK64" s="107">
        <f t="shared" si="3"/>
        <v>0</v>
      </c>
    </row>
    <row r="65" spans="1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>
        <f>OBJ!B295</f>
        <v>9256951</v>
      </c>
      <c r="BE65" s="23" t="str">
        <f>VLOOKUP(BD65,CENY!$B$11:$G$1034,2,FALSE)</f>
        <v>QUADRO YOU 10 KG PLNOVÝSUV 350 MM EB21 SILENT SYSTEM PRAVÝ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176.43</v>
      </c>
      <c r="BK65" s="107">
        <f t="shared" si="3"/>
        <v>0</v>
      </c>
    </row>
    <row r="66" spans="1:63" ht="12.9" customHeight="1" thickBot="1">
      <c r="A66" s="633"/>
      <c r="AU66" s="441">
        <f>OBJ!B207</f>
        <v>0</v>
      </c>
      <c r="AV66" s="23" t="e">
        <f>VLOOKUP(AU66,CENY!$B$11:$G$1034,2,FALSE)</f>
        <v>#N/A</v>
      </c>
      <c r="AW66" s="24" t="e">
        <f>VLOOKUP(AU66,CENY!$B$11:$G$1034,3,FALSE)</f>
        <v>#N/A</v>
      </c>
      <c r="AX66" s="24"/>
      <c r="AY66" s="77">
        <f>IF(FORM!AM21&lt;&gt;FORM!AW16,(2*(+SUM(O19:T19)+SUM(O20:AD20)+SUM(W22:AF22)+SUM(O27:T27)+SUM(O28:AD28)+SUM(O30:AD30))),0)</f>
        <v>0</v>
      </c>
      <c r="AZ66" s="451">
        <f t="shared" si="1"/>
        <v>0</v>
      </c>
      <c r="BA66" s="449" t="str">
        <f>IF(AU66=0,"",VLOOKUP(AU66,CENY!$B$11:$M$2005,12,FALSE))</f>
        <v/>
      </c>
      <c r="BB66" s="107" t="str">
        <f t="shared" si="0"/>
        <v/>
      </c>
      <c r="BD66" s="441"/>
      <c r="BE66" s="23"/>
      <c r="BF66" s="24"/>
      <c r="BG66" s="24"/>
      <c r="BH66" s="25"/>
      <c r="BI66" s="451" t="str">
        <f t="shared" si="2"/>
        <v/>
      </c>
      <c r="BJ66" s="107"/>
      <c r="BK66" s="107" t="str">
        <f t="shared" si="3"/>
        <v/>
      </c>
    </row>
    <row r="67" spans="1:63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OBJ!B309</f>
        <v>9256860</v>
      </c>
      <c r="BE67" s="23" t="str">
        <f>VLOOKUP(BD67,CENY!$B$11:$G$1034,2,FALSE)</f>
        <v>QUADRO YOU PLNOVÝSUV 350 MM EB21 SILENT SYSTEM LEVÝ</v>
      </c>
      <c r="BF67" s="24">
        <f>VLOOKUP(BD67,CENY!$B$11:$G$1034,3,FALSE)</f>
        <v>20</v>
      </c>
      <c r="BG67" s="24"/>
      <c r="BH67" s="25">
        <f>AY44</f>
        <v>0</v>
      </c>
      <c r="BI67" s="451">
        <f t="shared" si="2"/>
        <v>0</v>
      </c>
      <c r="BJ67" s="107">
        <f>VLOOKUP(BD67,CENY!$B$11:$M$2005,12,FALSE)</f>
        <v>176.43</v>
      </c>
      <c r="BK67" s="107">
        <f t="shared" si="3"/>
        <v>0</v>
      </c>
    </row>
    <row r="68" spans="1:63" ht="12.9" customHeight="1">
      <c r="A68" s="633"/>
      <c r="AU68" s="441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si="0"/>
        <v/>
      </c>
      <c r="BD68" s="441">
        <f>OBJ!B310</f>
        <v>9256861</v>
      </c>
      <c r="BE68" s="23" t="str">
        <f>VLOOKUP(BD68,CENY!$B$11:$G$1034,2,FALSE)</f>
        <v>QUADRO YOU PLNOVÝSUV 350 MM EB21 SILENT SYSTEM PRAVÝ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176.43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 Inlay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ref="BB69:BB112" si="4">IF(BA69="","",BA69*AY69)</f>
        <v/>
      </c>
      <c r="BD69" s="441">
        <f>OBJ!B311</f>
        <v>9256864</v>
      </c>
      <c r="BE69" s="23" t="str">
        <f>VLOOKUP(BD69,CENY!$B$11:$G$1034,2,FALSE)</f>
        <v>QUADRO YOU PLNOVÝSUV 400 MM EB21 SILENT SYSTEM LEVÝ</v>
      </c>
      <c r="BF69" s="24">
        <f>VLOOKUP(BD69,CENY!$B$11:$G$1034,3,FALSE)</f>
        <v>20</v>
      </c>
      <c r="BG69" s="24"/>
      <c r="BH69" s="25">
        <f>AY45</f>
        <v>0</v>
      </c>
      <c r="BI69" s="451">
        <f t="shared" si="2"/>
        <v>0</v>
      </c>
      <c r="BJ69" s="107">
        <f>VLOOKUP(BD69,CENY!$B$11:$M$2005,12,FALSE)</f>
        <v>180.17</v>
      </c>
      <c r="BK69" s="107">
        <f t="shared" si="3"/>
        <v>0</v>
      </c>
    </row>
    <row r="70" spans="1:63" ht="14.4" customHeight="1">
      <c r="A70" s="633"/>
      <c r="AU70" s="441"/>
      <c r="AV70" s="23"/>
      <c r="AW70" s="24"/>
      <c r="AX70" s="24"/>
      <c r="AY70" s="25"/>
      <c r="AZ70" s="451" t="str">
        <f t="shared" ref="AZ70:AZ115" si="5">IF(AY70="","",IF($AW$4=1,AY70,0))</f>
        <v/>
      </c>
      <c r="BA70" s="107"/>
      <c r="BB70" s="107" t="str">
        <f t="shared" si="4"/>
        <v/>
      </c>
      <c r="BD70" s="441">
        <f>OBJ!B312</f>
        <v>9256865</v>
      </c>
      <c r="BE70" s="23" t="str">
        <f>VLOOKUP(BD70,CENY!$B$11:$G$1034,2,FALSE)</f>
        <v>QUADRO YOU PLNOVÝSUV 400 MM EB21 SILENT SYSTEM PRAVÝ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ref="BI70:BI115" si="6">IF(BH70="","",IF($AW$4=0,BH70,0))</f>
        <v>0</v>
      </c>
      <c r="BJ70" s="107">
        <f>VLOOKUP(BD70,CENY!$B$11:$M$2005,12,FALSE)</f>
        <v>180.17</v>
      </c>
      <c r="BK70" s="107">
        <f t="shared" ref="BK70:BK115" si="7">IF(BJ70="","",BJ70*BH70)</f>
        <v>0</v>
      </c>
    </row>
    <row r="71" spans="1:63" ht="14.4" customHeight="1">
      <c r="A71" s="633"/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OBJ!B313</f>
        <v>9256868</v>
      </c>
      <c r="BE71" s="23" t="str">
        <f>VLOOKUP(BD71,CENY!$B$11:$G$1034,2,FALSE)</f>
        <v>QUADRO YOU PLNOVÝSUV 450 MM EB21 SILENT SYSTEM LEVÝ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183.9</v>
      </c>
      <c r="BK71" s="107">
        <f t="shared" si="7"/>
        <v>0</v>
      </c>
    </row>
    <row r="72" spans="1:63" ht="14.4" customHeight="1">
      <c r="A72" s="633"/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OBJ!B314</f>
        <v>9256869</v>
      </c>
      <c r="BE72" s="23" t="str">
        <f>VLOOKUP(BD72,CENY!$B$11:$G$1034,2,FALSE)</f>
        <v>QUADRO YOU PLNOVÝSUV 450 MM EB21 SILENT SYSTEM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183.9</v>
      </c>
      <c r="BK72" s="107">
        <f t="shared" si="7"/>
        <v>0</v>
      </c>
    </row>
    <row r="73" spans="1:63" ht="14.4" customHeight="1">
      <c r="A73" s="633"/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OBJ!B315</f>
        <v>9256872</v>
      </c>
      <c r="BE73" s="23" t="str">
        <f>VLOOKUP(BD73,CENY!$B$11:$G$1034,2,FALSE)</f>
        <v>QUADRO YOU PLNOVÝSUV 500 MM EB21 SILENT SYSTEM LEVÝ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187.64</v>
      </c>
      <c r="BK73" s="107">
        <f t="shared" si="7"/>
        <v>0</v>
      </c>
    </row>
    <row r="74" spans="1:63" ht="14.4" customHeight="1">
      <c r="A74" s="633"/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OBJ!B316</f>
        <v>9256873</v>
      </c>
      <c r="BE74" s="23" t="str">
        <f>VLOOKUP(BD74,CENY!$B$11:$G$1034,2,FALSE)</f>
        <v>QUADRO YOU PLNOVÝSUV 500 MM EB21 SILENT SYSTEM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187.64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OBJ!B317</f>
        <v>9256876</v>
      </c>
      <c r="BE75" s="23" t="str">
        <f>VLOOKUP(BD75,CENY!$B$11:$G$1034,2,FALSE)</f>
        <v>QUADRO YOU PLNOVÝSUV 550 MM EB21 SILENT SYSTEM LEVÝ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194.36</v>
      </c>
      <c r="BK75" s="107">
        <f t="shared" si="7"/>
        <v>0</v>
      </c>
    </row>
    <row r="76" spans="1:63" ht="14.4" customHeight="1">
      <c r="A76" s="633"/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OBJ!B318</f>
        <v>9256877</v>
      </c>
      <c r="BE76" s="23" t="str">
        <f>VLOOKUP(BD76,CENY!$B$11:$G$1034,2,FALSE)</f>
        <v>QUADRO YOU PLNOVÝSUV 550 MM EB21 SILENT SYSTEM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194.36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OBJ!B319</f>
        <v>9256880</v>
      </c>
      <c r="BE77" s="23" t="str">
        <f>VLOOKUP(BD77,CENY!$B$11:$G$1034,2,FALSE)</f>
        <v>QUADRO YOU PLNOVÝSUV 600 MM EB21 SILENT SYSTEM LEVÝ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198.1</v>
      </c>
      <c r="BK77" s="107">
        <f t="shared" si="7"/>
        <v>0</v>
      </c>
    </row>
    <row r="78" spans="1:63" ht="14.4" customHeight="1">
      <c r="A78" s="633"/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OBJ!B320</f>
        <v>9256881</v>
      </c>
      <c r="BE78" s="23" t="str">
        <f>VLOOKUP(BD78,CENY!$B$11:$G$1034,2,FALSE)</f>
        <v>QUADRO YOU PLNOVÝSUV 600 MM EB21 SILENT SYSTEM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198.1</v>
      </c>
      <c r="BK78" s="107">
        <f t="shared" si="7"/>
        <v>0</v>
      </c>
    </row>
    <row r="79" spans="1:63" ht="14.4" customHeight="1">
      <c r="A79" s="633"/>
      <c r="O79" s="656">
        <f>CEILING(O84/FLOOR(2000/O85,1),1)</f>
        <v>0</v>
      </c>
      <c r="P79" s="656"/>
      <c r="Q79" s="656">
        <f>CEILING(Q84/FLOOR(2000/Q85,1),1)</f>
        <v>0</v>
      </c>
      <c r="R79" s="656"/>
      <c r="S79" s="656">
        <f>CEILING(S84/FLOOR(2000/S85,1),1)</f>
        <v>0</v>
      </c>
      <c r="T79" s="656"/>
      <c r="U79" s="656">
        <f>CEILING(U84/FLOOR(2000/U85,1),1)</f>
        <v>0</v>
      </c>
      <c r="V79" s="656"/>
      <c r="W79" s="656"/>
      <c r="X79" s="656"/>
      <c r="Y79" s="656"/>
      <c r="Z79" s="656"/>
      <c r="AA79" s="656"/>
      <c r="AB79" s="656"/>
      <c r="AC79" s="656">
        <f>CEILING(AC84/FLOOR(2000/AC85,1),1)</f>
        <v>0</v>
      </c>
      <c r="AD79" s="656"/>
      <c r="AE79" s="656">
        <f>CEILING(AE84/FLOOR(2000/AE85,1),1)</f>
        <v>0</v>
      </c>
      <c r="AF79" s="656"/>
      <c r="AG79" s="656">
        <f>CEILING(AG84/FLOOR(2000/AG85,1),1)</f>
        <v>0</v>
      </c>
      <c r="AH79" s="656"/>
      <c r="AI79" s="656">
        <f>CEILING(AI84/FLOOR(2000/AI85,1),1)</f>
        <v>0</v>
      </c>
      <c r="AJ79" s="656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/>
      <c r="BE79" s="23"/>
      <c r="BF79" s="24"/>
      <c r="BG79" s="24"/>
      <c r="BH79" s="25"/>
      <c r="BI79" s="451" t="str">
        <f t="shared" si="6"/>
        <v/>
      </c>
      <c r="BJ79" s="107"/>
      <c r="BK79" s="107" t="str">
        <f t="shared" si="7"/>
        <v/>
      </c>
    </row>
    <row r="80" spans="1:63" ht="14.4" customHeight="1">
      <c r="A80" s="633"/>
      <c r="O80" s="656">
        <f t="shared" ref="O80:AI80" si="8">CEILING(O84/FLOOR(2000/O85,1),1)</f>
        <v>0</v>
      </c>
      <c r="P80" s="656"/>
      <c r="Q80" s="656">
        <f t="shared" si="8"/>
        <v>0</v>
      </c>
      <c r="R80" s="656"/>
      <c r="S80" s="656">
        <f t="shared" si="8"/>
        <v>0</v>
      </c>
      <c r="T80" s="656"/>
      <c r="U80" s="656">
        <f t="shared" si="8"/>
        <v>0</v>
      </c>
      <c r="V80" s="656"/>
      <c r="W80" s="656">
        <f t="shared" si="8"/>
        <v>0</v>
      </c>
      <c r="X80" s="656"/>
      <c r="Y80" s="656">
        <f t="shared" si="8"/>
        <v>0</v>
      </c>
      <c r="Z80" s="656"/>
      <c r="AA80" s="656">
        <f t="shared" si="8"/>
        <v>0</v>
      </c>
      <c r="AB80" s="656"/>
      <c r="AC80" s="656">
        <f t="shared" si="8"/>
        <v>0</v>
      </c>
      <c r="AD80" s="656"/>
      <c r="AE80" s="656">
        <f t="shared" si="8"/>
        <v>0</v>
      </c>
      <c r="AF80" s="656"/>
      <c r="AG80" s="656">
        <f t="shared" si="8"/>
        <v>0</v>
      </c>
      <c r="AH80" s="656"/>
      <c r="AI80" s="656">
        <f t="shared" si="8"/>
        <v>0</v>
      </c>
      <c r="AJ80" s="656"/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OBJ!B322</f>
        <v>9257894</v>
      </c>
      <c r="BE80" s="23" t="str">
        <f>VLOOKUP(BD80,CENY!$B$11:$G$1034,2,FALSE)</f>
        <v>PUSH TO OPEN SILENT QUADRO YOU 10 KG</v>
      </c>
      <c r="BF80" s="24">
        <f>VLOOKUP(BD80,CENY!$B$11:$G$1034,3,FALSE)</f>
        <v>1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544.37</v>
      </c>
      <c r="BK80" s="107">
        <f t="shared" si="7"/>
        <v>0</v>
      </c>
    </row>
    <row r="81" spans="1:63" ht="14.4" customHeight="1">
      <c r="A81" s="633"/>
      <c r="O81" s="655">
        <f>O85*O84</f>
        <v>0</v>
      </c>
      <c r="P81" s="655"/>
      <c r="Q81" s="655">
        <f>Q85*Q84</f>
        <v>0</v>
      </c>
      <c r="R81" s="655"/>
      <c r="S81" s="655">
        <f>S85*S84</f>
        <v>0</v>
      </c>
      <c r="T81" s="655"/>
      <c r="U81" s="655">
        <f>U85*U84</f>
        <v>0</v>
      </c>
      <c r="V81" s="655"/>
      <c r="W81" s="655">
        <f>W85*W84</f>
        <v>0</v>
      </c>
      <c r="X81" s="655"/>
      <c r="Y81" s="655">
        <f>Y85*Y84</f>
        <v>0</v>
      </c>
      <c r="Z81" s="655"/>
      <c r="AA81" s="655">
        <f>AA85*AA84</f>
        <v>0</v>
      </c>
      <c r="AB81" s="655"/>
      <c r="AC81" s="655">
        <f>AC85*AC84</f>
        <v>0</v>
      </c>
      <c r="AD81" s="655"/>
      <c r="AE81" s="655">
        <f>AE85*AE84</f>
        <v>0</v>
      </c>
      <c r="AF81" s="655"/>
      <c r="AG81" s="655">
        <f>AG85*AG84</f>
        <v>0</v>
      </c>
      <c r="AH81" s="655"/>
      <c r="AI81" s="655">
        <f>AI85*AI84</f>
        <v>0</v>
      </c>
      <c r="AJ81" s="655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OBJ!B323</f>
        <v>9257895</v>
      </c>
      <c r="BE81" s="23" t="str">
        <f>VLOOKUP(BD81,CENY!$B$11:$G$1034,2,FALSE)</f>
        <v>PUSH TO OPEN SILENT QUADRO YOU 20 KG</v>
      </c>
      <c r="BF81" s="24">
        <f>VLOOKUP(BD81,CENY!$B$11:$G$1034,3,FALSE)</f>
        <v>1</v>
      </c>
      <c r="BG81" s="24"/>
      <c r="BH81" s="25">
        <f>AY52</f>
        <v>0</v>
      </c>
      <c r="BI81" s="451">
        <f t="shared" si="6"/>
        <v>0</v>
      </c>
      <c r="BJ81" s="107">
        <f>VLOOKUP(BD81,CENY!$B$11:$M$2005,12,FALSE)</f>
        <v>544.37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OBJ!B324</f>
        <v>9257896</v>
      </c>
      <c r="BE82" s="23" t="str">
        <f>VLOOKUP(BD82,CENY!$B$11:$G$1034,2,FALSE)</f>
        <v>PUSH TO OPEN SILENT QUADRO YOU 30 KG</v>
      </c>
      <c r="BF82" s="24">
        <f>VLOOKUP(BD82,CENY!$B$11:$G$1034,3,FALSE)</f>
        <v>1</v>
      </c>
      <c r="BG82" s="24"/>
      <c r="BH82" s="25">
        <f>AY53</f>
        <v>0</v>
      </c>
      <c r="BI82" s="451">
        <f t="shared" si="6"/>
        <v>0</v>
      </c>
      <c r="BJ82" s="107">
        <f>VLOOKUP(BD82,CENY!$B$11:$M$2005,12,FALSE)</f>
        <v>544.37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700</v>
      </c>
      <c r="AB83" s="570"/>
      <c r="AC83" s="569">
        <v>800</v>
      </c>
      <c r="AD83" s="570"/>
      <c r="AE83" s="569">
        <v>900</v>
      </c>
      <c r="AF83" s="659"/>
      <c r="AG83" s="569">
        <v>1000</v>
      </c>
      <c r="AH83" s="659"/>
      <c r="AI83" s="569">
        <v>1200</v>
      </c>
      <c r="AJ83" s="570"/>
      <c r="AU83" s="441">
        <f>OBJ!B189</f>
        <v>9257271</v>
      </c>
      <c r="AV83" s="23" t="str">
        <f>VLOOKUP(AU83,CENY!$B$11:$G$1034,2,FALSE)</f>
        <v>AVANTECH YOU ALU PROFIL VNITŘNÍ ČELO V187 MM L2000 MM STŘÍBRNÁ</v>
      </c>
      <c r="AW83" s="24">
        <f>VLOOKUP(AU83,CENY!$B$11:$G$1034,3,FALSE)</f>
        <v>1</v>
      </c>
      <c r="AX83" s="24"/>
      <c r="AY83" s="25">
        <f>IF(AU87=0,0,IF(AU93&lt;2000,1,SUM(O80:AJ80)))</f>
        <v>0</v>
      </c>
      <c r="AZ83" s="451">
        <f>IF(AY83="","",IF($AW$4=1,AY83,0))</f>
        <v>0</v>
      </c>
      <c r="BA83" s="107">
        <f>VLOOKUP(AU83,CENY!$B$11:$M$2005,12,FALSE)</f>
        <v>2125.92</v>
      </c>
      <c r="BB83" s="107">
        <f t="shared" si="4"/>
        <v>0</v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6"/>
      <c r="AB84" s="637"/>
      <c r="AC84" s="636"/>
      <c r="AD84" s="637"/>
      <c r="AE84" s="636"/>
      <c r="AF84" s="637"/>
      <c r="AG84" s="636"/>
      <c r="AH84" s="637"/>
      <c r="AI84" s="636"/>
      <c r="AJ84" s="658"/>
      <c r="AU84" s="441">
        <f>OBJ!B194</f>
        <v>9257623</v>
      </c>
      <c r="AV84" s="23" t="str">
        <f>VLOOKUP(AU84,CENY!$B$11:$G$1034,2,FALSE)</f>
        <v>AVANTECH YOU SADA SPOJEK PRO VNITŘNÍ ČELO K BOKŮM INLAY V187 MM STŘÍBRNÁ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>IF(AY84="","",IF($AW$4=1,AY84,0))</f>
        <v>0</v>
      </c>
      <c r="BA84" s="107">
        <f>VLOOKUP(AU84,CENY!$B$11:$M$2005,12,FALSE)</f>
        <v>121.83</v>
      </c>
      <c r="BB84" s="107">
        <f t="shared" si="4"/>
        <v>0</v>
      </c>
      <c r="BD84" s="441">
        <f>OBJ!B338</f>
        <v>9256905</v>
      </c>
      <c r="BE84" s="23" t="str">
        <f>VLOOKUP(BD84,CENY!$B$11:$G$1034,2,FALSE)</f>
        <v>QUADRO YOU PLNOVÝSUV 350 MM EB21 PUSH TO OPEN LEVÝ</v>
      </c>
      <c r="BF84" s="24">
        <f>VLOOKUP(BD84,CENY!$B$11:$G$1034,3,FALSE)</f>
        <v>20</v>
      </c>
      <c r="BG84" s="24"/>
      <c r="BH84" s="25">
        <f>AY55</f>
        <v>0</v>
      </c>
      <c r="BI84" s="451">
        <f t="shared" si="6"/>
        <v>0</v>
      </c>
      <c r="BJ84" s="107">
        <f>VLOOKUP(BD84,CENY!$B$11:$M$2005,12,FALSE)</f>
        <v>198.85</v>
      </c>
      <c r="BK84" s="107">
        <f t="shared" si="7"/>
        <v>0</v>
      </c>
    </row>
    <row r="85" spans="1:63" ht="14.4" customHeight="1">
      <c r="A85" s="633"/>
      <c r="O85" s="657">
        <f>O83-2*FORM!$AM$24-12</f>
        <v>252</v>
      </c>
      <c r="P85" s="657"/>
      <c r="Q85" s="657">
        <f>Q83-2*FORM!$AM$24-12</f>
        <v>352</v>
      </c>
      <c r="R85" s="657"/>
      <c r="S85" s="657">
        <f>S83-2*FORM!$AM$24-12</f>
        <v>402</v>
      </c>
      <c r="T85" s="657"/>
      <c r="U85" s="657">
        <f>U83-2*FORM!$AM$24-12</f>
        <v>452</v>
      </c>
      <c r="V85" s="657"/>
      <c r="W85" s="657">
        <f>W83-2*FORM!$AM$24-12</f>
        <v>502</v>
      </c>
      <c r="X85" s="657"/>
      <c r="Y85" s="657">
        <f>Y83-2*FORM!$AM$24-12</f>
        <v>552</v>
      </c>
      <c r="Z85" s="657"/>
      <c r="AA85" s="657">
        <f>AA83-2*FORM!$AM$24-12</f>
        <v>652</v>
      </c>
      <c r="AB85" s="657"/>
      <c r="AC85" s="657">
        <f>AC83-2*FORM!$AM$24-12</f>
        <v>752</v>
      </c>
      <c r="AD85" s="657"/>
      <c r="AE85" s="657">
        <f>AE83-2*FORM!$AM$24-12</f>
        <v>852</v>
      </c>
      <c r="AF85" s="657"/>
      <c r="AG85" s="657">
        <f>AG83-2*FORM!$AM$24-12</f>
        <v>952</v>
      </c>
      <c r="AH85" s="657"/>
      <c r="AI85" s="657">
        <f>AI83-2*FORM!$AM$24-12</f>
        <v>1152</v>
      </c>
      <c r="AJ85" s="657"/>
      <c r="AU85" s="441"/>
      <c r="AV85" s="23"/>
      <c r="AW85" s="24"/>
      <c r="AX85" s="24"/>
      <c r="AY85" s="25"/>
      <c r="AZ85" s="451" t="str">
        <f t="shared" ref="AZ85:AZ95" si="9">IF(AY85="","",IF($AW$4=1,AY85,0))</f>
        <v/>
      </c>
      <c r="BA85" s="107"/>
      <c r="BB85" s="107" t="str">
        <f t="shared" si="4"/>
        <v/>
      </c>
      <c r="BD85" s="441">
        <f>OBJ!B339</f>
        <v>9256906</v>
      </c>
      <c r="BE85" s="23" t="str">
        <f>VLOOKUP(BD85,CENY!$B$11:$G$1034,2,FALSE)</f>
        <v>QUADRO YOU PLNOVÝSUV 350 MM EB21 PUSH TO OPEN PRAVÝ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6"/>
        <v>0</v>
      </c>
      <c r="BJ85" s="107">
        <f>VLOOKUP(BD85,CENY!$B$11:$M$2005,12,FALSE)</f>
        <v>198.85</v>
      </c>
      <c r="BK85" s="107">
        <f t="shared" si="7"/>
        <v>0</v>
      </c>
    </row>
    <row r="86" spans="1:63" ht="14.4" customHeight="1">
      <c r="A86" s="633"/>
      <c r="AR86" s="177" t="str">
        <f>IF(AU89=0,verze!E169&amp;" "&amp;AU87&amp;" "&amp;verze!E170,"")</f>
        <v>Je potřebné vybrat 0 ks vnitřních čel.</v>
      </c>
      <c r="AU86" s="441"/>
      <c r="AV86" s="23"/>
      <c r="AW86" s="24"/>
      <c r="AX86" s="24"/>
      <c r="AY86" s="25"/>
      <c r="AZ86" s="451" t="str">
        <f t="shared" si="9"/>
        <v/>
      </c>
      <c r="BA86" s="107"/>
      <c r="BB86" s="107" t="str">
        <f t="shared" si="4"/>
        <v/>
      </c>
      <c r="BD86" s="441">
        <f>OBJ!B340</f>
        <v>9256909</v>
      </c>
      <c r="BE86" s="23" t="str">
        <f>VLOOKUP(BD86,CENY!$B$11:$G$1034,2,FALSE)</f>
        <v>QUADRO YOU PLNOVÝSUV 400 MM EB21 PUSH TO OPEN LEVÝ</v>
      </c>
      <c r="BF86" s="24">
        <f>VLOOKUP(BD86,CENY!$B$11:$G$1034,3,FALSE)</f>
        <v>20</v>
      </c>
      <c r="BG86" s="24"/>
      <c r="BH86" s="25">
        <f>AY56</f>
        <v>0</v>
      </c>
      <c r="BI86" s="451">
        <f t="shared" si="6"/>
        <v>0</v>
      </c>
      <c r="BJ86" s="107">
        <f>VLOOKUP(BD86,CENY!$B$11:$M$2005,12,FALSE)</f>
        <v>202.58</v>
      </c>
      <c r="BK86" s="107">
        <f t="shared" si="7"/>
        <v>0</v>
      </c>
    </row>
    <row r="87" spans="1:63" ht="14.4" customHeight="1">
      <c r="A87" s="633"/>
      <c r="V87" s="474"/>
      <c r="W87" s="474"/>
      <c r="X87" s="474"/>
      <c r="Y87" s="474"/>
      <c r="Z87" s="474"/>
      <c r="AA87" s="474"/>
      <c r="AB87" s="474"/>
      <c r="AC87" s="474"/>
      <c r="AR87" s="463" t="str">
        <f>IF(AU89=0,"",IF(AU87=AU89,verze!E174,IF(AU90&gt;0,verze!E171&amp;" "&amp;AU90&amp;" "&amp;verze!E170,verze!E172&amp;" "&amp;AU91&amp;" "&amp;verze!E173)))</f>
        <v/>
      </c>
      <c r="AU87" s="461">
        <f>1*(+SUM(O19:T19)+SUM(O20:AD20)+SUM(W22:AF22)+SUM(O27:T27)+SUM(O28:AD28)+SUM(O30:AD30))</f>
        <v>0</v>
      </c>
      <c r="AV87" s="460" t="s">
        <v>466</v>
      </c>
      <c r="AW87" s="24"/>
      <c r="AX87" s="24"/>
      <c r="AY87" s="25"/>
      <c r="AZ87" s="451" t="str">
        <f t="shared" si="9"/>
        <v/>
      </c>
      <c r="BA87" s="107"/>
      <c r="BB87" s="107" t="str">
        <f t="shared" si="4"/>
        <v/>
      </c>
      <c r="BD87" s="441">
        <f>OBJ!B341</f>
        <v>9256910</v>
      </c>
      <c r="BE87" s="23" t="str">
        <f>VLOOKUP(BD87,CENY!$B$11:$G$1034,2,FALSE)</f>
        <v>QUADRO YOU PLNOVÝSUV 400 MM EB21 PUSH TO OPEN PRAVÝ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6"/>
        <v>0</v>
      </c>
      <c r="BJ87" s="107">
        <f>VLOOKUP(BD87,CENY!$B$11:$M$2005,12,FALSE)</f>
        <v>202.58</v>
      </c>
      <c r="BK87" s="107">
        <f t="shared" si="7"/>
        <v>0</v>
      </c>
    </row>
    <row r="88" spans="1:63" ht="14.4" customHeight="1">
      <c r="A88" s="633"/>
      <c r="V88" s="474"/>
      <c r="W88" s="474"/>
      <c r="X88" s="474"/>
      <c r="Y88" s="474"/>
      <c r="Z88" s="474"/>
      <c r="AA88" s="474"/>
      <c r="AB88" s="474"/>
      <c r="AC88" s="474"/>
      <c r="AU88" s="22"/>
      <c r="AV88" s="23"/>
      <c r="AW88" s="24"/>
      <c r="AX88" s="24"/>
      <c r="AY88" s="25"/>
      <c r="AZ88" s="451" t="str">
        <f t="shared" si="9"/>
        <v/>
      </c>
      <c r="BA88" s="107"/>
      <c r="BB88" s="107" t="str">
        <f t="shared" si="4"/>
        <v/>
      </c>
      <c r="BD88" s="441">
        <f>OBJ!B342</f>
        <v>9256913</v>
      </c>
      <c r="BE88" s="23" t="str">
        <f>VLOOKUP(BD88,CENY!$B$11:$G$1034,2,FALSE)</f>
        <v>QUADRO YOU PLNOVÝSUV 450 MM EB21 PUSH TO OPEN LEVÝ</v>
      </c>
      <c r="BF88" s="24">
        <f>VLOOKUP(BD88,CENY!$B$11:$G$1034,3,FALSE)</f>
        <v>20</v>
      </c>
      <c r="BG88" s="24"/>
      <c r="BH88" s="25">
        <f>AY57</f>
        <v>0</v>
      </c>
      <c r="BI88" s="451">
        <f t="shared" si="6"/>
        <v>0</v>
      </c>
      <c r="BJ88" s="107">
        <f>VLOOKUP(BD88,CENY!$B$11:$M$2005,12,FALSE)</f>
        <v>206.32</v>
      </c>
      <c r="BK88" s="107">
        <f t="shared" si="7"/>
        <v>0</v>
      </c>
    </row>
    <row r="89" spans="1:63" ht="14.4" customHeight="1">
      <c r="A89" s="633"/>
      <c r="V89" s="474"/>
      <c r="W89" s="474"/>
      <c r="X89" s="474"/>
      <c r="Y89" s="474"/>
      <c r="Z89" s="474"/>
      <c r="AA89" s="474"/>
      <c r="AB89" s="474"/>
      <c r="AC89" s="474"/>
      <c r="AU89" s="462">
        <f>SUM(O84:AJ84)</f>
        <v>0</v>
      </c>
      <c r="AV89" s="23" t="s">
        <v>467</v>
      </c>
      <c r="AW89" s="24"/>
      <c r="AX89" s="24"/>
      <c r="AY89" s="25"/>
      <c r="AZ89" s="451" t="str">
        <f t="shared" si="9"/>
        <v/>
      </c>
      <c r="BA89" s="107"/>
      <c r="BB89" s="107" t="str">
        <f t="shared" si="4"/>
        <v/>
      </c>
      <c r="BD89" s="441">
        <f>OBJ!B343</f>
        <v>9256914</v>
      </c>
      <c r="BE89" s="23" t="str">
        <f>VLOOKUP(BD89,CENY!$B$11:$G$1034,2,FALSE)</f>
        <v>QUADRO YOU PLNOVÝSUV 450 MM EB21 PUSH TO OPEN PRAVÝ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6"/>
        <v>0</v>
      </c>
      <c r="BJ89" s="107">
        <f>VLOOKUP(BD89,CENY!$B$11:$M$2005,12,FALSE)</f>
        <v>206.32</v>
      </c>
      <c r="BK89" s="107">
        <f t="shared" si="7"/>
        <v>0</v>
      </c>
    </row>
    <row r="90" spans="1:63" ht="14.4" customHeight="1">
      <c r="A90" s="633"/>
      <c r="V90" s="474"/>
      <c r="W90" s="474"/>
      <c r="X90" s="474"/>
      <c r="Y90" s="474"/>
      <c r="Z90" s="474"/>
      <c r="AA90" s="474"/>
      <c r="AB90" s="474"/>
      <c r="AC90" s="474"/>
      <c r="AU90" s="24">
        <f>AU87-AU89</f>
        <v>0</v>
      </c>
      <c r="AV90" s="23"/>
      <c r="AW90" s="24"/>
      <c r="AX90" s="24"/>
      <c r="AY90" s="25"/>
      <c r="AZ90" s="451" t="str">
        <f t="shared" si="9"/>
        <v/>
      </c>
      <c r="BA90" s="107"/>
      <c r="BB90" s="107" t="str">
        <f t="shared" si="4"/>
        <v/>
      </c>
      <c r="BD90" s="441">
        <f>OBJ!B344</f>
        <v>9256917</v>
      </c>
      <c r="BE90" s="23" t="str">
        <f>VLOOKUP(BD90,CENY!$B$11:$G$1034,2,FALSE)</f>
        <v>QUADRO YOU PLNOVÝSUV 500 MM EB21 PUSH TO OPEN LEVÝ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210.06</v>
      </c>
      <c r="BK90" s="107">
        <f t="shared" si="7"/>
        <v>0</v>
      </c>
    </row>
    <row r="91" spans="1:63" ht="14.4" customHeight="1">
      <c r="A91" s="633"/>
      <c r="V91" s="474"/>
      <c r="W91" s="474"/>
      <c r="X91" s="474"/>
      <c r="Y91" s="474"/>
      <c r="Z91" s="474"/>
      <c r="AA91" s="474"/>
      <c r="AB91" s="474"/>
      <c r="AC91" s="474"/>
      <c r="AU91" s="24">
        <f>ABS(AU90)</f>
        <v>0</v>
      </c>
      <c r="AV91" s="23"/>
      <c r="AW91" s="24"/>
      <c r="AX91" s="24"/>
      <c r="AY91" s="25"/>
      <c r="AZ91" s="451" t="str">
        <f t="shared" si="9"/>
        <v/>
      </c>
      <c r="BA91" s="107"/>
      <c r="BB91" s="107" t="str">
        <f t="shared" si="4"/>
        <v/>
      </c>
      <c r="BD91" s="441">
        <f>OBJ!B345</f>
        <v>9256918</v>
      </c>
      <c r="BE91" s="23" t="str">
        <f>VLOOKUP(BD91,CENY!$B$11:$G$1034,2,FALSE)</f>
        <v>QUADRO YOU PLNOVÝSUV 500 MM EB21 PUSH TO OPEN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210.06</v>
      </c>
      <c r="BK91" s="107">
        <f t="shared" si="7"/>
        <v>0</v>
      </c>
    </row>
    <row r="92" spans="1:63" ht="14.4" customHeight="1">
      <c r="A92" s="633"/>
      <c r="V92" s="474"/>
      <c r="W92" s="474"/>
      <c r="X92" s="474"/>
      <c r="Y92" s="474"/>
      <c r="Z92" s="474"/>
      <c r="AA92" s="474"/>
      <c r="AB92" s="474"/>
      <c r="AC92" s="474"/>
      <c r="AU92" s="22"/>
      <c r="AV92" s="23"/>
      <c r="AW92" s="24"/>
      <c r="AX92" s="24"/>
      <c r="AY92" s="25"/>
      <c r="AZ92" s="451" t="str">
        <f t="shared" si="9"/>
        <v/>
      </c>
      <c r="BA92" s="107"/>
      <c r="BB92" s="107" t="str">
        <f t="shared" si="4"/>
        <v/>
      </c>
      <c r="BD92" s="441">
        <f>OBJ!B346</f>
        <v>9256921</v>
      </c>
      <c r="BE92" s="23" t="str">
        <f>VLOOKUP(BD92,CENY!$B$11:$G$1034,2,FALSE)</f>
        <v>QUADRO YOU PLNOVÝSUV 550 MM EB21 PUSH TO OPEN LEVÝ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216.78</v>
      </c>
      <c r="BK92" s="107">
        <f t="shared" si="7"/>
        <v>0</v>
      </c>
    </row>
    <row r="93" spans="1:63" ht="14.4" customHeight="1">
      <c r="A93" s="633"/>
      <c r="AU93" s="24">
        <f>(AU89-1)*4+SUM(O81:AJ81)</f>
        <v>-4</v>
      </c>
      <c r="AV93" s="23" t="s">
        <v>468</v>
      </c>
      <c r="AW93" s="24"/>
      <c r="AX93" s="24"/>
      <c r="AY93" s="25"/>
      <c r="AZ93" s="451" t="str">
        <f t="shared" si="9"/>
        <v/>
      </c>
      <c r="BA93" s="107"/>
      <c r="BB93" s="107"/>
      <c r="BD93" s="441">
        <f>OBJ!B347</f>
        <v>9256922</v>
      </c>
      <c r="BE93" s="23" t="str">
        <f>VLOOKUP(BD93,CENY!$B$11:$G$1034,2,FALSE)</f>
        <v>QUADRO YOU PLNOVÝSUV 550 MM EB21 PUSH TO OPEN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216.78</v>
      </c>
      <c r="BK93" s="107">
        <f t="shared" si="7"/>
        <v>0</v>
      </c>
    </row>
    <row r="94" spans="1:63" ht="14.4" customHeight="1">
      <c r="A94" s="633"/>
      <c r="AU94" s="22"/>
      <c r="AV94" s="23"/>
      <c r="AW94" s="24"/>
      <c r="AX94" s="24"/>
      <c r="AY94" s="25"/>
      <c r="AZ94" s="451" t="str">
        <f t="shared" si="9"/>
        <v/>
      </c>
      <c r="BA94" s="107"/>
      <c r="BB94" s="107" t="str">
        <f t="shared" si="4"/>
        <v/>
      </c>
      <c r="BD94" s="441">
        <f>OBJ!B348</f>
        <v>9256925</v>
      </c>
      <c r="BE94" s="23" t="str">
        <f>VLOOKUP(BD94,CENY!$B$11:$G$1034,2,FALSE)</f>
        <v>QUADRO YOU PLNOVÝSUV 600 MM EB21 PUSH TO OPEN LEVÝ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223.51</v>
      </c>
      <c r="BK94" s="107">
        <f t="shared" si="7"/>
        <v>0</v>
      </c>
    </row>
    <row r="95" spans="1:63" ht="14.4" customHeight="1">
      <c r="A95" s="633"/>
      <c r="AU95" s="22"/>
      <c r="AV95" s="23"/>
      <c r="AW95" s="24"/>
      <c r="AX95" s="24"/>
      <c r="AY95" s="25"/>
      <c r="AZ95" s="451" t="str">
        <f t="shared" si="9"/>
        <v/>
      </c>
      <c r="BA95" s="107"/>
      <c r="BB95" s="107" t="str">
        <f t="shared" si="4"/>
        <v/>
      </c>
      <c r="BD95" s="441">
        <f>OBJ!B349</f>
        <v>9256926</v>
      </c>
      <c r="BE95" s="23" t="str">
        <f>VLOOKUP(BD95,CENY!$B$11:$G$1034,2,FALSE)</f>
        <v>QUADRO YOU PLNOVÝSUV 600 MM EB21 PUSH TO OPEN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223.51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/>
      <c r="BE96" s="23"/>
      <c r="BF96" s="24"/>
      <c r="BG96" s="24"/>
      <c r="BH96" s="25"/>
      <c r="BI96" s="451" t="str">
        <f t="shared" si="6"/>
        <v/>
      </c>
      <c r="BJ96" s="107"/>
      <c r="BK96" s="107" t="str">
        <f t="shared" si="7"/>
        <v/>
      </c>
    </row>
    <row r="97" spans="1:63" ht="14.4" customHeight="1">
      <c r="A97" s="633"/>
      <c r="AU97" s="462">
        <f>SUM(O84:AJ84)</f>
        <v>0</v>
      </c>
      <c r="AV97" s="23" t="s">
        <v>467</v>
      </c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OBJ!B351</f>
        <v>9219966</v>
      </c>
      <c r="BE97" s="23" t="str">
        <f>VLOOKUP(BD97,CENY!$B$11:$G$1034,2,FALSE)</f>
        <v>PUSH TO OPEN SYNCHRO ADAPTÉR TYP A</v>
      </c>
      <c r="BF97" s="24">
        <f>VLOOKUP(BD97,CENY!$B$11:$G$1034,3,FALSE)</f>
        <v>200</v>
      </c>
      <c r="BG97" s="24"/>
      <c r="BH97" s="25">
        <f>AY62</f>
        <v>0</v>
      </c>
      <c r="BI97" s="451">
        <f t="shared" si="6"/>
        <v>0</v>
      </c>
      <c r="BJ97" s="107">
        <f>VLOOKUP(BD97,CENY!$B$11:$M$2005,12,FALSE)</f>
        <v>13.07</v>
      </c>
      <c r="BK97" s="107">
        <f t="shared" si="7"/>
        <v>0</v>
      </c>
    </row>
    <row r="98" spans="1:63" ht="14.4" customHeight="1">
      <c r="A98" s="633"/>
      <c r="AU98" s="24">
        <f>AU95-AU97</f>
        <v>0</v>
      </c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/>
      <c r="BE98" s="23"/>
      <c r="BF98" s="24"/>
      <c r="BG98" s="24"/>
      <c r="BH98" s="25"/>
      <c r="BI98" s="451" t="str">
        <f t="shared" si="6"/>
        <v/>
      </c>
      <c r="BJ98" s="107"/>
      <c r="BK98" s="107" t="str">
        <f t="shared" si="7"/>
        <v/>
      </c>
    </row>
    <row r="99" spans="1:63" ht="14.4" customHeight="1">
      <c r="A99" s="633"/>
      <c r="AU99" s="24">
        <f>ABS(AU98)</f>
        <v>0</v>
      </c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OBJ!B207</f>
        <v>0</v>
      </c>
      <c r="BE99" s="23" t="e">
        <f>VLOOKUP(BD99,CENY!$B$11:$G$1034,2,FALSE)</f>
        <v>#N/A</v>
      </c>
      <c r="BF99" s="24" t="e">
        <f>VLOOKUP(BD99,CENY!$B$11:$G$1034,3,FALSE)</f>
        <v>#N/A</v>
      </c>
      <c r="BG99" s="24"/>
      <c r="BH99" s="25">
        <f>AY66</f>
        <v>0</v>
      </c>
      <c r="BI99" s="451">
        <f t="shared" si="6"/>
        <v>0</v>
      </c>
      <c r="BJ99" s="449" t="str">
        <f>IF(BD99=0,"",VLOOKUP(BD99,CENY!$B$11:$M$2005,12,FALSE))</f>
        <v/>
      </c>
      <c r="BK99" s="107" t="str">
        <f t="shared" si="7"/>
        <v/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/>
      <c r="BE100" s="23"/>
      <c r="BF100" s="24"/>
      <c r="BG100" s="24"/>
      <c r="BH100" s="25"/>
      <c r="BI100" s="451" t="str">
        <f t="shared" si="6"/>
        <v/>
      </c>
      <c r="BJ100" s="107"/>
      <c r="BK100" s="107" t="str">
        <f t="shared" si="7"/>
        <v/>
      </c>
    </row>
    <row r="101" spans="1:63">
      <c r="A101" s="633"/>
      <c r="AU101" s="24">
        <f>(AU97-1)*4+SUM(O80:AJ80)</f>
        <v>-4</v>
      </c>
      <c r="AV101" s="23" t="s">
        <v>468</v>
      </c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OBJ!B189</f>
        <v>9257271</v>
      </c>
      <c r="BE102" s="23" t="str">
        <f>VLOOKUP(BD102,CENY!$B$11:$G$1034,2,FALSE)</f>
        <v>AVANTECH YOU ALU PROFIL VNITŘNÍ ČELO V187 MM L2000 MM STŘÍBRNÁ</v>
      </c>
      <c r="BF102" s="24">
        <f>VLOOKUP(BD102,CENY!$B$11:$G$1034,3,FALSE)</f>
        <v>1</v>
      </c>
      <c r="BG102" s="24"/>
      <c r="BH102" s="25">
        <f>AY83</f>
        <v>0</v>
      </c>
      <c r="BI102" s="451">
        <f>IF(BH102="","",IF($AW$4=0,BH102,0))</f>
        <v>0</v>
      </c>
      <c r="BJ102" s="107">
        <f>VLOOKUP(BD102,CENY!$B$11:$M$2005,12,FALSE)</f>
        <v>2125.92</v>
      </c>
      <c r="BK102" s="107">
        <f t="shared" si="7"/>
        <v>0</v>
      </c>
    </row>
    <row r="103" spans="1:63">
      <c r="A103" s="633"/>
      <c r="AU103" s="468" t="str">
        <f>IF(AU97=0,verze!E169&amp;" "&amp;AU95&amp;" "&amp;verze!E170,"")</f>
        <v>Je potřebné vybrat  ks vnitřních čel.</v>
      </c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/>
      <c r="BE103" s="23"/>
      <c r="BF103" s="24"/>
      <c r="BG103" s="24"/>
      <c r="BH103" s="25"/>
      <c r="BI103" s="451" t="str">
        <f>IF(BH103="","",IF($AW$4=0,BH103,0))</f>
        <v/>
      </c>
      <c r="BJ103" s="107"/>
      <c r="BK103" s="107" t="str">
        <f t="shared" si="7"/>
        <v/>
      </c>
    </row>
    <row r="104" spans="1:63">
      <c r="A104" s="633"/>
      <c r="AU104" s="468" t="str">
        <f>IF(AU97=0,"",IF(AU95=AU97,verze!E174,IF(AU98&gt;0,verze!E171&amp;" "&amp;AU98&amp;" "&amp;verze!E170,verze!E172&amp;" "&amp;AU99&amp;" "&amp;verze!E173)))</f>
        <v/>
      </c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OBJ!B196</f>
        <v>9257641</v>
      </c>
      <c r="BE104" s="23" t="str">
        <f>VLOOKUP(BD104,CENY!$B$11:$G$1034,2,FALSE)</f>
        <v>AVANTECH YOU STABILIZÁTOR ČELA VNITŘNÍ ZÁSUVKY</v>
      </c>
      <c r="BF104" s="24">
        <f>VLOOKUP(BD104,CENY!$B$11:$G$1034,3,FALSE)</f>
        <v>100</v>
      </c>
      <c r="BG104" s="24"/>
      <c r="BH104" s="25">
        <f>AY84</f>
        <v>0</v>
      </c>
      <c r="BI104" s="451">
        <f>IF(BH104="","",IF($AW$4=0,BH104,0))</f>
        <v>0</v>
      </c>
      <c r="BJ104" s="107">
        <f>VLOOKUP(BD104,CENY!$B$11:$M$2005,12,FALSE)</f>
        <v>26.51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OBJ!B199</f>
        <v>9257631</v>
      </c>
      <c r="BE105" s="23" t="str">
        <f>VLOOKUP(BD105,CENY!$B$11:$G$1034,2,FALSE)</f>
        <v>AVANTECH YOU KONCOVÁ KRYTKA ČELA VNITŘNÍ ZÁSUVKY V187 STŘÍBRNÁ</v>
      </c>
      <c r="BF105" s="24">
        <f>VLOOKUP(BD105,CENY!$B$11:$G$1034,3,FALSE)</f>
        <v>200</v>
      </c>
      <c r="BG105" s="24"/>
      <c r="BH105" s="25">
        <f>2*AY84</f>
        <v>0</v>
      </c>
      <c r="BI105" s="451">
        <f>IF(BH105="","",IF($AW$4=0,BH105,0))</f>
        <v>0</v>
      </c>
      <c r="BJ105" s="107">
        <f>VLOOKUP(BD105,CENY!$B$11:$M$2005,12,FALSE)</f>
        <v>6.44</v>
      </c>
      <c r="BK105" s="107">
        <f t="shared" si="7"/>
        <v>0</v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/>
      <c r="BE106" s="23"/>
      <c r="BF106" s="24"/>
      <c r="BG106" s="24"/>
      <c r="BH106" s="25"/>
      <c r="BI106" s="451"/>
      <c r="BJ106" s="107"/>
      <c r="BK106" s="107" t="str">
        <f t="shared" si="7"/>
        <v/>
      </c>
    </row>
    <row r="107" spans="1:63">
      <c r="AU107" s="441">
        <f>OBJ!B354</f>
        <v>45167</v>
      </c>
      <c r="AV107" s="23" t="str">
        <f>VLOOKUP(AU107,CENY!$B$11:$G$1034,2,FALSE)</f>
        <v>VRUT PANHEAD 35X12</v>
      </c>
      <c r="AW107" s="24">
        <f>VLOOKUP(AU107,CENY!$B$11:$G$1034,3,FALSE)</f>
        <v>200</v>
      </c>
      <c r="AX107" s="24"/>
      <c r="AY107" s="25">
        <f>SUMPRODUCT(AX5:AX11,AY5:AY11)</f>
        <v>0</v>
      </c>
      <c r="AZ107" s="451">
        <f>IF(AY107="","",IF($AW$4=1,AY107,0))</f>
        <v>0</v>
      </c>
      <c r="BA107" s="107">
        <f>VLOOKUP(AU107,CENY!$B$11:$M$2005,12,FALSE)</f>
        <v>0.54</v>
      </c>
      <c r="BB107" s="107">
        <f>IF(BA107="","",BA107*AY107)</f>
        <v>0</v>
      </c>
      <c r="BC107" s="97" t="s">
        <v>506</v>
      </c>
      <c r="BD107" s="441">
        <f>OBJ!B354</f>
        <v>45167</v>
      </c>
      <c r="BE107" s="23" t="str">
        <f>VLOOKUP(BD107,CENY!$B$11:$G$1034,2,FALSE)</f>
        <v>VRUT PANHEAD 35X12</v>
      </c>
      <c r="BF107" s="24">
        <f>VLOOKUP(BD107,CENY!$B$11:$G$1034,3,FALSE)</f>
        <v>200</v>
      </c>
      <c r="BG107" s="24"/>
      <c r="BH107" s="25">
        <f>AY107+BH21*2+BH104</f>
        <v>0</v>
      </c>
      <c r="BI107" s="451">
        <f>IF(BH107="","",IF($AW$4=0,BH107,0))</f>
        <v>0</v>
      </c>
      <c r="BJ107" s="107">
        <f>VLOOKUP(BD107,CENY!$B$11:$M$2005,12,FALSE)</f>
        <v>0.54</v>
      </c>
      <c r="BK107" s="107">
        <f>IF(BJ107="","",BJ107*BH107)</f>
        <v>0</v>
      </c>
    </row>
    <row r="108" spans="1:63">
      <c r="AU108" s="441">
        <f>OBJ!B355</f>
        <v>45168</v>
      </c>
      <c r="AV108" s="23" t="str">
        <f>VLOOKUP(AU108,CENY!$B$11:$G$1034,2,FALSE)</f>
        <v>VRUT PANHEAD 35X20</v>
      </c>
      <c r="AW108" s="24">
        <f>VLOOKUP(AU108,CENY!$B$11:$G$1034,3,FALSE)</f>
        <v>200</v>
      </c>
      <c r="AX108" s="24"/>
      <c r="AY108" s="497">
        <v>0</v>
      </c>
      <c r="AZ108" s="451">
        <f>IF(AY108="","",IF($AW$4=1,AY108,0))</f>
        <v>0</v>
      </c>
      <c r="BA108" s="107">
        <f>VLOOKUP(AU108,CENY!$B$11:$M$2005,12,FALSE)</f>
        <v>0.78</v>
      </c>
      <c r="BB108" s="107">
        <f>IF(BA108="","",BA108*AY108)</f>
        <v>0</v>
      </c>
      <c r="BC108" s="97" t="s">
        <v>507</v>
      </c>
      <c r="BD108" s="441">
        <f>OBJ!B355</f>
        <v>45168</v>
      </c>
      <c r="BE108" s="23" t="str">
        <f>VLOOKUP(BD108,CENY!$B$11:$G$1034,2,FALSE)</f>
        <v>VRUT PANHEAD 35X20</v>
      </c>
      <c r="BF108" s="24">
        <f>VLOOKUP(BD108,CENY!$B$11:$G$1034,3,FALSE)</f>
        <v>200</v>
      </c>
      <c r="BG108" s="24"/>
      <c r="BH108" s="497">
        <v>0</v>
      </c>
      <c r="BI108" s="451">
        <f>IF(BH108="","",IF($AW$4=0,BH108,0))</f>
        <v>0</v>
      </c>
      <c r="BJ108" s="107">
        <f>VLOOKUP(BD108,CENY!$B$11:$M$2005,12,FALSE)</f>
        <v>0.78</v>
      </c>
      <c r="BK108" s="107">
        <f>IF(BJ108="","",BJ108*BH108)</f>
        <v>0</v>
      </c>
    </row>
    <row r="109" spans="1:63">
      <c r="AU109" s="441">
        <f>OBJ!B356</f>
        <v>9278224</v>
      </c>
      <c r="AV109" s="23" t="str">
        <f>VLOOKUP(AU109,CENY!$B$11:$G$1034,2,FALSE)</f>
        <v>AVANTECH YOU VRUT 3,5X30 PANHEAD POZINK.</v>
      </c>
      <c r="AW109" s="24">
        <f>VLOOKUP(AU109,CENY!$B$11:$G$1034,3,FALSE)</f>
        <v>200</v>
      </c>
      <c r="AX109" s="24"/>
      <c r="AY109" s="497">
        <v>0</v>
      </c>
      <c r="AZ109" s="451">
        <f>IF(AY109="","",IF($AW$4=1,AY109,0))</f>
        <v>0</v>
      </c>
      <c r="BA109" s="107">
        <f>VLOOKUP(AU109,CENY!$B$11:$M$2005,12,FALSE)</f>
        <v>0.73</v>
      </c>
      <c r="BB109" s="107">
        <f>IF(BA109="","",BA109*AY109)</f>
        <v>0</v>
      </c>
      <c r="BC109" s="97" t="s">
        <v>508</v>
      </c>
      <c r="BD109" s="441">
        <f>OBJ!B356</f>
        <v>9278224</v>
      </c>
      <c r="BE109" s="23" t="str">
        <f>VLOOKUP(BD109,CENY!$B$11:$G$1034,2,FALSE)</f>
        <v>AVANTECH YOU VRUT 3,5X30 PANHEAD POZINK.</v>
      </c>
      <c r="BF109" s="24">
        <f>VLOOKUP(BD109,CENY!$B$11:$G$1034,3,FALSE)</f>
        <v>200</v>
      </c>
      <c r="BG109" s="24"/>
      <c r="BH109" s="497">
        <f>2*SUM(BH5:BH18)</f>
        <v>0</v>
      </c>
      <c r="BI109" s="451">
        <f>IF(BH109="","",IF($AW$4=0,BH109,0))</f>
        <v>0</v>
      </c>
      <c r="BJ109" s="107">
        <f>VLOOKUP(BD109,CENY!$B$11:$M$2005,12,FALSE)</f>
        <v>0.73</v>
      </c>
      <c r="BK109" s="107">
        <f>IF(BJ109="","",BJ109*BH109)</f>
        <v>0</v>
      </c>
    </row>
    <row r="110" spans="1:63">
      <c r="AU110" s="441">
        <f>OBJ!B357</f>
        <v>9279197</v>
      </c>
      <c r="AV110" s="23" t="str">
        <f>VLOOKUP(AU110,CENY!$B$11:$G$1034,2,FALSE)</f>
        <v>SAMOŘEZNÝ ŠROUB 3,5X12 PANHEAD POZINK.</v>
      </c>
      <c r="AW110" s="24">
        <f>VLOOKUP(AU110,CENY!$B$11:$G$1034,3,FALSE)</f>
        <v>1000</v>
      </c>
      <c r="AX110" s="24"/>
      <c r="AY110" s="77">
        <v>0</v>
      </c>
      <c r="AZ110" s="451">
        <f>IF(AY110="","",IF($AW$4=1,AY110,0))</f>
        <v>0</v>
      </c>
      <c r="BA110" s="107">
        <f>VLOOKUP(AU110,CENY!$B$11:$M$2005,12,FALSE)</f>
        <v>1.51</v>
      </c>
      <c r="BB110" s="107">
        <f>IF(BA110="","",BA110*AY110)</f>
        <v>0</v>
      </c>
      <c r="BC110" s="97" t="s">
        <v>509</v>
      </c>
      <c r="BD110" s="441">
        <f>OBJ!B357</f>
        <v>9279197</v>
      </c>
      <c r="BE110" s="23" t="str">
        <f>VLOOKUP(BD110,CENY!$B$11:$G$1034,2,FALSE)</f>
        <v>SAMOŘEZNÝ ŠROUB 3,5X12 PANHEAD POZINK.</v>
      </c>
      <c r="BF110" s="24">
        <f>VLOOKUP(BD110,CENY!$B$11:$G$1034,3,FALSE)</f>
        <v>1000</v>
      </c>
      <c r="BG110" s="24"/>
      <c r="BH110" s="77">
        <f>3*BH20</f>
        <v>0</v>
      </c>
      <c r="BI110" s="451">
        <f>IF(BH110="","",IF($AW$4=0,BH110,0))</f>
        <v>0</v>
      </c>
      <c r="BJ110" s="107">
        <f>VLOOKUP(BD110,CENY!$B$11:$M$2005,12,FALSE)</f>
        <v>1.51</v>
      </c>
      <c r="BK110" s="107">
        <f>IF(BJ110="","",BJ110*BH110)</f>
        <v>0</v>
      </c>
    </row>
    <row r="111" spans="1:63">
      <c r="AU111" s="441">
        <f>OBJ!B358</f>
        <v>9137114</v>
      </c>
      <c r="AV111" s="23" t="str">
        <f>VLOOKUP(AU111,CENY!$B$11:$G$1034,2,FALSE)</f>
        <v>EUROŠROUB DBS 60 X 14</v>
      </c>
      <c r="AW111" s="24">
        <f>VLOOKUP(AU111,CENY!$B$11:$G$1034,3,FALSE)</f>
        <v>200</v>
      </c>
      <c r="AX111" s="24"/>
      <c r="AY111" s="25">
        <f>SUMPRODUCT(AX21:AX60,AY21:AY60)</f>
        <v>0</v>
      </c>
      <c r="AZ111" s="451">
        <f>IF(AY111="","",IF($AW$4=1,AY111,0))</f>
        <v>0</v>
      </c>
      <c r="BA111" s="107">
        <f>VLOOKUP(AU111,CENY!$B$11:$M$2005,12,FALSE)</f>
        <v>1.2</v>
      </c>
      <c r="BB111" s="107">
        <f>IF(BA111="","",BA111*AY111)</f>
        <v>0</v>
      </c>
      <c r="BC111" s="97" t="s">
        <v>510</v>
      </c>
      <c r="BD111" s="441">
        <f>OBJ!B358</f>
        <v>9137114</v>
      </c>
      <c r="BE111" s="23" t="str">
        <f>VLOOKUP(BD111,CENY!$B$11:$G$1034,2,FALSE)</f>
        <v>EUROŠROUB DBS 60 X 14</v>
      </c>
      <c r="BF111" s="24">
        <f>VLOOKUP(BD111,CENY!$B$11:$G$1034,3,FALSE)</f>
        <v>200</v>
      </c>
      <c r="BG111" s="24"/>
      <c r="BH111" s="25">
        <f>AY111</f>
        <v>0</v>
      </c>
      <c r="BI111" s="451">
        <f>IF(BH111="","",IF($AW$4=0,BH111,0))</f>
        <v>0</v>
      </c>
      <c r="BJ111" s="107">
        <f>VLOOKUP(BD111,CENY!$B$11:$M$2005,12,FALSE)</f>
        <v>1.2</v>
      </c>
      <c r="BK111" s="107">
        <f>IF(BJ111="","",BJ111*BH111)</f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/>
      <c r="BE112" s="23"/>
      <c r="BF112" s="24"/>
      <c r="BG112" s="24"/>
      <c r="BH112" s="25"/>
      <c r="BI112" s="451" t="str">
        <f t="shared" si="6"/>
        <v/>
      </c>
      <c r="BJ112" s="107"/>
      <c r="BK112" s="107" t="str">
        <f t="shared" si="7"/>
        <v/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>IF(BA113="","",BA113*AY113)</f>
        <v/>
      </c>
      <c r="BD113" s="441"/>
      <c r="BE113" s="23"/>
      <c r="BF113" s="24"/>
      <c r="BG113" s="24"/>
      <c r="BH113" s="25"/>
      <c r="BI113" s="451" t="str">
        <f t="shared" si="6"/>
        <v/>
      </c>
      <c r="BJ113" s="107"/>
      <c r="BK113" s="107" t="str">
        <f t="shared" si="7"/>
        <v/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>IF(BA114="","",BA114*AY114)</f>
        <v/>
      </c>
      <c r="BD114" s="441"/>
      <c r="BE114" s="23"/>
      <c r="BF114" s="24"/>
      <c r="BG114" s="24"/>
      <c r="BH114" s="25"/>
      <c r="BI114" s="451" t="str">
        <f t="shared" si="6"/>
        <v/>
      </c>
      <c r="BJ114" s="107"/>
      <c r="BK114" s="107" t="str">
        <f t="shared" si="7"/>
        <v/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>IF(BA115="","",BA115*AY115)</f>
        <v/>
      </c>
      <c r="BD115" s="441"/>
      <c r="BE115" s="23"/>
      <c r="BF115" s="24"/>
      <c r="BG115" s="24"/>
      <c r="BH115" s="25"/>
      <c r="BI115" s="451" t="str">
        <f t="shared" si="6"/>
        <v/>
      </c>
      <c r="BJ115" s="107"/>
      <c r="BK115" s="107" t="str">
        <f t="shared" si="7"/>
        <v/>
      </c>
    </row>
  </sheetData>
  <sheetProtection password="DD97" sheet="1"/>
  <mergeCells count="186">
    <mergeCell ref="O85:P85"/>
    <mergeCell ref="Q85:R85"/>
    <mergeCell ref="S85:T85"/>
    <mergeCell ref="U85:V85"/>
    <mergeCell ref="AE85:AF85"/>
    <mergeCell ref="AI83:AJ83"/>
    <mergeCell ref="S83:T83"/>
    <mergeCell ref="U83:V83"/>
    <mergeCell ref="AA83:AB83"/>
    <mergeCell ref="U84:V84"/>
    <mergeCell ref="AC84:AD84"/>
    <mergeCell ref="AE84:AF84"/>
    <mergeCell ref="AG84:AH84"/>
    <mergeCell ref="AI84:AJ84"/>
    <mergeCell ref="AG85:AH85"/>
    <mergeCell ref="AI85:AJ85"/>
    <mergeCell ref="W85:X85"/>
    <mergeCell ref="Y85:Z85"/>
    <mergeCell ref="AA85:AB85"/>
    <mergeCell ref="AC85:AD85"/>
    <mergeCell ref="AG83:AH83"/>
    <mergeCell ref="AG80:AH80"/>
    <mergeCell ref="AI80:AJ80"/>
    <mergeCell ref="O81:P81"/>
    <mergeCell ref="Q81:R81"/>
    <mergeCell ref="S81:T81"/>
    <mergeCell ref="U81:V81"/>
    <mergeCell ref="AC81:AD81"/>
    <mergeCell ref="AE81:AF81"/>
    <mergeCell ref="AG81:AH81"/>
    <mergeCell ref="AA81:AB81"/>
    <mergeCell ref="AI81:AJ81"/>
    <mergeCell ref="O82:AJ82"/>
    <mergeCell ref="W83:X83"/>
    <mergeCell ref="Y83:Z83"/>
    <mergeCell ref="W84:X84"/>
    <mergeCell ref="Y84:Z84"/>
    <mergeCell ref="AA84:AB84"/>
    <mergeCell ref="W81:X81"/>
    <mergeCell ref="Y81:Z81"/>
    <mergeCell ref="AI67:AM67"/>
    <mergeCell ref="AO67:AR67"/>
    <mergeCell ref="O79:P79"/>
    <mergeCell ref="Q79:R79"/>
    <mergeCell ref="S79:T79"/>
    <mergeCell ref="U79:V79"/>
    <mergeCell ref="W79:X79"/>
    <mergeCell ref="Y79:Z79"/>
    <mergeCell ref="AA79:AB79"/>
    <mergeCell ref="AC79:AD79"/>
    <mergeCell ref="AG79:AH79"/>
    <mergeCell ref="AI79:AJ79"/>
    <mergeCell ref="A66:A105"/>
    <mergeCell ref="B67:E67"/>
    <mergeCell ref="G67:K67"/>
    <mergeCell ref="O67:S67"/>
    <mergeCell ref="U67:Y67"/>
    <mergeCell ref="AA67:AE67"/>
    <mergeCell ref="AE79:AF79"/>
    <mergeCell ref="AE80:AF80"/>
    <mergeCell ref="O83:P83"/>
    <mergeCell ref="Q83:R83"/>
    <mergeCell ref="O80:P80"/>
    <mergeCell ref="Q80:R80"/>
    <mergeCell ref="S80:T80"/>
    <mergeCell ref="U80:V80"/>
    <mergeCell ref="W80:X80"/>
    <mergeCell ref="Y80:Z80"/>
    <mergeCell ref="AA80:AB80"/>
    <mergeCell ref="AC80:AD80"/>
    <mergeCell ref="AC83:AD83"/>
    <mergeCell ref="AE83:AF83"/>
    <mergeCell ref="M84:N84"/>
    <mergeCell ref="O84:P84"/>
    <mergeCell ref="Q84:R84"/>
    <mergeCell ref="S84:T84"/>
    <mergeCell ref="AN29:AO29"/>
    <mergeCell ref="B30:G30"/>
    <mergeCell ref="H30:L30"/>
    <mergeCell ref="M30:N30"/>
    <mergeCell ref="S30:T30"/>
    <mergeCell ref="U30:V30"/>
    <mergeCell ref="W30:X30"/>
    <mergeCell ref="Y30:Z30"/>
    <mergeCell ref="AA30:AB30"/>
    <mergeCell ref="AC30:AD30"/>
    <mergeCell ref="U28:V28"/>
    <mergeCell ref="W28:X28"/>
    <mergeCell ref="Y28:Z28"/>
    <mergeCell ref="AA28:AB28"/>
    <mergeCell ref="AC28:AD28"/>
    <mergeCell ref="AN28:AO28"/>
    <mergeCell ref="B28:G28"/>
    <mergeCell ref="H28:L28"/>
    <mergeCell ref="M28:N28"/>
    <mergeCell ref="O28:P28"/>
    <mergeCell ref="Q28:R28"/>
    <mergeCell ref="S28:T28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O26:P26"/>
    <mergeCell ref="Q26:R26"/>
    <mergeCell ref="S26:T26"/>
    <mergeCell ref="U26:V26"/>
    <mergeCell ref="W26:X26"/>
    <mergeCell ref="Y26:Z26"/>
    <mergeCell ref="Y22:Z22"/>
    <mergeCell ref="AA22:AB22"/>
    <mergeCell ref="AC22:AD22"/>
    <mergeCell ref="AE22:AF22"/>
    <mergeCell ref="AN22:AO22"/>
    <mergeCell ref="AI25:AO25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U20:V20"/>
    <mergeCell ref="W20:X20"/>
    <mergeCell ref="Y20:Z20"/>
    <mergeCell ref="AA20:AB20"/>
    <mergeCell ref="AC20:AD20"/>
    <mergeCell ref="AE20:AF20"/>
    <mergeCell ref="B20:G20"/>
    <mergeCell ref="H20:L20"/>
    <mergeCell ref="M20:N20"/>
    <mergeCell ref="O20:P20"/>
    <mergeCell ref="Q20:R20"/>
    <mergeCell ref="S20:T20"/>
    <mergeCell ref="AI18:AO18"/>
    <mergeCell ref="B19:G19"/>
    <mergeCell ref="H19:L19"/>
    <mergeCell ref="M19:N19"/>
    <mergeCell ref="O19:P19"/>
    <mergeCell ref="Q19:R19"/>
    <mergeCell ref="S19:T19"/>
    <mergeCell ref="AN19:AO19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K12"/>
    <mergeCell ref="B13:E13"/>
    <mergeCell ref="F13:I13"/>
    <mergeCell ref="J13:K13"/>
    <mergeCell ref="O17:AF17"/>
    <mergeCell ref="B9:E9"/>
    <mergeCell ref="F9:K9"/>
    <mergeCell ref="AK9:AP10"/>
    <mergeCell ref="B10:E10"/>
    <mergeCell ref="F10:K10"/>
    <mergeCell ref="B11:E11"/>
    <mergeCell ref="F11:K11"/>
    <mergeCell ref="AI17:AO17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AY24:AY29 AY37:AY40 BH35:BH40 BH42:BH47 BH72:BH77 AY31:AY35 BH49:BH57 AY15:AY22 AY54:AY57 BH30:BH33 BH63:BH70 BH79:BH92 BH5:BH22 AY5:AY13 AZ6:AZ82 AZ105:AZ106 BI6:BI101 BI106 BH112:BI115 AZ112:AZ115">
    <cfRule type="cellIs" dxfId="312" priority="80" stopIfTrue="1" operator="equal">
      <formula>0</formula>
    </cfRule>
  </conditionalFormatting>
  <conditionalFormatting sqref="AY50:AY53 AY63 AY42:AY43 AY47 AY65 AY45">
    <cfRule type="cellIs" dxfId="311" priority="78" stopIfTrue="1" operator="equal">
      <formula>0</formula>
    </cfRule>
  </conditionalFormatting>
  <conditionalFormatting sqref="O17:AF17 S19:T19 S20:AD20 W22:AD22 S27:T27 S28:AD28 S30:AD30">
    <cfRule type="expression" dxfId="310" priority="79" stopIfTrue="1">
      <formula>$AW$4=0</formula>
    </cfRule>
  </conditionalFormatting>
  <conditionalFormatting sqref="AY72 AY78:AY79">
    <cfRule type="cellIs" dxfId="309" priority="77" stopIfTrue="1" operator="equal">
      <formula>0</formula>
    </cfRule>
  </conditionalFormatting>
  <conditionalFormatting sqref="AY80">
    <cfRule type="cellIs" dxfId="308" priority="76" stopIfTrue="1" operator="equal">
      <formula>0</formula>
    </cfRule>
  </conditionalFormatting>
  <conditionalFormatting sqref="AY60:AY61">
    <cfRule type="cellIs" dxfId="307" priority="66" stopIfTrue="1" operator="equal">
      <formula>0</formula>
    </cfRule>
  </conditionalFormatting>
  <conditionalFormatting sqref="AY48:AY49">
    <cfRule type="cellIs" dxfId="306" priority="75" stopIfTrue="1" operator="equal">
      <formula>0</formula>
    </cfRule>
  </conditionalFormatting>
  <conditionalFormatting sqref="AY59">
    <cfRule type="cellIs" dxfId="305" priority="74" stopIfTrue="1" operator="equal">
      <formula>0</formula>
    </cfRule>
  </conditionalFormatting>
  <conditionalFormatting sqref="AY67:AY69">
    <cfRule type="cellIs" dxfId="304" priority="73" stopIfTrue="1" operator="equal">
      <formula>0</formula>
    </cfRule>
  </conditionalFormatting>
  <conditionalFormatting sqref="AY70">
    <cfRule type="cellIs" dxfId="303" priority="72" stopIfTrue="1" operator="equal">
      <formula>0</formula>
    </cfRule>
  </conditionalFormatting>
  <conditionalFormatting sqref="AY71">
    <cfRule type="cellIs" dxfId="302" priority="71" stopIfTrue="1" operator="equal">
      <formula>0</formula>
    </cfRule>
  </conditionalFormatting>
  <conditionalFormatting sqref="AY81:AY82">
    <cfRule type="cellIs" dxfId="301" priority="70" stopIfTrue="1" operator="equal">
      <formula>0</formula>
    </cfRule>
  </conditionalFormatting>
  <conditionalFormatting sqref="BH94:BH96 BH98">
    <cfRule type="cellIs" dxfId="300" priority="69" stopIfTrue="1" operator="equal">
      <formula>0</formula>
    </cfRule>
  </conditionalFormatting>
  <conditionalFormatting sqref="AY105:AY106 AY112:AY115">
    <cfRule type="cellIs" dxfId="299" priority="67" stopIfTrue="1" operator="equal">
      <formula>0</formula>
    </cfRule>
  </conditionalFormatting>
  <conditionalFormatting sqref="BH99:BH101">
    <cfRule type="cellIs" dxfId="298" priority="65" stopIfTrue="1" operator="equal">
      <formula>0</formula>
    </cfRule>
  </conditionalFormatting>
  <conditionalFormatting sqref="AY14">
    <cfRule type="cellIs" dxfId="297" priority="64" stopIfTrue="1" operator="equal">
      <formula>0</formula>
    </cfRule>
  </conditionalFormatting>
  <conditionalFormatting sqref="AY23">
    <cfRule type="cellIs" dxfId="296" priority="63" stopIfTrue="1" operator="equal">
      <formula>0</formula>
    </cfRule>
  </conditionalFormatting>
  <conditionalFormatting sqref="AY36">
    <cfRule type="cellIs" dxfId="295" priority="62" stopIfTrue="1" operator="equal">
      <formula>0</formula>
    </cfRule>
  </conditionalFormatting>
  <conditionalFormatting sqref="AY41">
    <cfRule type="cellIs" dxfId="294" priority="61" stopIfTrue="1" operator="equal">
      <formula>0</formula>
    </cfRule>
  </conditionalFormatting>
  <conditionalFormatting sqref="AY46">
    <cfRule type="cellIs" dxfId="293" priority="60" stopIfTrue="1" operator="equal">
      <formula>0</formula>
    </cfRule>
  </conditionalFormatting>
  <conditionalFormatting sqref="AY58">
    <cfRule type="cellIs" dxfId="292" priority="59" stopIfTrue="1" operator="equal">
      <formula>0</formula>
    </cfRule>
  </conditionalFormatting>
  <conditionalFormatting sqref="AY62">
    <cfRule type="cellIs" dxfId="291" priority="58" stopIfTrue="1" operator="equal">
      <formula>0</formula>
    </cfRule>
  </conditionalFormatting>
  <conditionalFormatting sqref="AY64">
    <cfRule type="cellIs" dxfId="290" priority="57" stopIfTrue="1" operator="equal">
      <formula>0</formula>
    </cfRule>
  </conditionalFormatting>
  <conditionalFormatting sqref="AY66">
    <cfRule type="cellIs" dxfId="289" priority="56" stopIfTrue="1" operator="equal">
      <formula>0</formula>
    </cfRule>
  </conditionalFormatting>
  <conditionalFormatting sqref="AY73:AY77">
    <cfRule type="cellIs" dxfId="288" priority="55" stopIfTrue="1" operator="equal">
      <formula>0</formula>
    </cfRule>
  </conditionalFormatting>
  <conditionalFormatting sqref="F13:K13">
    <cfRule type="expression" dxfId="287" priority="54" stopIfTrue="1">
      <formula>$AW$4=1</formula>
    </cfRule>
  </conditionalFormatting>
  <conditionalFormatting sqref="BH23:BH26">
    <cfRule type="cellIs" dxfId="286" priority="53" stopIfTrue="1" operator="equal">
      <formula>0</formula>
    </cfRule>
  </conditionalFormatting>
  <conditionalFormatting sqref="BH27">
    <cfRule type="cellIs" dxfId="285" priority="52" stopIfTrue="1" operator="equal">
      <formula>0</formula>
    </cfRule>
  </conditionalFormatting>
  <conditionalFormatting sqref="BH28">
    <cfRule type="cellIs" dxfId="284" priority="51" stopIfTrue="1" operator="equal">
      <formula>0</formula>
    </cfRule>
  </conditionalFormatting>
  <conditionalFormatting sqref="BH29">
    <cfRule type="cellIs" dxfId="283" priority="50" stopIfTrue="1" operator="equal">
      <formula>0</formula>
    </cfRule>
  </conditionalFormatting>
  <conditionalFormatting sqref="BH34">
    <cfRule type="cellIs" dxfId="282" priority="49" stopIfTrue="1" operator="equal">
      <formula>0</formula>
    </cfRule>
  </conditionalFormatting>
  <conditionalFormatting sqref="BH41">
    <cfRule type="cellIs" dxfId="281" priority="48" stopIfTrue="1" operator="equal">
      <formula>0</formula>
    </cfRule>
  </conditionalFormatting>
  <conditionalFormatting sqref="BH58">
    <cfRule type="cellIs" dxfId="280" priority="47" stopIfTrue="1" operator="equal">
      <formula>0</formula>
    </cfRule>
  </conditionalFormatting>
  <conditionalFormatting sqref="BH59:BH62">
    <cfRule type="cellIs" dxfId="279" priority="46" stopIfTrue="1" operator="equal">
      <formula>0</formula>
    </cfRule>
  </conditionalFormatting>
  <conditionalFormatting sqref="BH71">
    <cfRule type="cellIs" dxfId="278" priority="45" stopIfTrue="1" operator="equal">
      <formula>0</formula>
    </cfRule>
  </conditionalFormatting>
  <conditionalFormatting sqref="BH78">
    <cfRule type="cellIs" dxfId="277" priority="44" stopIfTrue="1" operator="equal">
      <formula>0</formula>
    </cfRule>
  </conditionalFormatting>
  <conditionalFormatting sqref="BH93">
    <cfRule type="cellIs" dxfId="276" priority="43" stopIfTrue="1" operator="equal">
      <formula>0</formula>
    </cfRule>
  </conditionalFormatting>
  <conditionalFormatting sqref="BH97">
    <cfRule type="cellIs" dxfId="275" priority="42" stopIfTrue="1" operator="equal">
      <formula>0</formula>
    </cfRule>
  </conditionalFormatting>
  <conditionalFormatting sqref="AE22:AF22">
    <cfRule type="expression" dxfId="274" priority="40" stopIfTrue="1">
      <formula>$AW$4=0</formula>
    </cfRule>
  </conditionalFormatting>
  <conditionalFormatting sqref="AY44">
    <cfRule type="cellIs" dxfId="273" priority="37" stopIfTrue="1" operator="equal">
      <formula>0</formula>
    </cfRule>
  </conditionalFormatting>
  <conditionalFormatting sqref="AY30">
    <cfRule type="cellIs" dxfId="272" priority="39" stopIfTrue="1" operator="equal">
      <formula>0</formula>
    </cfRule>
  </conditionalFormatting>
  <conditionalFormatting sqref="BH48">
    <cfRule type="cellIs" dxfId="271" priority="38" stopIfTrue="1" operator="equal">
      <formula>0</formula>
    </cfRule>
  </conditionalFormatting>
  <conditionalFormatting sqref="AZ5">
    <cfRule type="cellIs" dxfId="270" priority="36" stopIfTrue="1" operator="equal">
      <formula>0</formula>
    </cfRule>
  </conditionalFormatting>
  <conditionalFormatting sqref="BI5">
    <cfRule type="cellIs" dxfId="269" priority="35" stopIfTrue="1" operator="equal">
      <formula>0</formula>
    </cfRule>
  </conditionalFormatting>
  <conditionalFormatting sqref="AZ83:AZ84">
    <cfRule type="cellIs" dxfId="268" priority="14" stopIfTrue="1" operator="equal">
      <formula>0</formula>
    </cfRule>
  </conditionalFormatting>
  <conditionalFormatting sqref="AY83:AY84">
    <cfRule type="cellIs" dxfId="267" priority="13" stopIfTrue="1" operator="equal">
      <formula>0</formula>
    </cfRule>
  </conditionalFormatting>
  <conditionalFormatting sqref="BH102:BH103">
    <cfRule type="cellIs" dxfId="266" priority="12" stopIfTrue="1" operator="equal">
      <formula>0</formula>
    </cfRule>
  </conditionalFormatting>
  <conditionalFormatting sqref="AZ96:AZ104">
    <cfRule type="cellIs" dxfId="265" priority="25" stopIfTrue="1" operator="equal">
      <formula>0</formula>
    </cfRule>
  </conditionalFormatting>
  <conditionalFormatting sqref="AZ94">
    <cfRule type="cellIs" dxfId="264" priority="19" stopIfTrue="1" operator="equal">
      <formula>0</formula>
    </cfRule>
  </conditionalFormatting>
  <conditionalFormatting sqref="AY103:AY104">
    <cfRule type="cellIs" dxfId="263" priority="31" stopIfTrue="1" operator="equal">
      <formula>0</formula>
    </cfRule>
  </conditionalFormatting>
  <conditionalFormatting sqref="AY102">
    <cfRule type="cellIs" dxfId="262" priority="30" stopIfTrue="1" operator="equal">
      <formula>0</formula>
    </cfRule>
  </conditionalFormatting>
  <conditionalFormatting sqref="AY96:AY101">
    <cfRule type="cellIs" dxfId="261" priority="29" stopIfTrue="1" operator="equal">
      <formula>0</formula>
    </cfRule>
  </conditionalFormatting>
  <conditionalFormatting sqref="V87:AC92">
    <cfRule type="expression" dxfId="260" priority="33" stopIfTrue="1">
      <formula>OR($AU$97=0,$AU$97=$AU$95)</formula>
    </cfRule>
  </conditionalFormatting>
  <conditionalFormatting sqref="AY94">
    <cfRule type="cellIs" dxfId="259" priority="18" stopIfTrue="1" operator="equal">
      <formula>0</formula>
    </cfRule>
  </conditionalFormatting>
  <conditionalFormatting sqref="BH106">
    <cfRule type="cellIs" dxfId="258" priority="23" stopIfTrue="1" operator="equal">
      <formula>0</formula>
    </cfRule>
  </conditionalFormatting>
  <conditionalFormatting sqref="AR87">
    <cfRule type="expression" dxfId="257" priority="22" stopIfTrue="1">
      <formula>$AU$87=AU89</formula>
    </cfRule>
  </conditionalFormatting>
  <conditionalFormatting sqref="AZ95">
    <cfRule type="cellIs" dxfId="256" priority="21" stopIfTrue="1" operator="equal">
      <formula>0</formula>
    </cfRule>
  </conditionalFormatting>
  <conditionalFormatting sqref="AY95">
    <cfRule type="cellIs" dxfId="255" priority="20" stopIfTrue="1" operator="equal">
      <formula>0</formula>
    </cfRule>
  </conditionalFormatting>
  <conditionalFormatting sqref="AZ85:AZ93">
    <cfRule type="cellIs" dxfId="254" priority="17" stopIfTrue="1" operator="equal">
      <formula>0</formula>
    </cfRule>
  </conditionalFormatting>
  <conditionalFormatting sqref="AY88:AY93">
    <cfRule type="cellIs" dxfId="253" priority="16" stopIfTrue="1" operator="equal">
      <formula>0</formula>
    </cfRule>
  </conditionalFormatting>
  <conditionalFormatting sqref="AY85:AY87">
    <cfRule type="cellIs" dxfId="252" priority="15" stopIfTrue="1" operator="equal">
      <formula>0</formula>
    </cfRule>
  </conditionalFormatting>
  <conditionalFormatting sqref="BI102">
    <cfRule type="cellIs" dxfId="251" priority="11" stopIfTrue="1" operator="equal">
      <formula>0</formula>
    </cfRule>
  </conditionalFormatting>
  <conditionalFormatting sqref="BH104:BH105">
    <cfRule type="cellIs" dxfId="250" priority="10" stopIfTrue="1" operator="equal">
      <formula>0</formula>
    </cfRule>
  </conditionalFormatting>
  <conditionalFormatting sqref="BI104:BI105">
    <cfRule type="cellIs" dxfId="249" priority="9" stopIfTrue="1" operator="equal">
      <formula>0</formula>
    </cfRule>
  </conditionalFormatting>
  <conditionalFormatting sqref="BI103">
    <cfRule type="cellIs" dxfId="248" priority="8" stopIfTrue="1" operator="equal">
      <formula>0</formula>
    </cfRule>
  </conditionalFormatting>
  <conditionalFormatting sqref="AZ107:AZ111">
    <cfRule type="cellIs" dxfId="247" priority="7" stopIfTrue="1" operator="equal">
      <formula>0</formula>
    </cfRule>
  </conditionalFormatting>
  <conditionalFormatting sqref="AY107:AY111">
    <cfRule type="cellIs" dxfId="246" priority="6" stopIfTrue="1" operator="equal">
      <formula>0</formula>
    </cfRule>
  </conditionalFormatting>
  <conditionalFormatting sqref="BH107 BH110:BH111">
    <cfRule type="cellIs" dxfId="245" priority="5" stopIfTrue="1" operator="equal">
      <formula>0</formula>
    </cfRule>
  </conditionalFormatting>
  <conditionalFormatting sqref="BI107:BI111">
    <cfRule type="cellIs" dxfId="244" priority="4" stopIfTrue="1" operator="equal">
      <formula>0</formula>
    </cfRule>
  </conditionalFormatting>
  <conditionalFormatting sqref="BH108:BH109">
    <cfRule type="cellIs" dxfId="243" priority="3" stopIfTrue="1" operator="equal">
      <formula>0</formula>
    </cfRule>
  </conditionalFormatting>
  <conditionalFormatting sqref="AI17:AO17">
    <cfRule type="expression" dxfId="242" priority="2" stopIfTrue="1">
      <formula>$AW$4=0</formula>
    </cfRule>
  </conditionalFormatting>
  <conditionalFormatting sqref="AI25:AO25">
    <cfRule type="expression" dxfId="241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AK9:AO10" location="'IT70(vn100)'!A66" display="'IT70(vn100)'!A66"/>
    <hyperlink ref="AK9:AP10" location="'AVT187In(vn-A)'!A66" display="'AVT187In(vn-A)'!A66"/>
    <hyperlink ref="M69" location="MENU!A1" display="MENU!A1"/>
    <hyperlink ref="B67:E67" location="'AVT187In(vn-A)'!A1" display="'AVT187In(vn-A)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rgb="FF00B050"/>
  </sheetPr>
  <dimension ref="A1:BK146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SUM(BB5:BB1003)</f>
        <v>0</v>
      </c>
      <c r="BD4" s="105" t="s">
        <v>40</v>
      </c>
      <c r="BK4" s="444">
        <f>SUM(BK5:BK996)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AVANTECH YOU BOKY V SADĚ V187 MM NL270 MM STŘÍBRNÁ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847.2</v>
      </c>
      <c r="BB5" s="107">
        <f t="shared" ref="BB5:BB68" si="0">IF(BA5="","",BA5*AY5)</f>
        <v>0</v>
      </c>
      <c r="BD5" s="441">
        <f>OBJ!B116</f>
        <v>9255044</v>
      </c>
      <c r="BE5" s="23" t="str">
        <f>VLOOKUP(BD5,CENY!$B$11:$G$1034,2,FALSE)</f>
        <v>AVANTECH YOU BOK V187 MM NL270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293.88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438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AVANTECH YOU BOKY V SADĚ V187 MM NL300 MM STŘÍBRNÁ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9" si="1">IF(AY6="","",IF($AW$4=1,AY6,0))</f>
        <v>0</v>
      </c>
      <c r="BA6" s="107">
        <f>VLOOKUP(AU6,CENY!$B$11:$M$2005,12,FALSE)</f>
        <v>853.97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AVANTECH YOU BOK V187 MM NL270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293.88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AVANTECH YOU BOKY V SADĚ V187 MM NL350 MM STŘÍBRNÁ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865.25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AVANTECH YOU BOK V187 MM NL300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297.16000000000003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AVANTECH YOU BOKY V SADĚ V187 MM NL400 MM STŘÍBRNÁ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876.53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AVANTECH YOU BOK V187 MM NL300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297.16000000000003</v>
      </c>
      <c r="BK8" s="107">
        <f t="shared" si="3"/>
        <v>0</v>
      </c>
    </row>
    <row r="9" spans="1:63" ht="14.4" customHeight="1" thickTop="1">
      <c r="B9" s="555"/>
      <c r="C9" s="563"/>
      <c r="D9" s="563"/>
      <c r="E9" s="564"/>
      <c r="F9" s="565"/>
      <c r="G9" s="566"/>
      <c r="H9" s="566"/>
      <c r="I9" s="566"/>
      <c r="J9" s="566"/>
      <c r="K9" s="567"/>
      <c r="AK9" s="649" t="str">
        <f>verze!E160</f>
        <v>Je nutné natypovat šířky čel ?</v>
      </c>
      <c r="AL9" s="650"/>
      <c r="AM9" s="650"/>
      <c r="AN9" s="650"/>
      <c r="AO9" s="650"/>
      <c r="AP9" s="651"/>
      <c r="AU9" s="441">
        <f>OBJ!B110</f>
        <v>9255266</v>
      </c>
      <c r="AV9" s="23" t="str">
        <f>VLOOKUP(AU9,CENY!$B$11:$G$1034,2,FALSE)</f>
        <v>AVANTECH YOU BOKY V SADĚ V187 MM NL450 MM STŘÍBRNÁ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887.81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AVANTECH YOU BOK V187 MM NL350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302.63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OBJ!B111</f>
        <v>9255267</v>
      </c>
      <c r="AV10" s="23" t="str">
        <f>VLOOKUP(AU10,CENY!$B$11:$G$1034,2,FALSE)</f>
        <v>AVANTECH YOU BOKY V SADĚ V187 MM NL500 MM STŘÍBRNÁ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899.09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AVANTECH YOU BOK V187 MM NL350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302.63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AVANTECH YOU BOKY V SADĚ V187 MM NL550 MM STŘÍBRNÁ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910.37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AVANTECH YOU BOK V187 MM NL400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308.10000000000002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AVANTECH YOU BOKY V SADĚ V187 MM NL600 MM STŘÍBRNÁ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927.39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AVANTECH YOU BOK V187 MM NL400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308.10000000000002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OBJ!B114</f>
        <v>9255270</v>
      </c>
      <c r="AV13" s="23" t="str">
        <f>VLOOKUP(AU13,CENY!$B$11:$G$1034,2,FALSE)</f>
        <v>AVANTECH YOU BOKY V SADĚ V187 MM NL650 MM STŘÍBRNÁ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950.52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AVANTECH YOU BOK V187 MM NL450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313.57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AVANTECH YOU BOK V187 MM NL450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313.57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AVANTECH YOU DEKORATIVNÍ PROFIL NL270 MM STŘÍBRNÝ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9.18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AVANTECH YOU BOK V187 MM NL500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319.02999999999997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AVANTECH YOU DEKORATIVNÍ PROFIL NL300 MM STŘÍBRNÝ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9.2799999999999994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AVANTECH YOU BOK V187 MM NL500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319.02999999999997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AVANTECH YOU DEKORATIVNÍ PROFIL NL350 MM STŘÍBRNÝ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9.4499999999999993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AVANTECH YOU BOK V187 MM NL550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324.5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AVANTECH YOU DEKORATIVNÍ PROFIL NL400 MM STŘÍBRNÝ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9.6199999999999992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AVANTECH YOU BOK V187 MM NL550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324.5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AVANTECH YOU DEKORATIVNÍ PROFIL NL450 MM STŘÍBRNÝ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9.8000000000000007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AVANTECH YOU BOK V187 MM NL600 MM STŘÍBRNÝ LEVÝ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332.75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AVANTECH YOU DEKORATIVNÍ PROFIL NL500 MM STŘÍBRNÝ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9.9700000000000006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AVANTECH YOU BOK V187 MM NL600 MM STŘÍBRNÝ PRAVÝ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332.75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AVANTECH YOU DEKORATIVNÍ PROFIL NL550 MM STŘÍBRNÝ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10.14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AVANTECH YOU BOK V187 MM NL650 MM STŘÍBRNÝ LEVÝ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343.97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AVANTECH YOU DEKORATIVNÍ PROFIL NL600 MM STŘÍBRNÝ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10.39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AVANTECH YOU BOK V187 MM NL650 MM STŘÍBRNÝ PRAVÝ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343.97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AVANTECH YOU DEKORATIVNÍ PROFIL NL650 MM STŘÍBRNÝ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10.74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2">
        <v>9255839</v>
      </c>
      <c r="BE24" s="443" t="str">
        <f>VLOOKUP(BD24,CENY!$B$11:$G$1034,2,FALSE)</f>
        <v>AVANTECH YOU PŘÍCHYTKA ČELA V187 / 251 MM K ZALISOVÁNÍ</v>
      </c>
      <c r="BF24" s="24">
        <f>VLOOKUP(BD24,CENY!$B$11:$G$1034,3,FALSE)</f>
        <v>200</v>
      </c>
      <c r="BG24" s="24"/>
      <c r="BH24" s="25">
        <v>0</v>
      </c>
      <c r="BI24" s="451">
        <f t="shared" si="2"/>
        <v>0</v>
      </c>
      <c r="BJ24" s="107">
        <f>VLOOKUP(BD24,CENY!$B$11:$M$2005,12,FALSE)</f>
        <v>53.8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 10KG PLNOVÝSUV 270 MM EB21 SILENT SYSTEM SADA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AVANTECH YOU STABILIZÁTOR ZAD V101/139/187/251 MM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13.29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 10KG PLNOVÝSUV 300 MM EB21 SILENT SYSTEM SADA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561.63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 10KG PLNOVÝSUV 350 MM EB21 SILENT SYSTEM SADA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561.63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AVANTECH YOU DEKORATIVNÍ PROFIL NL270 MM STŘÍBRNÝ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9.18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AVANTECH YOU DEKORATIVNÍ PROFIL NL300 MM STŘÍBRNÝ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9.2799999999999994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 40KG PLNOVÝSUV 270 MM EB21 SILENT SYSTEM SADA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561.63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AVANTECH YOU DEKORATIVNÍ PROFIL NL350 MM STŘÍBRNÝ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9.4499999999999993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 40KG PLNOVÝSUV 300 MM EB21 SILENT SYSTEM SADA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561.63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AVANTECH YOU DEKORATIVNÍ PROFIL NL400 MM STŘÍBRNÝ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9.6199999999999992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 40KG PLNOVÝSUV 350 MM EB21 SILENT SYSTEM SADA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561.63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AVANTECH YOU DEKORATIVNÍ PROFIL NL450 MM STŘÍBRNÝ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9.8000000000000007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OBJ!B239</f>
        <v>9257004</v>
      </c>
      <c r="AV32" s="23" t="str">
        <f>VLOOKUP(AU32,CENY!$B$11:$G$1034,2,FALSE)</f>
        <v>ACTRO YOU 40KG PLNOVÝSUV 400 MM EB21 SILENT SYSTEM SADA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567.85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AVANTECH YOU DEKORATIVNÍ PROFIL NL500 MM STŘÍBRNÝ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9.9700000000000006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OBJ!B240</f>
        <v>9257006</v>
      </c>
      <c r="AV33" s="23" t="str">
        <f>VLOOKUP(AU33,CENY!$B$11:$G$1034,2,FALSE)</f>
        <v>ACTRO YOU 40KG PLNOVÝSUV 450 MM EB21 SILENT SYSTEM SADA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574.04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AVANTECH YOU DEKORATIVNÍ PROFIL NL550 MM STŘÍBRNÝ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10.14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OBJ!B241</f>
        <v>9257008</v>
      </c>
      <c r="AV34" s="23" t="str">
        <f>VLOOKUP(AU34,CENY!$B$11:$G$1034,2,FALSE)</f>
        <v>ACTRO YOU 40KG PLNOVÝSUV 500 MM EB21 SILENT SYSTEM SADA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580.26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AVANTECH YOU DEKORATIVNÍ PROFIL NL600 MM STŘÍBRNÝ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10.39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 40KG PLNOVÝSUV 550 MM EB21 SILENT SYSTEM SADA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613.44000000000005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AVANTECH YOU DEKORATIVNÍ PROFIL NL650 MM STŘÍBRNÝ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10.74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 40KG PLNOVÝSUV 600 MM EB21 SILENT SYSTÉM SADA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620.78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 10KG PLNOVÝSUV 270 MM EB21 SILENT SYSTEM LEVÝ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 70KG PLNOVÝSUV 450 MM EB21 SILENT SYSTEM SADA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691.9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 10KG PLNOVÝSUV 270 MM EB21 SILENT SYSTEM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 70KG PLNOVÝSUV 500 MM EB21 SILENT SYSTEM SADA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698.13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 10KG PLNOVÝSUV 300 MM EB21 SILENT SYSTEM LEVÝ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 70KG PLNOVÝSUV 550 MM EB21 SILENT SYSTEM SADA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731.3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 10KG PLNOVÝSUV 300 MM EB21 SILENT SYSTEM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243.93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 70KG PLNOVÝSUV 600 MM EB21 SILENT SYSTEM SADA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798.31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 10KG PLNOVÝSUV 350 MM EB21 SILENT SYSTEM LEVÝ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243.93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 70KG PLNOVÝSUV 650 MM EB21 SILENT SYSTEM SADA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828.55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 10KG PLNOVÝSUV 350 MM EB21 SILENT SYSTEM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243.93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PUSH TO OPEN SILENT ACTRO YOU / ACTRO 5D 10 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544.37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 40KG PLNOVÝSUV 270 MM EB21 SILENT SYSTEM LEVÝ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243.93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PUSH TO OPEN SILENT ACTRO YOU / ACTRO 5D 20 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544.37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 40KG PLNOVÝSUV 270 MM EB21 SILENT SYSTEM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243.93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PUSH TO OPEN SILENT ACTRO YOU / ACTRO 5D 40 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544.37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 40KG PLNOVÝSUV 300 MM EB21 SILENT SYSTEM LEVÝ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243.93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PUSH TO OPEN SILENT ACTRO YOU / ACTRO 5D 70 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544.37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 40KG PLNOVÝSUV 300 MM EB21 SILENT SYSTEM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243.93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SYNCHRONIZAČNÍ TYČ 2000 MM</v>
      </c>
      <c r="AW48" s="24">
        <f>VLOOKUP(AU48,CENY!$B$11:$G$1034,3,FALSE)</f>
        <v>100</v>
      </c>
      <c r="AX48" s="24"/>
      <c r="AY48" s="25">
        <f>IF(SUM(AN19:AO22)+SUM(AN27:AO29)+SUM(O30:AD30)=0,0,AY83)</f>
        <v>0</v>
      </c>
      <c r="AZ48" s="451">
        <f t="shared" si="1"/>
        <v>0</v>
      </c>
      <c r="BA48" s="107">
        <f>VLOOKUP(AU48,CENY!$B$11:$M$2005,12,FALSE)</f>
        <v>144.30000000000001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 40KG PLNOVÝSUV 350 MM EB21 SILENT SYSTEM LEVÝ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243.93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 40KG PLNOVÝSUV 350 MM EB21 SILENT SYSTEM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243.93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 10 KG PLNOVÝSUV 270 MM EB21 SILENT SYSTEM SADA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413.4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 40KG PLNOVÝSUV 400 MM EB21 SILENT SYSTEM LEVÝ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247.05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 10 KG PLNOVÝSUV 300 MM EB21 SILENT SYSTEM SADA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414.13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 40KG PLNOVÝSUV 400 MM EB21 SILENT SYSTEM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247.05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 10 KG PLNOVÝSUV 350 MM EB21 SILENT SYSTEM SADA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421.61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 40KG PLNOVÝSUV 450 MM EB21 SILENT SYSTEM LEVÝ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250.14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 40KG PLNOVÝSUV 450 MM EB21 SILENT SYSTEM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250.14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 PLNOVÝSUV 270 MM EB21 SILENT SYSTEM SADA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372.29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 40KG PLNOVÝSUV 500 MM EB21 SILENT SYSTEM LEVÝ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253.25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 PLNOVÝSUV 300 MM EB21 SILENT SYSTEM SADA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369.3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 40KG PLNOVÝSUV 500 MM EB21 SILENT SYSTEM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253.25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 PLNOVÝSUV 350 MM EB21 SILENT SYSTEM SADA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376.77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 40KG PLNOVÝSUV 550 MM EB21 SILENT SYSTEM LEVÝ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269.83999999999997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 PLNOVÝSUV 400 MM EB21 SILENT SYSTEM SADA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384.24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 40KG PLNOVÝSUV 550 MM EB21 SILENT SYSTEM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269.83999999999997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 PLNOVÝSUV 450 MM EB21 SILENT SYSTEM SADA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391.72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 40KG PLNOVÝSUV 600 MM EB21 SILENT SYSTÉM LEVÝ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273.51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 PLNOVÝSUV 500 MM EB21 SILENT SYSTEM SADA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399.19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 40KG PLNOVÝSUV 600 MM EB21 SILENT SYSTÉM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273.51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 PLNOVÝSUV 550 MM EB21 SILENT SYSTEM SADA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412.64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 PLNOVÝSUV 600 MM EB21 SILENT SYSTEM SADA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420.11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 70KG PLNOVÝSUV 450 MM EB21 SILENT SYSTEM LEVÝ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309.07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 70KG PLNOVÝSUV 450 MM EB21 SILENT SYSTEM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309.07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PUSH TO OPEN SILENT QUADRO YOU 10 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544.37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 70KG PLNOVÝSUV 500 MM EB21 SILENT SYSTEM LEVÝ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312.18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PUSH TO OPEN SILENT QUADRO YOU 20 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544.37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 70KG PLNOVÝSUV 500 MM EB21 SILENT SYSTEM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312.18</v>
      </c>
      <c r="BK64" s="107">
        <f t="shared" si="3"/>
        <v>0</v>
      </c>
    </row>
    <row r="65" spans="1:63" ht="14.4" customHeight="1">
      <c r="AU65" s="441">
        <f>OBJ!B324</f>
        <v>9257896</v>
      </c>
      <c r="AV65" s="23" t="str">
        <f>VLOOKUP(AU65,CENY!$B$11:$G$1034,2,FALSE)</f>
        <v>PUSH TO OPEN SILENT QUADRO YOU 30 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544.37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 70KG PLNOVÝSUV 550 MM EB21 SILENT SYSTEM LEVÝ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328.77</v>
      </c>
      <c r="BK65" s="107">
        <f t="shared" si="3"/>
        <v>0</v>
      </c>
    </row>
    <row r="66" spans="1:63" ht="12.9" customHeight="1" thickBot="1">
      <c r="A66" s="633"/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 70KG PLNOVÝSUV 550 MM EB21 SILENT SYSTEM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328.77</v>
      </c>
      <c r="BK66" s="107">
        <f t="shared" si="3"/>
        <v>0</v>
      </c>
    </row>
    <row r="67" spans="1:63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441">
        <f>OBJ!B326</f>
        <v>9256928</v>
      </c>
      <c r="AV67" s="23" t="str">
        <f>VLOOKUP(AU67,CENY!$B$11:$G$1034,2,FALSE)</f>
        <v>QUADRO YOU PLNOVÝSUV 270 MM EB21 PUSH TO OPEN SADA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413.4</v>
      </c>
      <c r="BB67" s="107">
        <f t="shared" si="0"/>
        <v>0</v>
      </c>
      <c r="BD67" s="441">
        <f>OBJ!B272</f>
        <v>9257025</v>
      </c>
      <c r="BE67" s="23" t="str">
        <f>VLOOKUP(BD67,CENY!$B$11:$G$1034,2,FALSE)</f>
        <v>ACTRO YOU 70KG PLNOVÝSUV 600 MM EB21 SILENT SYSTEM LEVÝ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362.28</v>
      </c>
      <c r="BK67" s="107">
        <f t="shared" si="3"/>
        <v>0</v>
      </c>
    </row>
    <row r="68" spans="1:63" ht="12.9" customHeight="1">
      <c r="A68" s="633"/>
      <c r="AU68" s="441">
        <f>OBJ!B327</f>
        <v>9256929</v>
      </c>
      <c r="AV68" s="23" t="str">
        <f>VLOOKUP(AU68,CENY!$B$11:$G$1034,2,FALSE)</f>
        <v>QUADRO YOU PLNOVÝSUV 300 MM EB21 PUSH TO OPEN SADA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si="1"/>
        <v>0</v>
      </c>
      <c r="BA68" s="107">
        <f>VLOOKUP(AU68,CENY!$B$11:$M$2005,12,FALSE)</f>
        <v>414.13</v>
      </c>
      <c r="BB68" s="107">
        <f t="shared" si="0"/>
        <v>0</v>
      </c>
      <c r="BD68" s="441">
        <f>OBJ!B273</f>
        <v>9257026</v>
      </c>
      <c r="BE68" s="23" t="str">
        <f>VLOOKUP(BD68,CENY!$B$11:$G$1034,2,FALSE)</f>
        <v>ACTRO YOU 70KG PLNOVÝSUV 600 MM EB21 SILENT SYSTEM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362.28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>
        <f>OBJ!B328</f>
        <v>9256931</v>
      </c>
      <c r="AV69" s="23" t="str">
        <f>VLOOKUP(AU69,CENY!$B$11:$G$1034,2,FALSE)</f>
        <v>QUADRO YOU PLNOVÝSUV 350 MM EB21 PUSH TO OPEN SADA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1"/>
        <v>0</v>
      </c>
      <c r="BA69" s="107">
        <f>VLOOKUP(AU69,CENY!$B$11:$M$2005,12,FALSE)</f>
        <v>421.61</v>
      </c>
      <c r="BB69" s="107">
        <f t="shared" ref="BB69:BB132" si="4">IF(BA69="","",BA69*AY69)</f>
        <v>0</v>
      </c>
      <c r="BD69" s="441">
        <f>OBJ!B274</f>
        <v>9257027</v>
      </c>
      <c r="BE69" s="23" t="str">
        <f>VLOOKUP(BD69,CENY!$B$11:$G$1034,2,FALSE)</f>
        <v>ACTRO YOU 70KG PLNOVÝSUV 650 MM EB21 SILENT SYSTEM LEVÝ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377.39</v>
      </c>
      <c r="BK69" s="107">
        <f t="shared" si="3"/>
        <v>0</v>
      </c>
    </row>
    <row r="70" spans="1:63" ht="14.4" customHeight="1">
      <c r="A70" s="633"/>
      <c r="AU70" s="441">
        <f>OBJ!B329</f>
        <v>9256933</v>
      </c>
      <c r="AV70" s="23" t="str">
        <f>VLOOKUP(AU70,CENY!$B$11:$G$1034,2,FALSE)</f>
        <v>QUADRO YOU PLNOVÝSUV 400 MM EB21 PUSH TO OPEN SADA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ref="AZ70:AZ133" si="5">IF(AY70="","",IF($AW$4=1,AY70,0))</f>
        <v>0</v>
      </c>
      <c r="BA70" s="107">
        <f>VLOOKUP(AU70,CENY!$B$11:$M$2005,12,FALSE)</f>
        <v>429.08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 70KG PLNOVÝSUV 650 MM EB21 SILENT SYSTEM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27" si="6">IF(BH70="","",IF($AW$4=0,BH70,0))</f>
        <v>0</v>
      </c>
      <c r="BJ70" s="107">
        <f>VLOOKUP(BD70,CENY!$B$11:$M$2005,12,FALSE)</f>
        <v>377.39</v>
      </c>
      <c r="BK70" s="107">
        <f t="shared" ref="BK70:BK133" si="7">IF(BJ70="","",BJ70*BH70)</f>
        <v>0</v>
      </c>
    </row>
    <row r="71" spans="1:63" ht="14.4" customHeight="1">
      <c r="A71" s="633"/>
      <c r="AU71" s="441">
        <f>OBJ!B330</f>
        <v>9256935</v>
      </c>
      <c r="AV71" s="23" t="str">
        <f>VLOOKUP(AU71,CENY!$B$11:$G$1034,2,FALSE)</f>
        <v>QUADRO YOU PLNOVÝSUV 450 MM EB21 PUSH TO OPEN SADA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436.55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1:63" ht="14.4" customHeight="1">
      <c r="A72" s="633"/>
      <c r="AU72" s="441">
        <f>OBJ!B331</f>
        <v>9256937</v>
      </c>
      <c r="AV72" s="23" t="str">
        <f>VLOOKUP(AU72,CENY!$B$11:$G$1034,2,FALSE)</f>
        <v>QUADRO YOU PLNOVÝSUV 500 MM EB21 PUSH TO OPEN SADA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444.02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PUSH TO OPEN SILENT ACTRO YOU / ACTRO 5D 10 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544.37</v>
      </c>
      <c r="BK72" s="107">
        <f t="shared" si="7"/>
        <v>0</v>
      </c>
    </row>
    <row r="73" spans="1:63" ht="14.4" customHeight="1">
      <c r="A73" s="633"/>
      <c r="AU73" s="441">
        <f>OBJ!B332</f>
        <v>9256939</v>
      </c>
      <c r="AV73" s="23" t="str">
        <f>VLOOKUP(AU73,CENY!$B$11:$G$1034,2,FALSE)</f>
        <v>QUADRO YOU PLNOVÝSUV 550 MM EB21 PUSH TO OPEN SADA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457.48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PUSH TO OPEN SILENT ACTRO YOU / ACTRO 5D 20 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544.37</v>
      </c>
      <c r="BK73" s="107">
        <f t="shared" si="7"/>
        <v>0</v>
      </c>
    </row>
    <row r="74" spans="1:63" ht="14.4" customHeight="1">
      <c r="A74" s="633"/>
      <c r="AU74" s="441">
        <f>OBJ!B333</f>
        <v>9256941</v>
      </c>
      <c r="AV74" s="23" t="str">
        <f>VLOOKUP(AU74,CENY!$B$11:$G$1034,2,FALSE)</f>
        <v>QUADRO YOU PLNOVÝSUV 600 MM EB21 PUSH TO OPEN SADA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464.95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PUSH TO OPEN SILENT ACTRO YOU / ACTRO 5D 40 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544.37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PUSH TO OPEN SILENT ACTRO YOU / ACTRO 5D 70 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544.37</v>
      </c>
      <c r="BK75" s="107">
        <f t="shared" si="7"/>
        <v>0</v>
      </c>
    </row>
    <row r="76" spans="1:63" ht="14.4" customHeight="1">
      <c r="A76" s="633"/>
      <c r="AU76" s="441">
        <f>OBJ!B351</f>
        <v>9219966</v>
      </c>
      <c r="AV76" s="23" t="str">
        <f>VLOOKUP(AU76,CENY!$B$11:$G$1034,2,FALSE)</f>
        <v>PUSH TO OPEN SYNCHRO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13.07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SYNCHRONIZAČNÍ TYČ 2000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144.30000000000001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1:63" ht="14.4" customHeight="1">
      <c r="A78" s="633"/>
      <c r="AU78" s="442">
        <v>9255839</v>
      </c>
      <c r="AV78" s="443" t="str">
        <f>VLOOKUP(AU78,CENY!$B$11:$G$1034,2,FALSE)</f>
        <v>AVANTECH YOU PŘÍCHYTKA ČELA V187 / 251 MM K ZALISOVÁNÍ</v>
      </c>
      <c r="AW78" s="24">
        <f>VLOOKUP(AU78,CENY!$B$11:$G$1034,3,FALSE)</f>
        <v>200</v>
      </c>
      <c r="AX78" s="24"/>
      <c r="AY78" s="77">
        <v>0</v>
      </c>
      <c r="AZ78" s="451">
        <f t="shared" si="5"/>
        <v>0</v>
      </c>
      <c r="BA78" s="107">
        <f>VLOOKUP(AU78,CENY!$B$11:$M$2005,12,FALSE)</f>
        <v>53.8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 10 KG PLNOVÝSUV 270 MM EB21 SILENT SYSTEM LEVÝ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174.19</v>
      </c>
      <c r="BK78" s="107">
        <f t="shared" si="7"/>
        <v>0</v>
      </c>
    </row>
    <row r="79" spans="1:63" ht="14.4" customHeight="1">
      <c r="A79" s="633"/>
      <c r="O79" s="656">
        <f>CEILING(O84/FLOOR(2000/O85,1),1)</f>
        <v>0</v>
      </c>
      <c r="P79" s="656"/>
      <c r="Q79" s="656">
        <f>CEILING(Q84/FLOOR(2000/Q85,1),1)</f>
        <v>0</v>
      </c>
      <c r="R79" s="656"/>
      <c r="S79" s="656">
        <f>CEILING(S84/FLOOR(2000/S85,1),1)</f>
        <v>0</v>
      </c>
      <c r="T79" s="656"/>
      <c r="U79" s="656">
        <f>CEILING(U84/FLOOR(2000/U85,1),1)</f>
        <v>0</v>
      </c>
      <c r="V79" s="656"/>
      <c r="W79" s="656"/>
      <c r="X79" s="656"/>
      <c r="Y79" s="656"/>
      <c r="Z79" s="656"/>
      <c r="AA79" s="656"/>
      <c r="AB79" s="656"/>
      <c r="AC79" s="656">
        <f>CEILING(AC84/FLOOR(2000/AC85,1),1)</f>
        <v>0</v>
      </c>
      <c r="AD79" s="656"/>
      <c r="AE79" s="656">
        <f>CEILING(AE84/FLOOR(2000/AE85,1),1)</f>
        <v>0</v>
      </c>
      <c r="AF79" s="656"/>
      <c r="AG79" s="656">
        <f>CEILING(AG84/FLOOR(2000/AG85,1),1)</f>
        <v>0</v>
      </c>
      <c r="AH79" s="656"/>
      <c r="AI79" s="656">
        <f>CEILING(AI84/FLOOR(2000/AI85,1),1)</f>
        <v>0</v>
      </c>
      <c r="AJ79" s="656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 10 KG PLNOVÝSUV 270 MM EB21 SILENT SYSTEM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174.19</v>
      </c>
      <c r="BK79" s="107">
        <f t="shared" si="7"/>
        <v>0</v>
      </c>
    </row>
    <row r="80" spans="1:63" ht="14.4" customHeight="1">
      <c r="A80" s="633"/>
      <c r="O80" s="655">
        <f>O85*O84</f>
        <v>0</v>
      </c>
      <c r="P80" s="655"/>
      <c r="Q80" s="655">
        <f>Q85*Q84</f>
        <v>0</v>
      </c>
      <c r="R80" s="655"/>
      <c r="S80" s="655">
        <f>S85*S84</f>
        <v>0</v>
      </c>
      <c r="T80" s="655"/>
      <c r="U80" s="655">
        <f>U85*U84</f>
        <v>0</v>
      </c>
      <c r="V80" s="655"/>
      <c r="W80" s="655"/>
      <c r="X80" s="655"/>
      <c r="Y80" s="655"/>
      <c r="Z80" s="655"/>
      <c r="AA80" s="655"/>
      <c r="AB80" s="655"/>
      <c r="AC80" s="655">
        <f>AC85*AC84</f>
        <v>0</v>
      </c>
      <c r="AD80" s="655"/>
      <c r="AE80" s="655">
        <f>AE85*AE84</f>
        <v>0</v>
      </c>
      <c r="AF80" s="655"/>
      <c r="AG80" s="655">
        <f>AG85*AG84</f>
        <v>0</v>
      </c>
      <c r="AH80" s="655"/>
      <c r="AI80" s="655">
        <f>AI85*AI84</f>
        <v>0</v>
      </c>
      <c r="AJ80" s="655"/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 t="shared" si="4"/>
        <v/>
      </c>
      <c r="BD80" s="441">
        <f>OBJ!B292</f>
        <v>9256946</v>
      </c>
      <c r="BE80" s="23" t="str">
        <f>VLOOKUP(BD80,CENY!$B$11:$G$1034,2,FALSE)</f>
        <v>QUADRO YOU 10 KG PLNOVÝSUV 300 MM EB21 SILENT SYSTEM LEVÝ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172.7</v>
      </c>
      <c r="BK80" s="107">
        <f t="shared" si="7"/>
        <v>0</v>
      </c>
    </row>
    <row r="81" spans="1:63" ht="14.4" customHeight="1" thickBot="1">
      <c r="A81" s="633"/>
      <c r="O81" s="640" t="str">
        <f>verze!E163</f>
        <v>vnější rozměry zásuvkové skřínky [mm]</v>
      </c>
      <c r="P81" s="641"/>
      <c r="Q81" s="641"/>
      <c r="R81" s="641"/>
      <c r="S81" s="641"/>
      <c r="T81" s="641"/>
      <c r="U81" s="641"/>
      <c r="V81" s="641"/>
      <c r="W81" s="641"/>
      <c r="X81" s="641"/>
      <c r="Y81" s="641"/>
      <c r="Z81" s="641"/>
      <c r="AA81" s="641"/>
      <c r="AB81" s="641"/>
      <c r="AC81" s="641"/>
      <c r="AD81" s="641"/>
      <c r="AE81" s="641"/>
      <c r="AF81" s="641"/>
      <c r="AG81" s="641"/>
      <c r="AH81" s="641"/>
      <c r="AI81" s="641"/>
      <c r="AJ81" s="641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 10 KG PLNOVÝSUV 300 MM EB21 SILENT SYSTEM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172.7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vnitřní zásuvku</v>
      </c>
      <c r="O82" s="669" t="str">
        <f>verze!E164</f>
        <v>nízke čelo = 66 mm</v>
      </c>
      <c r="P82" s="670"/>
      <c r="Q82" s="670"/>
      <c r="R82" s="670"/>
      <c r="S82" s="670"/>
      <c r="T82" s="670"/>
      <c r="U82" s="670"/>
      <c r="V82" s="670"/>
      <c r="W82" s="467"/>
      <c r="X82" s="467"/>
      <c r="Y82" s="467"/>
      <c r="Z82" s="467"/>
      <c r="AA82" s="662"/>
      <c r="AB82" s="662"/>
      <c r="AC82" s="670" t="str">
        <f>verze!E165</f>
        <v>vysoké čelo = 130 mm</v>
      </c>
      <c r="AD82" s="670"/>
      <c r="AE82" s="670"/>
      <c r="AF82" s="670"/>
      <c r="AG82" s="670"/>
      <c r="AH82" s="670"/>
      <c r="AI82" s="670"/>
      <c r="AJ82" s="670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 10 KG PLNOVÝSUV 350 MM EB21 SILENT SYSTEM LEVÝ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176.43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664">
        <v>450</v>
      </c>
      <c r="P83" s="665"/>
      <c r="Q83" s="666">
        <v>600</v>
      </c>
      <c r="R83" s="666"/>
      <c r="S83" s="666">
        <v>900</v>
      </c>
      <c r="T83" s="666"/>
      <c r="U83" s="666">
        <v>1200</v>
      </c>
      <c r="V83" s="664"/>
      <c r="W83" s="467"/>
      <c r="X83" s="467"/>
      <c r="Y83" s="467"/>
      <c r="Z83" s="467"/>
      <c r="AA83" s="662"/>
      <c r="AB83" s="662"/>
      <c r="AC83" s="667">
        <v>450</v>
      </c>
      <c r="AD83" s="666"/>
      <c r="AE83" s="667">
        <v>600</v>
      </c>
      <c r="AF83" s="666"/>
      <c r="AG83" s="664">
        <v>900</v>
      </c>
      <c r="AH83" s="665"/>
      <c r="AI83" s="664">
        <v>1200</v>
      </c>
      <c r="AJ83" s="665"/>
      <c r="AU83" s="441">
        <f>OBJ!B203</f>
        <v>9257663</v>
      </c>
      <c r="AV83" s="23" t="str">
        <f>VLOOKUP(AU83,CENY!$B$11:$G$1034,2,FALSE)</f>
        <v>AVANTECH YOU NOSNÝ PROFIL PRO VNITŘNÍ ČELO INLAY L2000 MM STŘÍBRNÁ</v>
      </c>
      <c r="AW83" s="24">
        <f>VLOOKUP(AU83,CENY!$B$11:$G$1034,3,FALSE)</f>
        <v>1</v>
      </c>
      <c r="AX83" s="24"/>
      <c r="AY83" s="25">
        <f>IF(AU95=0,0,IF(AU101&lt;2000,1,SUM(O79:AJ79)))</f>
        <v>0</v>
      </c>
      <c r="AZ83" s="451">
        <f t="shared" si="5"/>
        <v>0</v>
      </c>
      <c r="BA83" s="107">
        <f>VLOOKUP(AU83,CENY!$B$11:$M$2005,12,FALSE)</f>
        <v>710.85</v>
      </c>
      <c r="BB83" s="107">
        <f t="shared" si="4"/>
        <v>0</v>
      </c>
      <c r="BD83" s="441">
        <f>OBJ!B295</f>
        <v>9256951</v>
      </c>
      <c r="BE83" s="23" t="str">
        <f>VLOOKUP(BD83,CENY!$B$11:$G$1034,2,FALSE)</f>
        <v>QUADRO YOU 10 KG PLNOVÝSUV 350 MM EB21 SILENT SYSTEM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176.43</v>
      </c>
      <c r="BK83" s="107">
        <f t="shared" si="7"/>
        <v>0</v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63"/>
      <c r="R84" s="663"/>
      <c r="S84" s="663"/>
      <c r="T84" s="663"/>
      <c r="U84" s="663"/>
      <c r="V84" s="636"/>
      <c r="W84" s="469"/>
      <c r="X84" s="469"/>
      <c r="Y84" s="469"/>
      <c r="Z84" s="469"/>
      <c r="AA84" s="469"/>
      <c r="AB84" s="469"/>
      <c r="AC84" s="637"/>
      <c r="AD84" s="663"/>
      <c r="AE84" s="637"/>
      <c r="AF84" s="663"/>
      <c r="AG84" s="658"/>
      <c r="AH84" s="637"/>
      <c r="AI84" s="636"/>
      <c r="AJ84" s="658"/>
      <c r="AU84" s="441">
        <f>OBJ!B204</f>
        <v>9257651</v>
      </c>
      <c r="AV84" s="23" t="str">
        <f>VLOOKUP(AU84,CENY!$B$11:$G$1034,2,FALSE)</f>
        <v>AVANTECH YOU SADA SPOJEK PRO VNITŘNÍ ČELO INLAY K BOKŮM STANDARD V187 MM STŘÍBRNÁ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 t="shared" si="5"/>
        <v>0</v>
      </c>
      <c r="BA84" s="107">
        <f>VLOOKUP(AU84,CENY!$B$11:$M$2005,12,FALSE)</f>
        <v>492.14</v>
      </c>
      <c r="BB84" s="107">
        <f t="shared" si="4"/>
        <v>0</v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1:63" ht="14.4" customHeight="1">
      <c r="A85" s="633"/>
      <c r="O85" s="657">
        <f>O83-2*FORM!$AM$24-66</f>
        <v>348</v>
      </c>
      <c r="P85" s="657"/>
      <c r="Q85" s="657">
        <f>Q83-2*FORM!$AM$24-66</f>
        <v>498</v>
      </c>
      <c r="R85" s="657"/>
      <c r="S85" s="657">
        <f>S83-2*FORM!$AM$24-66</f>
        <v>798</v>
      </c>
      <c r="T85" s="657"/>
      <c r="U85" s="657">
        <f>U83-2*FORM!$AM$24-66</f>
        <v>1098</v>
      </c>
      <c r="V85" s="657"/>
      <c r="W85" s="671"/>
      <c r="X85" s="671"/>
      <c r="Y85" s="671"/>
      <c r="Z85" s="671"/>
      <c r="AA85" s="671"/>
      <c r="AB85" s="671"/>
      <c r="AC85" s="657">
        <f>AC83-2*FORM!$AM$24-66</f>
        <v>348</v>
      </c>
      <c r="AD85" s="657"/>
      <c r="AE85" s="657">
        <f>AE83-2*FORM!$AM$24-66</f>
        <v>498</v>
      </c>
      <c r="AF85" s="657"/>
      <c r="AG85" s="657">
        <f>AG83-2*FORM!$AM$24-66</f>
        <v>798</v>
      </c>
      <c r="AH85" s="657"/>
      <c r="AI85" s="657">
        <f>AI83-2*FORM!$AM$24-66</f>
        <v>1098</v>
      </c>
      <c r="AJ85" s="657"/>
      <c r="AU85" s="441">
        <f>OBJ!B217</f>
        <v>9283228</v>
      </c>
      <c r="AV85" s="23" t="str">
        <f>VLOOKUP(AU85,CENY!$B$11:$G$1034,2,FALSE)</f>
        <v>AVANTECH YOU SKLENĚNÁ VÝPLŇ 10 MM K ČELU INLAY V66 MM Š450 MM KD18 MM</v>
      </c>
      <c r="AW85" s="24">
        <f>VLOOKUP(AU85,CENY!$B$11:$G$1034,3,FALSE)</f>
        <v>1</v>
      </c>
      <c r="AX85" s="24"/>
      <c r="AY85" s="25">
        <f>O84</f>
        <v>0</v>
      </c>
      <c r="AZ85" s="451">
        <f t="shared" si="5"/>
        <v>0</v>
      </c>
      <c r="BA85" s="107">
        <f>VLOOKUP(AU85,CENY!$B$11:$M$2005,12,FALSE)</f>
        <v>289.77</v>
      </c>
      <c r="BB85" s="107">
        <f t="shared" ref="BB85:BB90" si="8">IF(BA85="","",BA85*AY85)</f>
        <v>0</v>
      </c>
      <c r="BD85" s="441">
        <f>OBJ!B305</f>
        <v>9256854</v>
      </c>
      <c r="BE85" s="23" t="str">
        <f>VLOOKUP(BD85,CENY!$B$11:$G$1034,2,FALSE)</f>
        <v>QUADRO YOU PLNOVÝSUV 270 MM EB21 SILENT SYSTEM LEVÝ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174.19</v>
      </c>
      <c r="BK85" s="107">
        <f t="shared" si="7"/>
        <v>0</v>
      </c>
    </row>
    <row r="86" spans="1:63" ht="14.4" customHeight="1">
      <c r="A86" s="633"/>
      <c r="AR86" s="177"/>
      <c r="AU86" s="441">
        <f>OBJ!B218</f>
        <v>9283229</v>
      </c>
      <c r="AV86" s="23" t="str">
        <f>VLOOKUP(AU86,CENY!$B$11:$G$1034,2,FALSE)</f>
        <v>AVANTECH YOU SKLENĚNÁ VÝPLŇ 10 MM K ČELU INLAY V66 MM Š600 MM KD18 MM</v>
      </c>
      <c r="AW86" s="24">
        <f>VLOOKUP(AU86,CENY!$B$11:$G$1034,3,FALSE)</f>
        <v>1</v>
      </c>
      <c r="AX86" s="24"/>
      <c r="AY86" s="25">
        <f>Q84</f>
        <v>0</v>
      </c>
      <c r="AZ86" s="451">
        <f t="shared" si="5"/>
        <v>0</v>
      </c>
      <c r="BA86" s="107">
        <f>VLOOKUP(AU86,CENY!$B$11:$M$2005,12,FALSE)</f>
        <v>332.18</v>
      </c>
      <c r="BB86" s="107">
        <f t="shared" si="8"/>
        <v>0</v>
      </c>
      <c r="BD86" s="441">
        <f>OBJ!B306</f>
        <v>9256855</v>
      </c>
      <c r="BE86" s="23" t="str">
        <f>VLOOKUP(BD86,CENY!$B$11:$G$1034,2,FALSE)</f>
        <v>QUADRO YOU PLNOVÝSUV 270 MM EB21 SILENT SYSTEM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174.19</v>
      </c>
      <c r="BK86" s="107">
        <f t="shared" si="7"/>
        <v>0</v>
      </c>
    </row>
    <row r="87" spans="1:63" ht="14.4" customHeight="1">
      <c r="A87" s="633"/>
      <c r="V87" s="668" t="str">
        <f>IF(AU97=0,AU103,AU104)</f>
        <v>Je potřebné vybrat 0 ks vnitřních čel.</v>
      </c>
      <c r="W87" s="668"/>
      <c r="X87" s="668"/>
      <c r="Y87" s="668"/>
      <c r="Z87" s="668"/>
      <c r="AA87" s="668"/>
      <c r="AB87" s="668"/>
      <c r="AC87" s="668"/>
      <c r="AR87" s="463"/>
      <c r="AU87" s="441">
        <f>OBJ!B219</f>
        <v>9283231</v>
      </c>
      <c r="AV87" s="23" t="str">
        <f>VLOOKUP(AU87,CENY!$B$11:$G$1034,2,FALSE)</f>
        <v>AVANTECH YOU SKLENĚNÁ VÝPLŇ 10 MM K ČELU INLAY V66 MM Š900 MM KD18 MM</v>
      </c>
      <c r="AW87" s="24">
        <f>VLOOKUP(AU87,CENY!$B$11:$G$1034,3,FALSE)</f>
        <v>1</v>
      </c>
      <c r="AX87" s="24"/>
      <c r="AY87" s="25">
        <f>S84</f>
        <v>0</v>
      </c>
      <c r="AZ87" s="451">
        <f t="shared" si="5"/>
        <v>0</v>
      </c>
      <c r="BA87" s="107">
        <f>VLOOKUP(AU87,CENY!$B$11:$M$2005,12,FALSE)</f>
        <v>586.6</v>
      </c>
      <c r="BB87" s="107">
        <f t="shared" si="8"/>
        <v>0</v>
      </c>
      <c r="BD87" s="441">
        <f>OBJ!B307</f>
        <v>9256856</v>
      </c>
      <c r="BE87" s="23" t="str">
        <f>VLOOKUP(BD87,CENY!$B$11:$G$1034,2,FALSE)</f>
        <v>QUADRO YOU PLNOVÝSUV 300 MM EB21 SILENT SYSTEM LEVÝ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172.7</v>
      </c>
      <c r="BK87" s="107">
        <f t="shared" si="7"/>
        <v>0</v>
      </c>
    </row>
    <row r="88" spans="1:63" ht="14.4" customHeight="1">
      <c r="A88" s="633"/>
      <c r="V88" s="668"/>
      <c r="W88" s="668"/>
      <c r="X88" s="668"/>
      <c r="Y88" s="668"/>
      <c r="Z88" s="668"/>
      <c r="AA88" s="668"/>
      <c r="AB88" s="668"/>
      <c r="AC88" s="668"/>
      <c r="AU88" s="441">
        <f>OBJ!B220</f>
        <v>9283232</v>
      </c>
      <c r="AV88" s="23" t="str">
        <f>VLOOKUP(AU88,CENY!$B$11:$G$1034,2,FALSE)</f>
        <v>AVANTECH YOU SKLENĚNÁ VÝPLŇ 10 MM K ČELU INLAY V66 MM Š1200 MM KD18 MM</v>
      </c>
      <c r="AW88" s="24">
        <f>VLOOKUP(AU88,CENY!$B$11:$G$1034,3,FALSE)</f>
        <v>1</v>
      </c>
      <c r="AX88" s="24"/>
      <c r="AY88" s="25">
        <f>U84</f>
        <v>0</v>
      </c>
      <c r="AZ88" s="451">
        <f t="shared" si="5"/>
        <v>0</v>
      </c>
      <c r="BA88" s="107">
        <f>VLOOKUP(AU88,CENY!$B$11:$M$2005,12,FALSE)</f>
        <v>756.22</v>
      </c>
      <c r="BB88" s="107">
        <f t="shared" si="8"/>
        <v>0</v>
      </c>
      <c r="BD88" s="441">
        <f>OBJ!B308</f>
        <v>9256857</v>
      </c>
      <c r="BE88" s="23" t="str">
        <f>VLOOKUP(BD88,CENY!$B$11:$G$1034,2,FALSE)</f>
        <v>QUADRO YOU PLNOVÝSUV 300 MM EB21 SILENT SYSTEM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172.7</v>
      </c>
      <c r="BK88" s="107">
        <f t="shared" si="7"/>
        <v>0</v>
      </c>
    </row>
    <row r="89" spans="1:63" ht="14.4" customHeight="1">
      <c r="A89" s="633"/>
      <c r="V89" s="668"/>
      <c r="W89" s="668"/>
      <c r="X89" s="668"/>
      <c r="Y89" s="668"/>
      <c r="Z89" s="668"/>
      <c r="AA89" s="668"/>
      <c r="AB89" s="668"/>
      <c r="AC89" s="668"/>
      <c r="AU89" s="441">
        <f>OBJ!B221</f>
        <v>9283233</v>
      </c>
      <c r="AV89" s="23" t="str">
        <f>VLOOKUP(AU89,CENY!$B$11:$G$1034,2,FALSE)</f>
        <v>AVANTECH YOU SKLENĚNÁ VÝPLŇ 10 MM K ČELU INLAY V130 MM Š450 MM KD18 MM</v>
      </c>
      <c r="AW89" s="24">
        <f>VLOOKUP(AU89,CENY!$B$11:$G$1034,3,FALSE)</f>
        <v>1</v>
      </c>
      <c r="AX89" s="24"/>
      <c r="AY89" s="25">
        <f>AC84</f>
        <v>0</v>
      </c>
      <c r="AZ89" s="451">
        <f t="shared" si="5"/>
        <v>0</v>
      </c>
      <c r="BA89" s="107">
        <f>VLOOKUP(AU89,CENY!$B$11:$M$2005,12,FALSE)</f>
        <v>458.09</v>
      </c>
      <c r="BB89" s="107">
        <f t="shared" si="8"/>
        <v>0</v>
      </c>
      <c r="BD89" s="441">
        <f>OBJ!B309</f>
        <v>9256860</v>
      </c>
      <c r="BE89" s="23" t="str">
        <f>VLOOKUP(BD89,CENY!$B$11:$G$1034,2,FALSE)</f>
        <v>QUADRO YOU PLNOVÝSUV 350 MM EB21 SILENT SYSTEM LEVÝ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176.43</v>
      </c>
      <c r="BK89" s="107">
        <f t="shared" si="7"/>
        <v>0</v>
      </c>
    </row>
    <row r="90" spans="1:63" ht="14.4" customHeight="1">
      <c r="A90" s="633"/>
      <c r="V90" s="668"/>
      <c r="W90" s="668"/>
      <c r="X90" s="668"/>
      <c r="Y90" s="668"/>
      <c r="Z90" s="668"/>
      <c r="AA90" s="668"/>
      <c r="AB90" s="668"/>
      <c r="AC90" s="668"/>
      <c r="AU90" s="441">
        <f>OBJ!B222</f>
        <v>9283235</v>
      </c>
      <c r="AV90" s="23" t="str">
        <f>VLOOKUP(AU90,CENY!$B$11:$G$1034,2,FALSE)</f>
        <v>AVANTECH YOU SKLENĚNÁ VÝPLŇ 10 MM K ČELU INLAY V130 MM Š600 MM KD18 MM</v>
      </c>
      <c r="AW90" s="24">
        <f>VLOOKUP(AU90,CENY!$B$11:$G$1034,3,FALSE)</f>
        <v>1</v>
      </c>
      <c r="AX90" s="24"/>
      <c r="AY90" s="25">
        <f>AE84</f>
        <v>0</v>
      </c>
      <c r="AZ90" s="451">
        <f t="shared" si="5"/>
        <v>0</v>
      </c>
      <c r="BA90" s="107">
        <f>VLOOKUP(AU90,CENY!$B$11:$M$2005,12,FALSE)</f>
        <v>520.58000000000004</v>
      </c>
      <c r="BB90" s="107">
        <f t="shared" si="8"/>
        <v>0</v>
      </c>
      <c r="BD90" s="441">
        <f>OBJ!B310</f>
        <v>9256861</v>
      </c>
      <c r="BE90" s="23" t="str">
        <f>VLOOKUP(BD90,CENY!$B$11:$G$1034,2,FALSE)</f>
        <v>QUADRO YOU PLNOVÝSUV 350 MM EB21 SILENT SYSTEM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176.43</v>
      </c>
      <c r="BK90" s="107">
        <f t="shared" si="7"/>
        <v>0</v>
      </c>
    </row>
    <row r="91" spans="1:63" ht="14.4" customHeight="1">
      <c r="A91" s="633"/>
      <c r="V91" s="668"/>
      <c r="W91" s="668"/>
      <c r="X91" s="668"/>
      <c r="Y91" s="668"/>
      <c r="Z91" s="668"/>
      <c r="AA91" s="668"/>
      <c r="AB91" s="668"/>
      <c r="AC91" s="668"/>
      <c r="AU91" s="441">
        <f>OBJ!B223</f>
        <v>9283237</v>
      </c>
      <c r="AV91" s="23" t="str">
        <f>VLOOKUP(AU91,CENY!$B$11:$G$1034,2,FALSE)</f>
        <v>AVANTECH YOU SKLENĚNÁ VÝPLŇ 10 MM K ČELU INLAY V130 MM Š900 MM KD18 MM</v>
      </c>
      <c r="AW91" s="24">
        <f>VLOOKUP(AU91,CENY!$B$11:$G$1034,3,FALSE)</f>
        <v>1</v>
      </c>
      <c r="AX91" s="24"/>
      <c r="AY91" s="25">
        <f>AG84</f>
        <v>0</v>
      </c>
      <c r="AZ91" s="451">
        <f t="shared" si="5"/>
        <v>0</v>
      </c>
      <c r="BA91" s="107">
        <f>VLOOKUP(AU91,CENY!$B$11:$M$2005,12,FALSE)</f>
        <v>867.64</v>
      </c>
      <c r="BB91" s="107">
        <f>IF(BA91="","",BA91*AY91)</f>
        <v>0</v>
      </c>
      <c r="BD91" s="441">
        <f>OBJ!B311</f>
        <v>9256864</v>
      </c>
      <c r="BE91" s="23" t="str">
        <f>VLOOKUP(BD91,CENY!$B$11:$G$1034,2,FALSE)</f>
        <v>QUADRO YOU PLNOVÝSUV 400 MM EB21 SILENT SYSTEM LEVÝ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180.17</v>
      </c>
      <c r="BK91" s="107">
        <f t="shared" si="7"/>
        <v>0</v>
      </c>
    </row>
    <row r="92" spans="1:63" ht="14.4" customHeight="1">
      <c r="A92" s="633"/>
      <c r="V92" s="668"/>
      <c r="W92" s="668"/>
      <c r="X92" s="668"/>
      <c r="Y92" s="668"/>
      <c r="Z92" s="668"/>
      <c r="AA92" s="668"/>
      <c r="AB92" s="668"/>
      <c r="AC92" s="668"/>
      <c r="AU92" s="441">
        <f>OBJ!B224</f>
        <v>9283238</v>
      </c>
      <c r="AV92" s="23" t="str">
        <f>VLOOKUP(AU92,CENY!$B$11:$G$1034,2,FALSE)</f>
        <v>AVANTECH YOU SKLENĚNÁ VÝPLŇ 10 MM K ČELU INLAY V130 MM Š1200 MM KD18 MM</v>
      </c>
      <c r="AW92" s="24">
        <f>VLOOKUP(AU92,CENY!$B$11:$G$1034,3,FALSE)</f>
        <v>1</v>
      </c>
      <c r="AX92" s="24"/>
      <c r="AY92" s="25">
        <f>AI84</f>
        <v>0</v>
      </c>
      <c r="AZ92" s="451">
        <f t="shared" si="5"/>
        <v>0</v>
      </c>
      <c r="BA92" s="107">
        <f>VLOOKUP(AU92,CENY!$B$11:$M$2005,12,FALSE)</f>
        <v>1117.52</v>
      </c>
      <c r="BB92" s="107">
        <f>IF(BA92="","",BA92*AY92)</f>
        <v>0</v>
      </c>
      <c r="BD92" s="441">
        <f>OBJ!B312</f>
        <v>9256865</v>
      </c>
      <c r="BE92" s="23" t="str">
        <f>VLOOKUP(BD92,CENY!$B$11:$G$1034,2,FALSE)</f>
        <v>QUADRO YOU PLNOVÝSUV 400 MM EB21 SILENT SYSTEM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180.17</v>
      </c>
      <c r="BK92" s="107">
        <f t="shared" si="7"/>
        <v>0</v>
      </c>
    </row>
    <row r="93" spans="1:63" ht="14.4" customHeight="1">
      <c r="A93" s="633"/>
      <c r="AU93" s="441"/>
      <c r="AV93" s="23"/>
      <c r="AW93" s="24"/>
      <c r="AX93" s="24"/>
      <c r="AY93" s="25"/>
      <c r="AZ93" s="451" t="str">
        <f t="shared" si="5"/>
        <v/>
      </c>
      <c r="BA93" s="107"/>
      <c r="BB93" s="107"/>
      <c r="BD93" s="441">
        <f>OBJ!B313</f>
        <v>9256868</v>
      </c>
      <c r="BE93" s="23" t="str">
        <f>VLOOKUP(BD93,CENY!$B$11:$G$1034,2,FALSE)</f>
        <v>QUADRO YOU PLNOVÝSUV 450 MM EB21 SILENT SYSTEM LEVÝ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183.9</v>
      </c>
      <c r="BK93" s="107">
        <f t="shared" si="7"/>
        <v>0</v>
      </c>
    </row>
    <row r="94" spans="1:63" ht="14.4" customHeight="1">
      <c r="A94" s="633"/>
      <c r="AU94" s="441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OBJ!B314</f>
        <v>9256869</v>
      </c>
      <c r="BE94" s="23" t="str">
        <f>VLOOKUP(BD94,CENY!$B$11:$G$1034,2,FALSE)</f>
        <v>QUADRO YOU PLNOVÝSUV 450 MM EB21 SILENT SYSTEM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183.9</v>
      </c>
      <c r="BK94" s="107">
        <f t="shared" si="7"/>
        <v>0</v>
      </c>
    </row>
    <row r="95" spans="1:63" ht="14.4" customHeight="1">
      <c r="A95" s="633"/>
      <c r="AU95" s="461">
        <f>1*(+SUM(O19:T19)+SUM(O20:AD20)+SUM(W22:AF22)+SUM(O27:T27)+SUM(O28:AD28)+SUM(O30:AD30))</f>
        <v>0</v>
      </c>
      <c r="AV95" s="460" t="s">
        <v>466</v>
      </c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OBJ!B315</f>
        <v>9256872</v>
      </c>
      <c r="BE95" s="23" t="str">
        <f>VLOOKUP(BD95,CENY!$B$11:$G$1034,2,FALSE)</f>
        <v>QUADRO YOU PLNOVÝSUV 500 MM EB21 SILENT SYSTEM LEVÝ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187.64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OBJ!B316</f>
        <v>9256873</v>
      </c>
      <c r="BE96" s="23" t="str">
        <f>VLOOKUP(BD96,CENY!$B$11:$G$1034,2,FALSE)</f>
        <v>QUADRO YOU PLNOVÝSUV 500 MM EB21 SILENT SYSTEM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187.64</v>
      </c>
      <c r="BK96" s="107">
        <f t="shared" si="7"/>
        <v>0</v>
      </c>
    </row>
    <row r="97" spans="1:63" ht="14.4" customHeight="1">
      <c r="A97" s="633"/>
      <c r="AU97" s="462">
        <f>SUM(O84:AJ84)</f>
        <v>0</v>
      </c>
      <c r="AV97" s="23" t="s">
        <v>467</v>
      </c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OBJ!B317</f>
        <v>9256876</v>
      </c>
      <c r="BE97" s="23" t="str">
        <f>VLOOKUP(BD97,CENY!$B$11:$G$1034,2,FALSE)</f>
        <v>QUADRO YOU PLNOVÝSUV 550 MM EB21 SILENT SYSTEM LEVÝ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194.36</v>
      </c>
      <c r="BK97" s="107">
        <f t="shared" si="7"/>
        <v>0</v>
      </c>
    </row>
    <row r="98" spans="1:63" ht="14.4" customHeight="1">
      <c r="A98" s="633"/>
      <c r="AU98" s="24">
        <f>AU95-AU97</f>
        <v>0</v>
      </c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OBJ!B318</f>
        <v>9256877</v>
      </c>
      <c r="BE98" s="23" t="str">
        <f>VLOOKUP(BD98,CENY!$B$11:$G$1034,2,FALSE)</f>
        <v>QUADRO YOU PLNOVÝSUV 550 MM EB21 SILENT SYSTEM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194.36</v>
      </c>
      <c r="BK98" s="107">
        <f t="shared" si="7"/>
        <v>0</v>
      </c>
    </row>
    <row r="99" spans="1:63" ht="14.4" customHeight="1">
      <c r="A99" s="633"/>
      <c r="AU99" s="24">
        <f>ABS(AU98)</f>
        <v>0</v>
      </c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OBJ!B319</f>
        <v>9256880</v>
      </c>
      <c r="BE99" s="23" t="str">
        <f>VLOOKUP(BD99,CENY!$B$11:$G$1034,2,FALSE)</f>
        <v>QUADRO YOU PLNOVÝSUV 600 MM EB21 SILENT SYSTEM LEVÝ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198.1</v>
      </c>
      <c r="BK99" s="107">
        <f t="shared" si="7"/>
        <v>0</v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OBJ!B320</f>
        <v>9256881</v>
      </c>
      <c r="BE100" s="23" t="str">
        <f>VLOOKUP(BD100,CENY!$B$11:$G$1034,2,FALSE)</f>
        <v>QUADRO YOU PLNOVÝSUV 600 MM EB21 SILENT SYSTEM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198.1</v>
      </c>
      <c r="BK100" s="107">
        <f t="shared" si="7"/>
        <v>0</v>
      </c>
    </row>
    <row r="101" spans="1:63">
      <c r="A101" s="633"/>
      <c r="AU101" s="24">
        <f>(AU97-1)*4+SUM(O80:AJ80)</f>
        <v>-4</v>
      </c>
      <c r="AV101" s="23" t="s">
        <v>468</v>
      </c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OBJ!B322</f>
        <v>9257894</v>
      </c>
      <c r="BE102" s="23" t="str">
        <f>VLOOKUP(BD102,CENY!$B$11:$G$1034,2,FALSE)</f>
        <v>PUSH TO OPEN SILENT QUADRO YOU 10 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544.37</v>
      </c>
      <c r="BK102" s="107">
        <f t="shared" si="7"/>
        <v>0</v>
      </c>
    </row>
    <row r="103" spans="1:63">
      <c r="A103" s="633"/>
      <c r="AU103" s="468" t="str">
        <f>IF(AU97=0,verze!E169&amp;" "&amp;AU95&amp;" "&amp;verze!E170,"")</f>
        <v>Je potřebné vybrat 0 ks vnitřních čel.</v>
      </c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OBJ!B323</f>
        <v>9257895</v>
      </c>
      <c r="BE103" s="23" t="str">
        <f>VLOOKUP(BD103,CENY!$B$11:$G$1034,2,FALSE)</f>
        <v>PUSH TO OPEN SILENT QUADRO YOU 20 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544.37</v>
      </c>
      <c r="BK103" s="107">
        <f t="shared" si="7"/>
        <v>0</v>
      </c>
    </row>
    <row r="104" spans="1:63">
      <c r="A104" s="633"/>
      <c r="AU104" s="468" t="str">
        <f>IF(AU97=0,"",IF(AU95=AU97,verze!E174,IF(AU98&gt;0,verze!E171&amp;" "&amp;AU98&amp;" "&amp;verze!E170,verze!E172&amp;" "&amp;AU99&amp;" "&amp;verze!E173)))</f>
        <v/>
      </c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OBJ!B324</f>
        <v>9257896</v>
      </c>
      <c r="BE104" s="23" t="str">
        <f>VLOOKUP(BD104,CENY!$B$11:$G$1034,2,FALSE)</f>
        <v>PUSH TO OPEN SILENT QUADRO YOU 30 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544.37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OBJ!B334</f>
        <v>9256899</v>
      </c>
      <c r="BE106" s="23" t="str">
        <f>VLOOKUP(BD106,CENY!$B$11:$G$1034,2,FALSE)</f>
        <v>QUADRO YOU PLNOVÝSUV 270 MM EB21 PUSH TO OPEN LEVÝ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194.74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OBJ!B335</f>
        <v>9256900</v>
      </c>
      <c r="BE107" s="23" t="str">
        <f>VLOOKUP(BD107,CENY!$B$11:$G$1034,2,FALSE)</f>
        <v>QUADRO YOU PLNOVÝSUV 270 MM EB21 PUSH TO OPEN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194.74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OBJ!B336</f>
        <v>9256901</v>
      </c>
      <c r="BE108" s="23" t="str">
        <f>VLOOKUP(BD108,CENY!$B$11:$G$1034,2,FALSE)</f>
        <v>QUADRO YOU PLNOVÝSUV 300 MM EB21 PUSH TO OPEN LEVÝ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195.11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OBJ!B337</f>
        <v>9256902</v>
      </c>
      <c r="BE109" s="23" t="str">
        <f>VLOOKUP(BD109,CENY!$B$11:$G$1034,2,FALSE)</f>
        <v>QUADRO YOU PLNOVÝSUV 300 MM EB21 PUSH TO OPEN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195.11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OBJ!B338</f>
        <v>9256905</v>
      </c>
      <c r="BE110" s="23" t="str">
        <f>VLOOKUP(BD110,CENY!$B$11:$G$1034,2,FALSE)</f>
        <v>QUADRO YOU PLNOVÝSUV 350 MM EB21 PUSH TO OPEN LEVÝ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198.85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OBJ!B339</f>
        <v>9256906</v>
      </c>
      <c r="BE111" s="23" t="str">
        <f>VLOOKUP(BD111,CENY!$B$11:$G$1034,2,FALSE)</f>
        <v>QUADRO YOU PLNOVÝSUV 350 MM EB21 PUSH TO OPEN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198.85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4"/>
        <v/>
      </c>
      <c r="BD112" s="441">
        <f>OBJ!B340</f>
        <v>9256909</v>
      </c>
      <c r="BE112" s="23" t="str">
        <f>VLOOKUP(BD112,CENY!$B$11:$G$1034,2,FALSE)</f>
        <v>QUADRO YOU PLNOVÝSUV 400 MM EB21 PUSH TO OPEN LEVÝ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202.58</v>
      </c>
      <c r="BK112" s="107">
        <f t="shared" si="7"/>
        <v>0</v>
      </c>
    </row>
    <row r="113" spans="47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4"/>
        <v/>
      </c>
      <c r="BD113" s="441">
        <f>OBJ!B341</f>
        <v>9256910</v>
      </c>
      <c r="BE113" s="23" t="str">
        <f>VLOOKUP(BD113,CENY!$B$11:$G$1034,2,FALSE)</f>
        <v>QUADRO YOU PLNOVÝSUV 400 MM EB21 PUSH TO OPEN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202.58</v>
      </c>
      <c r="BK113" s="107">
        <f t="shared" si="7"/>
        <v>0</v>
      </c>
    </row>
    <row r="114" spans="47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4"/>
        <v/>
      </c>
      <c r="BD114" s="441">
        <f>OBJ!B342</f>
        <v>9256913</v>
      </c>
      <c r="BE114" s="23" t="str">
        <f>VLOOKUP(BD114,CENY!$B$11:$G$1034,2,FALSE)</f>
        <v>QUADRO YOU PLNOVÝSUV 450 MM EB21 PUSH TO OPEN LEVÝ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206.32</v>
      </c>
      <c r="BK114" s="107">
        <f t="shared" si="7"/>
        <v>0</v>
      </c>
    </row>
    <row r="115" spans="47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4"/>
        <v/>
      </c>
      <c r="BD115" s="441">
        <f>OBJ!B343</f>
        <v>9256914</v>
      </c>
      <c r="BE115" s="23" t="str">
        <f>VLOOKUP(BD115,CENY!$B$11:$G$1034,2,FALSE)</f>
        <v>QUADRO YOU PLNOVÝSUV 450 MM EB21 PUSH TO OPEN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206.32</v>
      </c>
      <c r="BK115" s="107">
        <f t="shared" si="7"/>
        <v>0</v>
      </c>
    </row>
    <row r="116" spans="47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4"/>
        <v/>
      </c>
      <c r="BD116" s="441">
        <f>OBJ!B344</f>
        <v>9256917</v>
      </c>
      <c r="BE116" s="23" t="str">
        <f>VLOOKUP(BD116,CENY!$B$11:$G$1034,2,FALSE)</f>
        <v>QUADRO YOU PLNOVÝSUV 500 MM EB21 PUSH TO OPEN LEVÝ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210.06</v>
      </c>
      <c r="BK116" s="107">
        <f t="shared" si="7"/>
        <v>0</v>
      </c>
    </row>
    <row r="117" spans="47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4"/>
        <v/>
      </c>
      <c r="BD117" s="441">
        <f>OBJ!B345</f>
        <v>9256918</v>
      </c>
      <c r="BE117" s="23" t="str">
        <f>VLOOKUP(BD117,CENY!$B$11:$G$1034,2,FALSE)</f>
        <v>QUADRO YOU PLNOVÝSUV 500 MM EB21 PUSH TO OPEN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210.06</v>
      </c>
      <c r="BK117" s="107">
        <f t="shared" si="7"/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>
        <f>OBJ!B346</f>
        <v>9256921</v>
      </c>
      <c r="BE118" s="23" t="str">
        <f>VLOOKUP(BD118,CENY!$B$11:$G$1034,2,FALSE)</f>
        <v>QUADRO YOU PLNOVÝSUV 550 MM EB21 PUSH TO OPEN LEVÝ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216.78</v>
      </c>
      <c r="BK118" s="107">
        <f t="shared" si="7"/>
        <v>0</v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>
        <f>OBJ!B347</f>
        <v>9256922</v>
      </c>
      <c r="BE119" s="23" t="str">
        <f>VLOOKUP(BD119,CENY!$B$11:$G$1034,2,FALSE)</f>
        <v>QUADRO YOU PLNOVÝSUV 550 MM EB21 PUSH TO OPEN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216.78</v>
      </c>
      <c r="BK119" s="107">
        <f t="shared" si="7"/>
        <v>0</v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4"/>
        <v/>
      </c>
      <c r="BD120" s="441">
        <f>OBJ!B348</f>
        <v>9256925</v>
      </c>
      <c r="BE120" s="23" t="str">
        <f>VLOOKUP(BD120,CENY!$B$11:$G$1034,2,FALSE)</f>
        <v>QUADRO YOU PLNOVÝSUV 600 MM EB21 PUSH TO OPEN LEVÝ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223.51</v>
      </c>
      <c r="BK120" s="107">
        <f t="shared" si="7"/>
        <v>0</v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4"/>
        <v/>
      </c>
      <c r="BD121" s="441">
        <f>OBJ!B349</f>
        <v>9256926</v>
      </c>
      <c r="BE121" s="23" t="str">
        <f>VLOOKUP(BD121,CENY!$B$11:$G$1034,2,FALSE)</f>
        <v>QUADRO YOU PLNOVÝSUV 600 MM EB21 PUSH TO OPEN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223.51</v>
      </c>
      <c r="BK121" s="107">
        <f t="shared" si="7"/>
        <v>0</v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4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7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4"/>
        <v/>
      </c>
      <c r="BD123" s="441">
        <f>OBJ!B351</f>
        <v>9219966</v>
      </c>
      <c r="BE123" s="23" t="str">
        <f>VLOOKUP(BD123,CENY!$B$11:$G$1034,2,FALSE)</f>
        <v>PUSH TO OPEN SYNCHRO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13.07</v>
      </c>
      <c r="BK123" s="107">
        <f t="shared" si="7"/>
        <v>0</v>
      </c>
    </row>
    <row r="124" spans="47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4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7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4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 t="shared" si="7"/>
        <v/>
      </c>
    </row>
    <row r="126" spans="47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4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7:63">
      <c r="AU127" s="22"/>
      <c r="AV127" s="23"/>
      <c r="AW127" s="24"/>
      <c r="AX127" s="24"/>
      <c r="AY127" s="25"/>
      <c r="AZ127" s="451" t="str">
        <f t="shared" si="5"/>
        <v/>
      </c>
      <c r="BA127" s="107"/>
      <c r="BB127" s="107" t="str">
        <f t="shared" si="4"/>
        <v/>
      </c>
      <c r="BD127" s="441"/>
      <c r="BE127" s="23"/>
      <c r="BF127" s="24"/>
      <c r="BG127" s="24"/>
      <c r="BH127" s="25"/>
      <c r="BI127" s="451" t="str">
        <f t="shared" si="6"/>
        <v/>
      </c>
      <c r="BJ127" s="107"/>
      <c r="BK127" s="107" t="str">
        <f t="shared" si="7"/>
        <v/>
      </c>
    </row>
    <row r="128" spans="47:63">
      <c r="AU128" s="22"/>
      <c r="AV128" s="23"/>
      <c r="AW128" s="24"/>
      <c r="AX128" s="24"/>
      <c r="AY128" s="25"/>
      <c r="AZ128" s="451" t="str">
        <f t="shared" si="5"/>
        <v/>
      </c>
      <c r="BA128" s="107"/>
      <c r="BB128" s="107" t="str">
        <f t="shared" si="4"/>
        <v/>
      </c>
      <c r="BD128" s="441">
        <f>OBJ!B203</f>
        <v>9257663</v>
      </c>
      <c r="BE128" s="23" t="str">
        <f>VLOOKUP(BD128,CENY!$B$11:$G$1034,2,FALSE)</f>
        <v>AVANTECH YOU NOSNÝ PROFIL PRO VNITŘNÍ ČELO INLAY L2000 MM STŘÍBRNÁ</v>
      </c>
      <c r="BF128" s="24">
        <f>VLOOKUP(BD128,CENY!$B$11:$G$1034,3,FALSE)</f>
        <v>1</v>
      </c>
      <c r="BG128" s="24"/>
      <c r="BH128" s="25">
        <f>AY83</f>
        <v>0</v>
      </c>
      <c r="BI128" s="451">
        <f>IF(BH128="","",IF($AW$4=0,BH128,0))</f>
        <v>0</v>
      </c>
      <c r="BJ128" s="107">
        <f>VLOOKUP(BD128,CENY!$B$11:$M$2005,12,FALSE)</f>
        <v>710.85</v>
      </c>
      <c r="BK128" s="107">
        <f t="shared" si="7"/>
        <v>0</v>
      </c>
    </row>
    <row r="129" spans="47:63">
      <c r="AU129" s="22"/>
      <c r="AV129" s="23"/>
      <c r="AW129" s="24"/>
      <c r="AX129" s="24"/>
      <c r="AY129" s="25"/>
      <c r="AZ129" s="451" t="str">
        <f t="shared" si="5"/>
        <v/>
      </c>
      <c r="BA129" s="107"/>
      <c r="BB129" s="107" t="str">
        <f t="shared" si="4"/>
        <v/>
      </c>
      <c r="BD129" s="441">
        <f>OBJ!B204</f>
        <v>9257651</v>
      </c>
      <c r="BE129" s="23" t="str">
        <f>VLOOKUP(BD129,CENY!$B$11:$G$1034,2,FALSE)</f>
        <v>AVANTECH YOU SADA SPOJEK PRO VNITŘNÍ ČELO INLAY K BOKŮM STANDARD V187 MM STŘÍBRNÁ</v>
      </c>
      <c r="BF129" s="24">
        <f>VLOOKUP(BD129,CENY!$B$11:$G$1034,3,FALSE)</f>
        <v>1</v>
      </c>
      <c r="BG129" s="24"/>
      <c r="BH129" s="25">
        <f t="shared" ref="BH129:BH137" si="9">AY84</f>
        <v>0</v>
      </c>
      <c r="BI129" s="451">
        <f>IF(BH129="","",IF($AW$4=0,BH129,0))</f>
        <v>0</v>
      </c>
      <c r="BJ129" s="107">
        <f>VLOOKUP(BD129,CENY!$B$11:$M$2005,12,FALSE)</f>
        <v>492.14</v>
      </c>
      <c r="BK129" s="107">
        <f t="shared" si="7"/>
        <v>0</v>
      </c>
    </row>
    <row r="130" spans="47:63">
      <c r="AU130" s="22"/>
      <c r="AV130" s="23"/>
      <c r="AW130" s="24"/>
      <c r="AX130" s="24"/>
      <c r="AY130" s="25"/>
      <c r="AZ130" s="451" t="str">
        <f t="shared" si="5"/>
        <v/>
      </c>
      <c r="BA130" s="107"/>
      <c r="BB130" s="107" t="str">
        <f t="shared" si="4"/>
        <v/>
      </c>
      <c r="BD130" s="441">
        <f>OBJ!B217</f>
        <v>9283228</v>
      </c>
      <c r="BE130" s="23" t="str">
        <f>VLOOKUP(BD130,CENY!$B$11:$G$1034,2,FALSE)</f>
        <v>AVANTECH YOU SKLENĚNÁ VÝPLŇ 10 MM K ČELU INLAY V66 MM Š450 MM KD18 MM</v>
      </c>
      <c r="BF130" s="24">
        <f>VLOOKUP(BD130,CENY!$B$11:$G$1034,3,FALSE)</f>
        <v>1</v>
      </c>
      <c r="BG130" s="24"/>
      <c r="BH130" s="25">
        <f t="shared" si="9"/>
        <v>0</v>
      </c>
      <c r="BI130" s="451">
        <f>IF(BH130="","",IF($AW$4=0,BH130,0))</f>
        <v>0</v>
      </c>
      <c r="BJ130" s="107">
        <f>VLOOKUP(BD130,CENY!$B$11:$M$2005,12,FALSE)</f>
        <v>289.77</v>
      </c>
      <c r="BK130" s="107">
        <f t="shared" si="7"/>
        <v>0</v>
      </c>
    </row>
    <row r="131" spans="47:63">
      <c r="AU131" s="22"/>
      <c r="AV131" s="23"/>
      <c r="AW131" s="24"/>
      <c r="AX131" s="24"/>
      <c r="AY131" s="25"/>
      <c r="AZ131" s="451" t="str">
        <f t="shared" si="5"/>
        <v/>
      </c>
      <c r="BA131" s="107"/>
      <c r="BB131" s="107" t="str">
        <f t="shared" si="4"/>
        <v/>
      </c>
      <c r="BD131" s="441">
        <f>OBJ!B218</f>
        <v>9283229</v>
      </c>
      <c r="BE131" s="23" t="str">
        <f>VLOOKUP(BD131,CENY!$B$11:$G$1034,2,FALSE)</f>
        <v>AVANTECH YOU SKLENĚNÁ VÝPLŇ 10 MM K ČELU INLAY V66 MM Š600 MM KD18 MM</v>
      </c>
      <c r="BF131" s="24">
        <f>VLOOKUP(BD131,CENY!$B$11:$G$1034,3,FALSE)</f>
        <v>1</v>
      </c>
      <c r="BG131" s="24"/>
      <c r="BH131" s="25">
        <f t="shared" si="9"/>
        <v>0</v>
      </c>
      <c r="BI131" s="451">
        <f>IF(BH131="","",IF($AW$4=0,BH131,0))</f>
        <v>0</v>
      </c>
      <c r="BJ131" s="107">
        <f>VLOOKUP(BD131,CENY!$B$11:$M$2005,12,FALSE)</f>
        <v>332.18</v>
      </c>
      <c r="BK131" s="107">
        <f t="shared" si="7"/>
        <v>0</v>
      </c>
    </row>
    <row r="132" spans="47:63">
      <c r="AU132" s="22"/>
      <c r="AV132" s="23"/>
      <c r="AW132" s="24"/>
      <c r="AX132" s="24"/>
      <c r="AY132" s="25"/>
      <c r="AZ132" s="451" t="str">
        <f t="shared" si="5"/>
        <v/>
      </c>
      <c r="BA132" s="107"/>
      <c r="BB132" s="107" t="str">
        <f t="shared" si="4"/>
        <v/>
      </c>
      <c r="BD132" s="441">
        <f>OBJ!B219</f>
        <v>9283231</v>
      </c>
      <c r="BE132" s="23" t="str">
        <f>VLOOKUP(BD132,CENY!$B$11:$G$1034,2,FALSE)</f>
        <v>AVANTECH YOU SKLENĚNÁ VÝPLŇ 10 MM K ČELU INLAY V66 MM Š900 MM KD18 MM</v>
      </c>
      <c r="BF132" s="24">
        <f>VLOOKUP(BD132,CENY!$B$11:$G$1034,3,FALSE)</f>
        <v>1</v>
      </c>
      <c r="BG132" s="24"/>
      <c r="BH132" s="25">
        <f t="shared" si="9"/>
        <v>0</v>
      </c>
      <c r="BI132" s="451">
        <f t="shared" ref="BI132:BI137" si="10">IF(BH132="","",IF($AW$4=0,BH132,0))</f>
        <v>0</v>
      </c>
      <c r="BJ132" s="107">
        <f>VLOOKUP(BD132,CENY!$B$11:$M$2005,12,FALSE)</f>
        <v>586.6</v>
      </c>
      <c r="BK132" s="107">
        <f t="shared" si="7"/>
        <v>0</v>
      </c>
    </row>
    <row r="133" spans="47:63">
      <c r="AU133" s="22"/>
      <c r="AV133" s="23"/>
      <c r="AW133" s="24"/>
      <c r="AX133" s="24"/>
      <c r="AY133" s="25"/>
      <c r="AZ133" s="451" t="str">
        <f t="shared" si="5"/>
        <v/>
      </c>
      <c r="BA133" s="107"/>
      <c r="BB133" s="107" t="str">
        <f>IF(BA133="","",BA133*AY133)</f>
        <v/>
      </c>
      <c r="BD133" s="441">
        <f>OBJ!B220</f>
        <v>9283232</v>
      </c>
      <c r="BE133" s="23" t="str">
        <f>VLOOKUP(BD133,CENY!$B$11:$G$1034,2,FALSE)</f>
        <v>AVANTECH YOU SKLENĚNÁ VÝPLŇ 10 MM K ČELU INLAY V66 MM Š1200 MM KD18 MM</v>
      </c>
      <c r="BF133" s="24">
        <f>VLOOKUP(BD133,CENY!$B$11:$G$1034,3,FALSE)</f>
        <v>1</v>
      </c>
      <c r="BG133" s="24"/>
      <c r="BH133" s="25">
        <f t="shared" si="9"/>
        <v>0</v>
      </c>
      <c r="BI133" s="451">
        <f t="shared" si="10"/>
        <v>0</v>
      </c>
      <c r="BJ133" s="107">
        <f>VLOOKUP(BD133,CENY!$B$11:$M$2005,12,FALSE)</f>
        <v>756.22</v>
      </c>
      <c r="BK133" s="107">
        <f t="shared" si="7"/>
        <v>0</v>
      </c>
    </row>
    <row r="134" spans="47:63">
      <c r="AU134" s="22"/>
      <c r="AV134" s="23"/>
      <c r="AW134" s="24"/>
      <c r="AX134" s="24"/>
      <c r="AY134" s="25"/>
      <c r="AZ134" s="451" t="str">
        <f>IF(AY134="","",IF($AW$4=1,AY134,0))</f>
        <v/>
      </c>
      <c r="BA134" s="107"/>
      <c r="BB134" s="107"/>
      <c r="BD134" s="441">
        <f>OBJ!B221</f>
        <v>9283233</v>
      </c>
      <c r="BE134" s="23" t="str">
        <f>VLOOKUP(BD134,CENY!$B$11:$G$1034,2,FALSE)</f>
        <v>AVANTECH YOU SKLENĚNÁ VÝPLŇ 10 MM K ČELU INLAY V130 MM Š450 MM KD18 MM</v>
      </c>
      <c r="BF134" s="24">
        <f>VLOOKUP(BD134,CENY!$B$11:$G$1034,3,FALSE)</f>
        <v>1</v>
      </c>
      <c r="BG134" s="24"/>
      <c r="BH134" s="25">
        <f t="shared" si="9"/>
        <v>0</v>
      </c>
      <c r="BI134" s="451">
        <f t="shared" si="10"/>
        <v>0</v>
      </c>
      <c r="BJ134" s="107">
        <f>VLOOKUP(BD134,CENY!$B$11:$M$2005,12,FALSE)</f>
        <v>458.09</v>
      </c>
      <c r="BK134" s="107">
        <f>IF(BJ134="","",BJ134*BH134)</f>
        <v>0</v>
      </c>
    </row>
    <row r="135" spans="47:63">
      <c r="AU135" s="22"/>
      <c r="AV135" s="23"/>
      <c r="AW135" s="24"/>
      <c r="AX135" s="24"/>
      <c r="AY135" s="25"/>
      <c r="AZ135" s="451" t="str">
        <f>IF(AY135="","",IF($AW$4=1,AY135,0))</f>
        <v/>
      </c>
      <c r="BA135" s="107"/>
      <c r="BB135" s="107"/>
      <c r="BD135" s="441">
        <f>OBJ!B222</f>
        <v>9283235</v>
      </c>
      <c r="BE135" s="23" t="str">
        <f>VLOOKUP(BD135,CENY!$B$11:$G$1034,2,FALSE)</f>
        <v>AVANTECH YOU SKLENĚNÁ VÝPLŇ 10 MM K ČELU INLAY V130 MM Š600 MM KD18 MM</v>
      </c>
      <c r="BF135" s="24">
        <f>VLOOKUP(BD135,CENY!$B$11:$G$1034,3,FALSE)</f>
        <v>1</v>
      </c>
      <c r="BG135" s="24"/>
      <c r="BH135" s="25">
        <f t="shared" si="9"/>
        <v>0</v>
      </c>
      <c r="BI135" s="451">
        <f t="shared" si="10"/>
        <v>0</v>
      </c>
      <c r="BJ135" s="107">
        <f>VLOOKUP(BD135,CENY!$B$11:$M$2005,12,FALSE)</f>
        <v>520.58000000000004</v>
      </c>
      <c r="BK135" s="107">
        <f>IF(BJ135="","",BJ135*BH135)</f>
        <v>0</v>
      </c>
    </row>
    <row r="136" spans="47:63">
      <c r="AU136" s="22"/>
      <c r="AV136" s="23"/>
      <c r="AW136" s="24"/>
      <c r="AX136" s="24"/>
      <c r="AY136" s="25"/>
      <c r="AZ136" s="451" t="str">
        <f>IF(AY136="","",IF($AW$4=1,AY136,0))</f>
        <v/>
      </c>
      <c r="BA136" s="107"/>
      <c r="BB136" s="107"/>
      <c r="BD136" s="441">
        <f>OBJ!B223</f>
        <v>9283237</v>
      </c>
      <c r="BE136" s="23" t="str">
        <f>VLOOKUP(BD136,CENY!$B$11:$G$1034,2,FALSE)</f>
        <v>AVANTECH YOU SKLENĚNÁ VÝPLŇ 10 MM K ČELU INLAY V130 MM Š900 MM KD18 MM</v>
      </c>
      <c r="BF136" s="24">
        <f>VLOOKUP(BD136,CENY!$B$11:$G$1034,3,FALSE)</f>
        <v>1</v>
      </c>
      <c r="BG136" s="24"/>
      <c r="BH136" s="25">
        <f t="shared" si="9"/>
        <v>0</v>
      </c>
      <c r="BI136" s="451">
        <f t="shared" si="10"/>
        <v>0</v>
      </c>
      <c r="BJ136" s="107">
        <f>VLOOKUP(BD136,CENY!$B$11:$M$2005,12,FALSE)</f>
        <v>867.64</v>
      </c>
      <c r="BK136" s="107">
        <f>IF(BJ136="","",BJ136*BH136)</f>
        <v>0</v>
      </c>
    </row>
    <row r="137" spans="47:63">
      <c r="AU137" s="22"/>
      <c r="AV137" s="23"/>
      <c r="AW137" s="24"/>
      <c r="AX137" s="24"/>
      <c r="AY137" s="25"/>
      <c r="AZ137" s="451" t="str">
        <f>IF(AY137="","",IF($AW$4=1,AY137,0))</f>
        <v/>
      </c>
      <c r="BA137" s="107"/>
      <c r="BB137" s="107" t="str">
        <f>IF(BA137="","",BA137*AY137)</f>
        <v/>
      </c>
      <c r="BD137" s="441">
        <f>OBJ!B224</f>
        <v>9283238</v>
      </c>
      <c r="BE137" s="23" t="str">
        <f>VLOOKUP(BD137,CENY!$B$11:$G$1034,2,FALSE)</f>
        <v>AVANTECH YOU SKLENĚNÁ VÝPLŇ 10 MM K ČELU INLAY V130 MM Š1200 MM KD18 MM</v>
      </c>
      <c r="BF137" s="24">
        <f>VLOOKUP(BD137,CENY!$B$11:$G$1034,3,FALSE)</f>
        <v>1</v>
      </c>
      <c r="BG137" s="24"/>
      <c r="BH137" s="25">
        <f t="shared" si="9"/>
        <v>0</v>
      </c>
      <c r="BI137" s="451">
        <f t="shared" si="10"/>
        <v>0</v>
      </c>
      <c r="BJ137" s="107">
        <f>VLOOKUP(BD137,CENY!$B$11:$M$2005,12,FALSE)</f>
        <v>1117.52</v>
      </c>
      <c r="BK137" s="107">
        <f>IF(BJ137="","",BJ137*BH137)</f>
        <v>0</v>
      </c>
    </row>
    <row r="138" spans="47:63">
      <c r="AU138" s="22"/>
      <c r="AV138" s="23"/>
      <c r="AW138" s="24"/>
      <c r="AX138" s="24"/>
      <c r="AY138" s="25"/>
      <c r="AZ138" s="451"/>
      <c r="BA138" s="107"/>
      <c r="BB138" s="107"/>
      <c r="BD138" s="441"/>
      <c r="BE138" s="23"/>
      <c r="BF138" s="24"/>
      <c r="BG138" s="24"/>
      <c r="BH138" s="25"/>
      <c r="BI138" s="451"/>
      <c r="BJ138" s="107"/>
      <c r="BK138" s="107"/>
    </row>
    <row r="139" spans="47:63">
      <c r="AU139" s="441">
        <f>OBJ!B354</f>
        <v>45167</v>
      </c>
      <c r="AV139" s="23" t="str">
        <f>VLOOKUP(AU139,CENY!$B$11:$G$1034,2,FALSE)</f>
        <v>VRUT PANHEAD 35X12</v>
      </c>
      <c r="AW139" s="24">
        <f>VLOOKUP(AU139,CENY!$B$11:$G$1034,3,FALSE)</f>
        <v>200</v>
      </c>
      <c r="AX139" s="24"/>
      <c r="AY139" s="25">
        <f>SUMPRODUCT(AX5:AX13,AY5:AY13)</f>
        <v>0</v>
      </c>
      <c r="AZ139" s="451">
        <f>IF(AY139="","",IF($AW$4=1,AY139,0))</f>
        <v>0</v>
      </c>
      <c r="BA139" s="107">
        <f>VLOOKUP(AU139,CENY!$B$11:$M$2005,12,FALSE)</f>
        <v>0.54</v>
      </c>
      <c r="BB139" s="107">
        <f>IF(BA139="","",BA139*AY139)</f>
        <v>0</v>
      </c>
      <c r="BC139" s="97" t="s">
        <v>506</v>
      </c>
      <c r="BD139" s="441">
        <f>OBJ!B354</f>
        <v>45167</v>
      </c>
      <c r="BE139" s="23" t="str">
        <f>VLOOKUP(BD139,CENY!$B$11:$G$1034,2,FALSE)</f>
        <v>VRUT PANHEAD 35X12</v>
      </c>
      <c r="BF139" s="24">
        <f>VLOOKUP(BD139,CENY!$B$11:$G$1034,3,FALSE)</f>
        <v>200</v>
      </c>
      <c r="BG139" s="24"/>
      <c r="BH139" s="25">
        <f>AY139+BH25*2</f>
        <v>0</v>
      </c>
      <c r="BI139" s="451">
        <f>IF(BH139="","",IF($AW$4=0,BH139,0))</f>
        <v>0</v>
      </c>
      <c r="BJ139" s="107">
        <f>VLOOKUP(BD139,CENY!$B$11:$M$2005,12,FALSE)</f>
        <v>0.54</v>
      </c>
      <c r="BK139" s="107">
        <f>IF(BJ139="","",BJ139*BH139)</f>
        <v>0</v>
      </c>
    </row>
    <row r="140" spans="47:63">
      <c r="AU140" s="441">
        <f>OBJ!B355</f>
        <v>45168</v>
      </c>
      <c r="AV140" s="23" t="str">
        <f>VLOOKUP(AU140,CENY!$B$11:$G$1034,2,FALSE)</f>
        <v>VRUT PANHEAD 35X20</v>
      </c>
      <c r="AW140" s="24">
        <f>VLOOKUP(AU140,CENY!$B$11:$G$1034,3,FALSE)</f>
        <v>200</v>
      </c>
      <c r="AX140" s="24"/>
      <c r="AY140" s="497">
        <v>0</v>
      </c>
      <c r="AZ140" s="451">
        <f>IF(AY140="","",IF($AW$4=1,AY140,0))</f>
        <v>0</v>
      </c>
      <c r="BA140" s="107">
        <f>VLOOKUP(AU140,CENY!$B$11:$M$2005,12,FALSE)</f>
        <v>0.78</v>
      </c>
      <c r="BB140" s="107">
        <f>IF(BA140="","",BA140*AY140)</f>
        <v>0</v>
      </c>
      <c r="BC140" s="97" t="s">
        <v>507</v>
      </c>
      <c r="BD140" s="441">
        <f>OBJ!B355</f>
        <v>45168</v>
      </c>
      <c r="BE140" s="23" t="str">
        <f>VLOOKUP(BD140,CENY!$B$11:$G$1034,2,FALSE)</f>
        <v>VRUT PANHEAD 35X20</v>
      </c>
      <c r="BF140" s="24">
        <f>VLOOKUP(BD140,CENY!$B$11:$G$1034,3,FALSE)</f>
        <v>200</v>
      </c>
      <c r="BG140" s="24"/>
      <c r="BH140" s="497">
        <v>0</v>
      </c>
      <c r="BI140" s="451">
        <f>IF(BH140="","",IF($AW$4=0,BH140,0))</f>
        <v>0</v>
      </c>
      <c r="BJ140" s="107">
        <f>VLOOKUP(BD140,CENY!$B$11:$M$2005,12,FALSE)</f>
        <v>0.78</v>
      </c>
      <c r="BK140" s="107">
        <f>IF(BJ140="","",BJ140*BH140)</f>
        <v>0</v>
      </c>
    </row>
    <row r="141" spans="47:63">
      <c r="AU141" s="441">
        <f>OBJ!B356</f>
        <v>9278224</v>
      </c>
      <c r="AV141" s="23" t="str">
        <f>VLOOKUP(AU141,CENY!$B$11:$G$1034,2,FALSE)</f>
        <v>AVANTECH YOU VRUT 3,5X30 PANHEAD POZINK.</v>
      </c>
      <c r="AW141" s="24">
        <f>VLOOKUP(AU141,CENY!$B$11:$G$1034,3,FALSE)</f>
        <v>200</v>
      </c>
      <c r="AX141" s="24"/>
      <c r="AY141" s="497">
        <v>0</v>
      </c>
      <c r="AZ141" s="451">
        <f>IF(AY141="","",IF($AW$4=1,AY141,0))</f>
        <v>0</v>
      </c>
      <c r="BA141" s="107">
        <f>VLOOKUP(AU141,CENY!$B$11:$M$2005,12,FALSE)</f>
        <v>0.73</v>
      </c>
      <c r="BB141" s="107">
        <f>IF(BA141="","",BA141*AY141)</f>
        <v>0</v>
      </c>
      <c r="BC141" s="97" t="s">
        <v>508</v>
      </c>
      <c r="BD141" s="441">
        <f>OBJ!B356</f>
        <v>9278224</v>
      </c>
      <c r="BE141" s="23" t="str">
        <f>VLOOKUP(BD141,CENY!$B$11:$G$1034,2,FALSE)</f>
        <v>AVANTECH YOU VRUT 3,5X30 PANHEAD POZINK.</v>
      </c>
      <c r="BF141" s="24">
        <f>VLOOKUP(BD141,CENY!$B$11:$G$1034,3,FALSE)</f>
        <v>200</v>
      </c>
      <c r="BG141" s="24"/>
      <c r="BH141" s="497">
        <f>2*SUM(BH5:BH22)</f>
        <v>0</v>
      </c>
      <c r="BI141" s="451">
        <f>IF(BH141="","",IF($AW$4=0,BH141,0))</f>
        <v>0</v>
      </c>
      <c r="BJ141" s="107">
        <f>VLOOKUP(BD141,CENY!$B$11:$M$2005,12,FALSE)</f>
        <v>0.73</v>
      </c>
      <c r="BK141" s="107">
        <f>IF(BJ141="","",BJ141*BH141)</f>
        <v>0</v>
      </c>
    </row>
    <row r="142" spans="47:63">
      <c r="AU142" s="441">
        <f>OBJ!B357</f>
        <v>9279197</v>
      </c>
      <c r="AV142" s="23" t="str">
        <f>VLOOKUP(AU142,CENY!$B$11:$G$1034,2,FALSE)</f>
        <v>SAMOŘEZNÝ ŠROUB 3,5X12 PANHEAD POZINK.</v>
      </c>
      <c r="AW142" s="24">
        <f>VLOOKUP(AU142,CENY!$B$11:$G$1034,3,FALSE)</f>
        <v>1000</v>
      </c>
      <c r="AX142" s="24"/>
      <c r="AY142" s="77">
        <v>0</v>
      </c>
      <c r="AZ142" s="451">
        <f>IF(AY142="","",IF($AW$4=1,AY142,0))</f>
        <v>0</v>
      </c>
      <c r="BA142" s="107">
        <f>VLOOKUP(AU142,CENY!$B$11:$M$2005,12,FALSE)</f>
        <v>1.51</v>
      </c>
      <c r="BB142" s="107">
        <f>IF(BA142="","",BA142*AY142)</f>
        <v>0</v>
      </c>
      <c r="BC142" s="97" t="s">
        <v>509</v>
      </c>
      <c r="BD142" s="441">
        <f>OBJ!B357</f>
        <v>9279197</v>
      </c>
      <c r="BE142" s="23" t="str">
        <f>VLOOKUP(BD142,CENY!$B$11:$G$1034,2,FALSE)</f>
        <v>SAMOŘEZNÝ ŠROUB 3,5X12 PANHEAD POZINK.</v>
      </c>
      <c r="BF142" s="24">
        <f>VLOOKUP(BD142,CENY!$B$11:$G$1034,3,FALSE)</f>
        <v>1000</v>
      </c>
      <c r="BG142" s="24"/>
      <c r="BH142" s="77">
        <v>0</v>
      </c>
      <c r="BI142" s="451">
        <f>IF(BH142="","",IF($AW$4=0,BH142,0))</f>
        <v>0</v>
      </c>
      <c r="BJ142" s="107">
        <f>VLOOKUP(BD142,CENY!$B$11:$M$2005,12,FALSE)</f>
        <v>1.51</v>
      </c>
      <c r="BK142" s="107">
        <f>IF(BJ142="","",BJ142*BH142)</f>
        <v>0</v>
      </c>
    </row>
    <row r="143" spans="47:63">
      <c r="AU143" s="441">
        <f>OBJ!B358</f>
        <v>9137114</v>
      </c>
      <c r="AV143" s="23" t="str">
        <f>VLOOKUP(AU143,CENY!$B$11:$G$1034,2,FALSE)</f>
        <v>EUROŠROUB DBS 60 X 14</v>
      </c>
      <c r="AW143" s="24">
        <f>VLOOKUP(AU143,CENY!$B$11:$G$1034,3,FALSE)</f>
        <v>200</v>
      </c>
      <c r="AX143" s="24"/>
      <c r="AY143" s="25">
        <f>SUMPRODUCT(AX25:AX74,AY25:AY74)</f>
        <v>0</v>
      </c>
      <c r="AZ143" s="451">
        <f>IF(AY143="","",IF($AW$4=1,AY143,0))</f>
        <v>0</v>
      </c>
      <c r="BA143" s="107">
        <f>VLOOKUP(AU143,CENY!$B$11:$M$2005,12,FALSE)</f>
        <v>1.2</v>
      </c>
      <c r="BB143" s="107">
        <f>IF(BA143="","",BA143*AY143)</f>
        <v>0</v>
      </c>
      <c r="BC143" s="97" t="s">
        <v>510</v>
      </c>
      <c r="BD143" s="441">
        <f>OBJ!B358</f>
        <v>9137114</v>
      </c>
      <c r="BE143" s="23" t="str">
        <f>VLOOKUP(BD143,CENY!$B$11:$G$1034,2,FALSE)</f>
        <v>EUROŠROUB DBS 60 X 14</v>
      </c>
      <c r="BF143" s="24">
        <f>VLOOKUP(BD143,CENY!$B$11:$G$1034,3,FALSE)</f>
        <v>200</v>
      </c>
      <c r="BG143" s="24"/>
      <c r="BH143" s="25">
        <f>AY143</f>
        <v>0</v>
      </c>
      <c r="BI143" s="451">
        <f>IF(BH143="","",IF($AW$4=0,BH143,0))</f>
        <v>0</v>
      </c>
      <c r="BJ143" s="107">
        <f>VLOOKUP(BD143,CENY!$B$11:$M$2005,12,FALSE)</f>
        <v>1.2</v>
      </c>
      <c r="BK143" s="107">
        <f>IF(BJ143="","",BJ143*BH143)</f>
        <v>0</v>
      </c>
    </row>
    <row r="144" spans="47:63">
      <c r="AU144" s="22"/>
      <c r="AV144" s="23"/>
      <c r="AW144" s="24"/>
      <c r="AX144" s="24"/>
      <c r="AY144" s="25"/>
      <c r="AZ144" s="451"/>
      <c r="BA144" s="107"/>
      <c r="BB144" s="107"/>
      <c r="BD144" s="441"/>
      <c r="BE144" s="23"/>
      <c r="BF144" s="24"/>
      <c r="BG144" s="24"/>
      <c r="BH144" s="25"/>
      <c r="BI144" s="451"/>
      <c r="BJ144" s="107"/>
      <c r="BK144" s="107"/>
    </row>
    <row r="145" spans="47:63">
      <c r="AU145" s="22"/>
      <c r="AV145" s="23"/>
      <c r="AW145" s="24"/>
      <c r="AX145" s="24"/>
      <c r="AY145" s="25"/>
      <c r="AZ145" s="451"/>
      <c r="BA145" s="107"/>
      <c r="BB145" s="107"/>
      <c r="BD145" s="441"/>
      <c r="BE145" s="23"/>
      <c r="BF145" s="24"/>
      <c r="BG145" s="24"/>
      <c r="BH145" s="25"/>
      <c r="BI145" s="451"/>
      <c r="BJ145" s="107"/>
      <c r="BK145" s="107"/>
    </row>
    <row r="146" spans="47:63">
      <c r="AU146" s="22"/>
      <c r="AV146" s="23"/>
      <c r="AW146" s="24"/>
      <c r="AX146" s="24"/>
      <c r="AY146" s="25"/>
      <c r="AZ146" s="451" t="str">
        <f>IF(AY146="","",IF($AW$4=1,AY146,0))</f>
        <v/>
      </c>
      <c r="BA146" s="107"/>
      <c r="BB146" s="107" t="str">
        <f>IF(BA146="","",BA146*AY146)</f>
        <v/>
      </c>
      <c r="BD146" s="441"/>
      <c r="BE146" s="23"/>
      <c r="BF146" s="24"/>
      <c r="BG146" s="24"/>
      <c r="BH146" s="25"/>
      <c r="BI146" s="451" t="str">
        <f>IF(BH146="","",IF($AW$4=0,BH146,0))</f>
        <v/>
      </c>
      <c r="BJ146" s="107"/>
      <c r="BK146" s="107" t="str">
        <f>IF(BJ146="","",BJ146*BH146)</f>
        <v/>
      </c>
    </row>
  </sheetData>
  <sheetProtection password="DD97" sheet="1"/>
  <mergeCells count="177">
    <mergeCell ref="AG85:AH85"/>
    <mergeCell ref="AI85:AJ85"/>
    <mergeCell ref="V87:AC92"/>
    <mergeCell ref="O81:AJ81"/>
    <mergeCell ref="AA82:AB82"/>
    <mergeCell ref="O82:V82"/>
    <mergeCell ref="AC82:AJ82"/>
    <mergeCell ref="AI84:AJ84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C84:AD84"/>
    <mergeCell ref="AE84:AF84"/>
    <mergeCell ref="AG84:AH84"/>
    <mergeCell ref="AI83:AJ83"/>
    <mergeCell ref="O79:P79"/>
    <mergeCell ref="Q79:R79"/>
    <mergeCell ref="S79:T79"/>
    <mergeCell ref="U79:V79"/>
    <mergeCell ref="W79:X79"/>
    <mergeCell ref="Y79:Z79"/>
    <mergeCell ref="AC83:AD83"/>
    <mergeCell ref="AE83:AF83"/>
    <mergeCell ref="AG83:AH83"/>
    <mergeCell ref="AC79:AD79"/>
    <mergeCell ref="AE79:AF79"/>
    <mergeCell ref="AG79:AH79"/>
    <mergeCell ref="M84:N84"/>
    <mergeCell ref="O84:P84"/>
    <mergeCell ref="Q84:R84"/>
    <mergeCell ref="S84:T84"/>
    <mergeCell ref="U84:V84"/>
    <mergeCell ref="O83:P83"/>
    <mergeCell ref="Q83:R83"/>
    <mergeCell ref="S83:T83"/>
    <mergeCell ref="U83:V83"/>
    <mergeCell ref="AI67:AM67"/>
    <mergeCell ref="AO67:AR67"/>
    <mergeCell ref="AC80:AD80"/>
    <mergeCell ref="AE80:AF80"/>
    <mergeCell ref="AG80:AH80"/>
    <mergeCell ref="AI80:AJ80"/>
    <mergeCell ref="AA30:AB30"/>
    <mergeCell ref="AC30:AD30"/>
    <mergeCell ref="A66:A105"/>
    <mergeCell ref="B67:E67"/>
    <mergeCell ref="G67:K67"/>
    <mergeCell ref="O67:S67"/>
    <mergeCell ref="U67:Y67"/>
    <mergeCell ref="AA67:AE67"/>
    <mergeCell ref="AA80:AB80"/>
    <mergeCell ref="O80:P80"/>
    <mergeCell ref="AI79:AJ79"/>
    <mergeCell ref="AA79:AB79"/>
    <mergeCell ref="AA83:AB83"/>
    <mergeCell ref="Q80:R80"/>
    <mergeCell ref="S80:T80"/>
    <mergeCell ref="U80:V80"/>
    <mergeCell ref="W80:X80"/>
    <mergeCell ref="Y80:Z80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  <mergeCell ref="Y30:Z30"/>
    <mergeCell ref="U28:V28"/>
    <mergeCell ref="W28:X28"/>
    <mergeCell ref="Y28:Z28"/>
    <mergeCell ref="AA28:AB28"/>
    <mergeCell ref="AC28:AD28"/>
    <mergeCell ref="AN28:AO28"/>
    <mergeCell ref="B28:G28"/>
    <mergeCell ref="H28:L28"/>
    <mergeCell ref="M28:N28"/>
    <mergeCell ref="O28:P28"/>
    <mergeCell ref="Q28:R28"/>
    <mergeCell ref="S28:T28"/>
    <mergeCell ref="AA26:AB26"/>
    <mergeCell ref="AC26:AD26"/>
    <mergeCell ref="AI26:AO26"/>
    <mergeCell ref="B27:G27"/>
    <mergeCell ref="H27:L27"/>
    <mergeCell ref="M27:N27"/>
    <mergeCell ref="O27:P27"/>
    <mergeCell ref="Q27:R27"/>
    <mergeCell ref="S27:T27"/>
    <mergeCell ref="AN27:AO27"/>
    <mergeCell ref="O26:P26"/>
    <mergeCell ref="Q26:R26"/>
    <mergeCell ref="S26:T26"/>
    <mergeCell ref="U26:V26"/>
    <mergeCell ref="W26:X26"/>
    <mergeCell ref="Y26:Z26"/>
    <mergeCell ref="Y22:Z22"/>
    <mergeCell ref="AA22:AB22"/>
    <mergeCell ref="AC22:AD22"/>
    <mergeCell ref="AE22:AF22"/>
    <mergeCell ref="AN22:AO22"/>
    <mergeCell ref="AI25:AO25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U20:V20"/>
    <mergeCell ref="W20:X20"/>
    <mergeCell ref="Y20:Z20"/>
    <mergeCell ref="AA20:AB20"/>
    <mergeCell ref="AC20:AD20"/>
    <mergeCell ref="AE20:AF20"/>
    <mergeCell ref="B20:G20"/>
    <mergeCell ref="H20:L20"/>
    <mergeCell ref="M20:N20"/>
    <mergeCell ref="O20:P20"/>
    <mergeCell ref="Q20:R20"/>
    <mergeCell ref="S20:T20"/>
    <mergeCell ref="AE18:AF18"/>
    <mergeCell ref="AI18:AO18"/>
    <mergeCell ref="B19:G19"/>
    <mergeCell ref="H19:L19"/>
    <mergeCell ref="M19:N19"/>
    <mergeCell ref="O19:P19"/>
    <mergeCell ref="Q19:R19"/>
    <mergeCell ref="S19:T19"/>
    <mergeCell ref="AN19:AO19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B12:E12"/>
    <mergeCell ref="F12:I12"/>
    <mergeCell ref="J12:K12"/>
    <mergeCell ref="B13:E13"/>
    <mergeCell ref="F13:I13"/>
    <mergeCell ref="J13:K13"/>
    <mergeCell ref="B9:E9"/>
    <mergeCell ref="F9:K9"/>
    <mergeCell ref="AK9:AP10"/>
    <mergeCell ref="B10:E10"/>
    <mergeCell ref="F10:K10"/>
    <mergeCell ref="B11:E11"/>
    <mergeCell ref="F11:K11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BH26:BH85 AY5:AY42 BH5:BH24 AY93:AY95 AY106:AY138 BH146:BI146 AY144:AY146">
    <cfRule type="cellIs" dxfId="240" priority="56" stopIfTrue="1" operator="equal">
      <formula>0</formula>
    </cfRule>
  </conditionalFormatting>
  <conditionalFormatting sqref="AY53:AY56 AY66:AY69 AY43:AY50">
    <cfRule type="cellIs" dxfId="239" priority="54" stopIfTrue="1" operator="equal">
      <formula>0</formula>
    </cfRule>
  </conditionalFormatting>
  <conditionalFormatting sqref="O17:AF17 O19:T19 O20:AD20 W22:AF22 O27:T27 O28:AD28 O30:AD30">
    <cfRule type="expression" dxfId="238" priority="55" stopIfTrue="1">
      <formula>$AW$4=0</formula>
    </cfRule>
  </conditionalFormatting>
  <conditionalFormatting sqref="AY76:AY77 AY79 AY81:AY82">
    <cfRule type="cellIs" dxfId="237" priority="53" stopIfTrue="1" operator="equal">
      <formula>0</formula>
    </cfRule>
  </conditionalFormatting>
  <conditionalFormatting sqref="AY103:AY105">
    <cfRule type="cellIs" dxfId="236" priority="52" stopIfTrue="1" operator="equal">
      <formula>0</formula>
    </cfRule>
  </conditionalFormatting>
  <conditionalFormatting sqref="BH25">
    <cfRule type="cellIs" dxfId="235" priority="51" stopIfTrue="1" operator="equal">
      <formula>0</formula>
    </cfRule>
  </conditionalFormatting>
  <conditionalFormatting sqref="AY51:AY52">
    <cfRule type="cellIs" dxfId="234" priority="50" stopIfTrue="1" operator="equal">
      <formula>0</formula>
    </cfRule>
  </conditionalFormatting>
  <conditionalFormatting sqref="AY57:AY63">
    <cfRule type="cellIs" dxfId="233" priority="49" stopIfTrue="1" operator="equal">
      <formula>0</formula>
    </cfRule>
  </conditionalFormatting>
  <conditionalFormatting sqref="AY70:AY73">
    <cfRule type="cellIs" dxfId="232" priority="48" stopIfTrue="1" operator="equal">
      <formula>0</formula>
    </cfRule>
  </conditionalFormatting>
  <conditionalFormatting sqref="AY74">
    <cfRule type="cellIs" dxfId="231" priority="47" stopIfTrue="1" operator="equal">
      <formula>0</formula>
    </cfRule>
  </conditionalFormatting>
  <conditionalFormatting sqref="AY75">
    <cfRule type="cellIs" dxfId="230" priority="46" stopIfTrue="1" operator="equal">
      <formula>0</formula>
    </cfRule>
  </conditionalFormatting>
  <conditionalFormatting sqref="AY78">
    <cfRule type="cellIs" dxfId="229" priority="45" stopIfTrue="1" operator="equal">
      <formula>0</formula>
    </cfRule>
  </conditionalFormatting>
  <conditionalFormatting sqref="BH101:BH106">
    <cfRule type="cellIs" dxfId="228" priority="44" stopIfTrue="1" operator="equal">
      <formula>0</formula>
    </cfRule>
  </conditionalFormatting>
  <conditionalFormatting sqref="BH122:BH124 BH126:BH127">
    <cfRule type="cellIs" dxfId="227" priority="43" stopIfTrue="1" operator="equal">
      <formula>0</formula>
    </cfRule>
  </conditionalFormatting>
  <conditionalFormatting sqref="AY64:AY65">
    <cfRule type="cellIs" dxfId="226" priority="41" stopIfTrue="1" operator="equal">
      <formula>0</formula>
    </cfRule>
  </conditionalFormatting>
  <conditionalFormatting sqref="BH86:BH100">
    <cfRule type="cellIs" dxfId="225" priority="40" stopIfTrue="1" operator="equal">
      <formula>0</formula>
    </cfRule>
  </conditionalFormatting>
  <conditionalFormatting sqref="BH107:BH121">
    <cfRule type="cellIs" dxfId="224" priority="39" stopIfTrue="1" operator="equal">
      <formula>0</formula>
    </cfRule>
  </conditionalFormatting>
  <conditionalFormatting sqref="AY80">
    <cfRule type="cellIs" dxfId="223" priority="38" stopIfTrue="1" operator="equal">
      <formula>0</formula>
    </cfRule>
  </conditionalFormatting>
  <conditionalFormatting sqref="BH125">
    <cfRule type="cellIs" dxfId="222" priority="37" stopIfTrue="1" operator="equal">
      <formula>0</formula>
    </cfRule>
  </conditionalFormatting>
  <conditionalFormatting sqref="F13:K13">
    <cfRule type="expression" dxfId="221" priority="36" stopIfTrue="1">
      <formula>$AW$4=1</formula>
    </cfRule>
  </conditionalFormatting>
  <conditionalFormatting sqref="AZ5">
    <cfRule type="cellIs" dxfId="220" priority="35" stopIfTrue="1" operator="equal">
      <formula>0</formula>
    </cfRule>
  </conditionalFormatting>
  <conditionalFormatting sqref="BI5">
    <cfRule type="cellIs" dxfId="219" priority="34" stopIfTrue="1" operator="equal">
      <formula>0</formula>
    </cfRule>
  </conditionalFormatting>
  <conditionalFormatting sqref="BI6:BI127">
    <cfRule type="cellIs" dxfId="218" priority="33" stopIfTrue="1" operator="equal">
      <formula>0</formula>
    </cfRule>
  </conditionalFormatting>
  <conditionalFormatting sqref="AR87">
    <cfRule type="expression" dxfId="217" priority="32" stopIfTrue="1">
      <formula>$AU$95=AU97</formula>
    </cfRule>
  </conditionalFormatting>
  <conditionalFormatting sqref="AY102">
    <cfRule type="cellIs" dxfId="216" priority="30" stopIfTrue="1" operator="equal">
      <formula>0</formula>
    </cfRule>
  </conditionalFormatting>
  <conditionalFormatting sqref="AY96:AY101">
    <cfRule type="cellIs" dxfId="215" priority="28" stopIfTrue="1" operator="equal">
      <formula>0</formula>
    </cfRule>
  </conditionalFormatting>
  <conditionalFormatting sqref="AY83:AY84">
    <cfRule type="cellIs" dxfId="214" priority="25" stopIfTrue="1" operator="equal">
      <formula>0</formula>
    </cfRule>
  </conditionalFormatting>
  <conditionalFormatting sqref="BH128">
    <cfRule type="cellIs" dxfId="213" priority="24" stopIfTrue="1" operator="equal">
      <formula>0</formula>
    </cfRule>
  </conditionalFormatting>
  <conditionalFormatting sqref="BI128">
    <cfRule type="cellIs" dxfId="212" priority="23" stopIfTrue="1" operator="equal">
      <formula>0</formula>
    </cfRule>
  </conditionalFormatting>
  <conditionalFormatting sqref="BI130:BI131">
    <cfRule type="cellIs" dxfId="211" priority="21" stopIfTrue="1" operator="equal">
      <formula>0</formula>
    </cfRule>
  </conditionalFormatting>
  <conditionalFormatting sqref="AY85:AY89">
    <cfRule type="cellIs" dxfId="210" priority="17" stopIfTrue="1" operator="equal">
      <formula>0</formula>
    </cfRule>
  </conditionalFormatting>
  <conditionalFormatting sqref="V87:AC92">
    <cfRule type="expression" dxfId="209" priority="19" stopIfTrue="1">
      <formula>OR($AU$97=0,$AU$97=$AU$95)</formula>
    </cfRule>
  </conditionalFormatting>
  <conditionalFormatting sqref="AY90:AY92">
    <cfRule type="cellIs" dxfId="208" priority="14" stopIfTrue="1" operator="equal">
      <formula>0</formula>
    </cfRule>
  </conditionalFormatting>
  <conditionalFormatting sqref="BI132:BI138 BI144:BI145">
    <cfRule type="cellIs" dxfId="207" priority="12" stopIfTrue="1" operator="equal">
      <formula>0</formula>
    </cfRule>
  </conditionalFormatting>
  <conditionalFormatting sqref="AZ6:AZ138 AZ144:AZ146">
    <cfRule type="cellIs" dxfId="206" priority="11" stopIfTrue="1" operator="equal">
      <formula>0</formula>
    </cfRule>
  </conditionalFormatting>
  <conditionalFormatting sqref="BI129">
    <cfRule type="cellIs" dxfId="205" priority="9" stopIfTrue="1" operator="equal">
      <formula>0</formula>
    </cfRule>
  </conditionalFormatting>
  <conditionalFormatting sqref="BH129:BH138 BH144:BH145">
    <cfRule type="cellIs" dxfId="204" priority="8" stopIfTrue="1" operator="equal">
      <formula>0</formula>
    </cfRule>
  </conditionalFormatting>
  <conditionalFormatting sqref="AZ139:AZ143">
    <cfRule type="cellIs" dxfId="203" priority="7" stopIfTrue="1" operator="equal">
      <formula>0</formula>
    </cfRule>
  </conditionalFormatting>
  <conditionalFormatting sqref="AY139:AY143">
    <cfRule type="cellIs" dxfId="202" priority="6" stopIfTrue="1" operator="equal">
      <formula>0</formula>
    </cfRule>
  </conditionalFormatting>
  <conditionalFormatting sqref="BH139 BH142:BH143">
    <cfRule type="cellIs" dxfId="201" priority="5" stopIfTrue="1" operator="equal">
      <formula>0</formula>
    </cfRule>
  </conditionalFormatting>
  <conditionalFormatting sqref="BI139:BI143">
    <cfRule type="cellIs" dxfId="200" priority="4" stopIfTrue="1" operator="equal">
      <formula>0</formula>
    </cfRule>
  </conditionalFormatting>
  <conditionalFormatting sqref="BH140:BH141">
    <cfRule type="cellIs" dxfId="199" priority="3" stopIfTrue="1" operator="equal">
      <formula>0</formula>
    </cfRule>
  </conditionalFormatting>
  <conditionalFormatting sqref="AI17:AO17">
    <cfRule type="expression" dxfId="198" priority="2" stopIfTrue="1">
      <formula>$AW$4=0</formula>
    </cfRule>
  </conditionalFormatting>
  <conditionalFormatting sqref="AI25:AO25">
    <cfRule type="expression" dxfId="197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M69" location="MENU!A1" display="MENU!A1"/>
    <hyperlink ref="B67:E67" location="'AVT187(vn-S)'!A1" display="'AVT187(vn-S)'!A1"/>
    <hyperlink ref="AK9:AO10" location="'IT70(vn100)'!A66" display="'IT70(vn100)'!A66"/>
    <hyperlink ref="AK9:AP10" location="'AVT187(vn-S)'!A66" display="'AVT187(vn-S)'!A66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rgb="FF00B050"/>
  </sheetPr>
  <dimension ref="A1:BK122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SUM(BB5:BB979)</f>
        <v>0</v>
      </c>
      <c r="BD4" s="105" t="s">
        <v>40</v>
      </c>
      <c r="BK4" s="444">
        <f>SUM(BK5:BK968)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AVANTECH YOU BOKY V SADĚ INLAY V187 MM L350 MM STŘÍBRNÁ</v>
      </c>
      <c r="AW5" s="24">
        <f>VLOOKUP(AU5,CENY!$B$11:$G$1034,3,FALSE)</f>
        <v>1</v>
      </c>
      <c r="AX5" s="499">
        <v>6</v>
      </c>
      <c r="AY5" s="25">
        <f>S19+S20+S27+S28+S30</f>
        <v>0</v>
      </c>
      <c r="AZ5" s="451">
        <f>IF(AY5="","",IF($AW$4=1,AY5,0))</f>
        <v>0</v>
      </c>
      <c r="BA5" s="107">
        <f>VLOOKUP(AU5,CENY!$B$11:$M$2005,12,FALSE)</f>
        <v>890.83</v>
      </c>
      <c r="BB5" s="107">
        <f t="shared" ref="BB5:BB68" si="0">IF(BA5="","",BA5*AY5)</f>
        <v>0</v>
      </c>
      <c r="BD5" s="441">
        <f>OBJ!B169</f>
        <v>9257131</v>
      </c>
      <c r="BE5" s="23" t="str">
        <f>VLOOKUP(BD5,CENY!$B$11:$G$1034,2,FALSE)</f>
        <v>AVANTECH YOU BOK INLAY V187 MM NL350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324.87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453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AVANTECH YOU BOKY V SADĚ INLAY V187 MM L400 MM STŘÍBRNÁ</v>
      </c>
      <c r="AW6" s="24">
        <f>VLOOKUP(AU6,CENY!$B$11:$G$1034,3,FALSE)</f>
        <v>1</v>
      </c>
      <c r="AX6" s="499">
        <v>6</v>
      </c>
      <c r="AY6" s="25">
        <f>U20+U28+U30</f>
        <v>0</v>
      </c>
      <c r="AZ6" s="451">
        <f t="shared" ref="AZ6:AZ69" si="1">IF(AY6="","",IF($AW$4=1,AY6,0))</f>
        <v>0</v>
      </c>
      <c r="BA6" s="107">
        <f>VLOOKUP(AU6,CENY!$B$11:$M$2005,12,FALSE)</f>
        <v>902.57</v>
      </c>
      <c r="BB6" s="107">
        <f t="shared" si="0"/>
        <v>0</v>
      </c>
      <c r="BD6" s="441">
        <f>OBJ!B170</f>
        <v>9257132</v>
      </c>
      <c r="BE6" s="23" t="str">
        <f>VLOOKUP(BD6,CENY!$B$11:$G$1034,2,FALSE)</f>
        <v>AVANTECH YOU BOK INLAY V187 MM NL350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324.87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AVANTECH YOU BOKY V SADĚ INLAY V187 MM L450 MM STŘÍBRNÁ</v>
      </c>
      <c r="AW7" s="24">
        <f>VLOOKUP(AU7,CENY!$B$11:$G$1034,3,FALSE)</f>
        <v>1</v>
      </c>
      <c r="AX7" s="499">
        <v>6</v>
      </c>
      <c r="AY7" s="25">
        <f>W20+W22+W28+W30</f>
        <v>0</v>
      </c>
      <c r="AZ7" s="451">
        <f t="shared" si="1"/>
        <v>0</v>
      </c>
      <c r="BA7" s="107">
        <f>VLOOKUP(AU7,CENY!$B$11:$M$2005,12,FALSE)</f>
        <v>914.31</v>
      </c>
      <c r="BB7" s="107">
        <f t="shared" si="0"/>
        <v>0</v>
      </c>
      <c r="BD7" s="441">
        <f>OBJ!B171</f>
        <v>9257133</v>
      </c>
      <c r="BE7" s="23" t="str">
        <f>VLOOKUP(BD7,CENY!$B$11:$G$1034,2,FALSE)</f>
        <v>AVANTECH YOU BOK INLAY V187 MM NL400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330.74</v>
      </c>
      <c r="BK7" s="107">
        <f t="shared" si="3"/>
        <v>0</v>
      </c>
    </row>
    <row r="8" spans="1:63" ht="14.4" customHeight="1" thickBo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AVANTECH YOU BOKY V SADĚ INLAY V187 MM L500 MM STŘÍBRNÁ</v>
      </c>
      <c r="AW8" s="24">
        <f>VLOOKUP(AU8,CENY!$B$11:$G$1034,3,FALSE)</f>
        <v>1</v>
      </c>
      <c r="AX8" s="499">
        <v>8</v>
      </c>
      <c r="AY8" s="25">
        <f>Y20+Y22+Y28+Y30</f>
        <v>0</v>
      </c>
      <c r="AZ8" s="451">
        <f t="shared" si="1"/>
        <v>0</v>
      </c>
      <c r="BA8" s="107">
        <f>VLOOKUP(AU8,CENY!$B$11:$M$2005,12,FALSE)</f>
        <v>926.05</v>
      </c>
      <c r="BB8" s="107">
        <f t="shared" si="0"/>
        <v>0</v>
      </c>
      <c r="BD8" s="441">
        <f>OBJ!B172</f>
        <v>9257134</v>
      </c>
      <c r="BE8" s="23" t="str">
        <f>VLOOKUP(BD8,CENY!$B$11:$G$1034,2,FALSE)</f>
        <v>AVANTECH YOU BOK INLAY V187 MM NL400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330.74</v>
      </c>
      <c r="BK8" s="107">
        <f t="shared" si="3"/>
        <v>0</v>
      </c>
    </row>
    <row r="9" spans="1:63" ht="14.4" customHeight="1" thickTop="1">
      <c r="B9" s="553"/>
      <c r="C9" s="553"/>
      <c r="D9" s="553"/>
      <c r="E9" s="553"/>
      <c r="F9" s="554"/>
      <c r="G9" s="554"/>
      <c r="H9" s="554"/>
      <c r="I9" s="554"/>
      <c r="J9" s="554"/>
      <c r="K9" s="554"/>
      <c r="AK9" s="649" t="str">
        <f>verze!E160</f>
        <v>Je nutné natypovat šířky čel ?</v>
      </c>
      <c r="AL9" s="650"/>
      <c r="AM9" s="650"/>
      <c r="AN9" s="650"/>
      <c r="AO9" s="650"/>
      <c r="AP9" s="651"/>
      <c r="AU9" s="441">
        <f>OBJ!B165</f>
        <v>9257177</v>
      </c>
      <c r="AV9" s="23" t="str">
        <f>VLOOKUP(AU9,CENY!$B$11:$G$1034,2,FALSE)</f>
        <v>AVANTECH YOU BOKY V SADĚ INLAY V187 MM L550 MM STŘÍBRNÁ</v>
      </c>
      <c r="AW9" s="24">
        <f>VLOOKUP(AU9,CENY!$B$11:$G$1034,3,FALSE)</f>
        <v>1</v>
      </c>
      <c r="AX9" s="499">
        <v>8</v>
      </c>
      <c r="AY9" s="25">
        <f>AA20+AA22+AA28+AA30</f>
        <v>0</v>
      </c>
      <c r="AZ9" s="451">
        <f t="shared" si="1"/>
        <v>0</v>
      </c>
      <c r="BA9" s="107">
        <f>VLOOKUP(AU9,CENY!$B$11:$M$2005,12,FALSE)</f>
        <v>937.8</v>
      </c>
      <c r="BB9" s="107">
        <f t="shared" si="0"/>
        <v>0</v>
      </c>
      <c r="BD9" s="441">
        <f>OBJ!B173</f>
        <v>9257135</v>
      </c>
      <c r="BE9" s="23" t="str">
        <f>VLOOKUP(BD9,CENY!$B$11:$G$1034,2,FALSE)</f>
        <v>AVANTECH YOU BOK INLAY V187 MM NL450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336.61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K10" s="652"/>
      <c r="AL10" s="653"/>
      <c r="AM10" s="653"/>
      <c r="AN10" s="653"/>
      <c r="AO10" s="653"/>
      <c r="AP10" s="654"/>
      <c r="AU10" s="441">
        <f>OBJ!B166</f>
        <v>9257178</v>
      </c>
      <c r="AV10" s="23" t="str">
        <f>VLOOKUP(AU10,CENY!$B$11:$G$1034,2,FALSE)</f>
        <v>AVANTECH YOU BOKY V SADĚ INLAY V187 MM L600 MM STŘÍBRNÁ</v>
      </c>
      <c r="AW10" s="24">
        <f>VLOOKUP(AU10,CENY!$B$11:$G$1034,3,FALSE)</f>
        <v>1</v>
      </c>
      <c r="AX10" s="499">
        <v>8</v>
      </c>
      <c r="AY10" s="25">
        <f>AC20+AC22+AC28+AC30</f>
        <v>0</v>
      </c>
      <c r="AZ10" s="451">
        <f t="shared" si="1"/>
        <v>0</v>
      </c>
      <c r="BA10" s="107">
        <f>VLOOKUP(AU10,CENY!$B$11:$M$2005,12,FALSE)</f>
        <v>955.51</v>
      </c>
      <c r="BB10" s="107">
        <f t="shared" si="0"/>
        <v>0</v>
      </c>
      <c r="BD10" s="441">
        <f>OBJ!B174</f>
        <v>9257136</v>
      </c>
      <c r="BE10" s="23" t="str">
        <f>VLOOKUP(BD10,CENY!$B$11:$G$1034,2,FALSE)</f>
        <v>AVANTECH YOU BOK INLAY V187 MM NL450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336.61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AVANTECH YOU BOKY V SADĚ INLAY V187 MM L650 MM STŘÍBRNÁ</v>
      </c>
      <c r="AW11" s="24">
        <f>VLOOKUP(AU11,CENY!$B$11:$G$1034,3,FALSE)</f>
        <v>1</v>
      </c>
      <c r="AX11" s="499">
        <v>10</v>
      </c>
      <c r="AY11" s="25">
        <f>AE22</f>
        <v>0</v>
      </c>
      <c r="AZ11" s="451">
        <f t="shared" si="1"/>
        <v>0</v>
      </c>
      <c r="BA11" s="107">
        <f>VLOOKUP(AU11,CENY!$B$11:$M$2005,12,FALSE)</f>
        <v>979.59</v>
      </c>
      <c r="BB11" s="107">
        <f t="shared" si="0"/>
        <v>0</v>
      </c>
      <c r="BD11" s="441">
        <f>OBJ!B175</f>
        <v>9257137</v>
      </c>
      <c r="BE11" s="23" t="str">
        <f>VLOOKUP(BD11,CENY!$B$11:$G$1034,2,FALSE)</f>
        <v>AVANTECH YOU BOK INLAY V187 MM NL500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342.48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OBJ!B176</f>
        <v>9257138</v>
      </c>
      <c r="BE12" s="23" t="str">
        <f>VLOOKUP(BD12,CENY!$B$11:$G$1034,2,FALSE)</f>
        <v>AVANTECH YOU BOK INLAY V187 MM NL500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342.48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OBJ!B209</f>
        <v>9283178</v>
      </c>
      <c r="AV13" s="23" t="str">
        <f>VLOOKUP(AU13,CENY!$B$11:$G$1034,2,FALSE)</f>
        <v>AVANTECH YOU SKLENĚNÁ VÝPLŇ 10 MM K BOKŮM INLAY NL350 MM</v>
      </c>
      <c r="AW13" s="24">
        <f>VLOOKUP(AU13,CENY!$B$11:$G$1034,3,FALSE)</f>
        <v>1</v>
      </c>
      <c r="AX13" s="24"/>
      <c r="AY13" s="25">
        <f>1*(S19+S20+S27+S28+S30)</f>
        <v>0</v>
      </c>
      <c r="AZ13" s="451">
        <f t="shared" si="1"/>
        <v>0</v>
      </c>
      <c r="BA13" s="107">
        <f>VLOOKUP(AU13,CENY!$B$11:$M$2005,12,FALSE)</f>
        <v>670.1</v>
      </c>
      <c r="BB13" s="107">
        <f t="shared" si="0"/>
        <v>0</v>
      </c>
      <c r="BD13" s="441">
        <f>OBJ!B177</f>
        <v>9257139</v>
      </c>
      <c r="BE13" s="23" t="str">
        <f>VLOOKUP(BD13,CENY!$B$11:$G$1034,2,FALSE)</f>
        <v>AVANTECH YOU BOK INLAY V187 MM NL550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348.35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AVANTECH YOU SKLENĚNÁ VÝPLŇ 10 MM K BOKŮM INLAY NL400 MM</v>
      </c>
      <c r="AW14" s="24">
        <f>VLOOKUP(AU14,CENY!$B$11:$G$1034,3,FALSE)</f>
        <v>1</v>
      </c>
      <c r="AX14" s="24"/>
      <c r="AY14" s="25">
        <f>1*(U20+U28+U30)</f>
        <v>0</v>
      </c>
      <c r="AZ14" s="451">
        <f t="shared" si="1"/>
        <v>0</v>
      </c>
      <c r="BA14" s="107">
        <f>VLOOKUP(AU14,CENY!$B$11:$M$2005,12,FALSE)</f>
        <v>708.04</v>
      </c>
      <c r="BB14" s="107">
        <f t="shared" si="0"/>
        <v>0</v>
      </c>
      <c r="BD14" s="441">
        <f>OBJ!B178</f>
        <v>9257140</v>
      </c>
      <c r="BE14" s="23" t="str">
        <f>VLOOKUP(BD14,CENY!$B$11:$G$1034,2,FALSE)</f>
        <v>AVANTECH YOU BOK INLAY V187 MM NL550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348.35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AVANTECH YOU SKLENĚNÁ VÝPLŇ 10 MM K BOKŮM INLAY NL450 MM</v>
      </c>
      <c r="AW15" s="24">
        <f>VLOOKUP(AU15,CENY!$B$11:$G$1034,3,FALSE)</f>
        <v>1</v>
      </c>
      <c r="AX15" s="24"/>
      <c r="AY15" s="25">
        <f>1*(W20+W22+W28+W30)</f>
        <v>0</v>
      </c>
      <c r="AZ15" s="451">
        <f t="shared" si="1"/>
        <v>0</v>
      </c>
      <c r="BA15" s="107">
        <f>VLOOKUP(AU15,CENY!$B$11:$M$2005,12,FALSE)</f>
        <v>745.99</v>
      </c>
      <c r="BB15" s="107">
        <f t="shared" si="0"/>
        <v>0</v>
      </c>
      <c r="BD15" s="441">
        <f>OBJ!B179</f>
        <v>9257141</v>
      </c>
      <c r="BE15" s="23" t="str">
        <f>VLOOKUP(BD15,CENY!$B$11:$G$1034,2,FALSE)</f>
        <v>AVANTECH YOU BOK INLAY V187 MM NL600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357.21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AVANTECH YOU SKLENĚNÁ VÝPLŇ 10 MM K BOKŮM INLAY NL500 MM</v>
      </c>
      <c r="AW16" s="24">
        <f>VLOOKUP(AU16,CENY!$B$11:$G$1034,3,FALSE)</f>
        <v>1</v>
      </c>
      <c r="AX16" s="24"/>
      <c r="AY16" s="25">
        <f>1*(Y20+Y22+Y28+Y30)</f>
        <v>0</v>
      </c>
      <c r="AZ16" s="451">
        <f t="shared" si="1"/>
        <v>0</v>
      </c>
      <c r="BA16" s="107">
        <f>VLOOKUP(AU16,CENY!$B$11:$M$2005,12,FALSE)</f>
        <v>783.93</v>
      </c>
      <c r="BB16" s="107">
        <f t="shared" si="0"/>
        <v>0</v>
      </c>
      <c r="BD16" s="441">
        <f>OBJ!B180</f>
        <v>9257142</v>
      </c>
      <c r="BE16" s="23" t="str">
        <f>VLOOKUP(BD16,CENY!$B$11:$G$1034,2,FALSE)</f>
        <v>AVANTECH YOU BOK INLAY V187 MM NL600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357.21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OBJ!B213</f>
        <v>9283182</v>
      </c>
      <c r="AV17" s="23" t="str">
        <f>VLOOKUP(AU17,CENY!$B$11:$G$1034,2,FALSE)</f>
        <v>AVANTECH YOU SKLENĚNÁ VÝPLŇ 10 MM K BOKŮM INLAY NL550 MM</v>
      </c>
      <c r="AW17" s="24">
        <f>VLOOKUP(AU17,CENY!$B$11:$G$1034,3,FALSE)</f>
        <v>1</v>
      </c>
      <c r="AX17" s="24"/>
      <c r="AY17" s="25">
        <f>1*(AA20+AA22+AA28+AA30)</f>
        <v>0</v>
      </c>
      <c r="AZ17" s="451">
        <f t="shared" si="1"/>
        <v>0</v>
      </c>
      <c r="BA17" s="107">
        <f>VLOOKUP(AU17,CENY!$B$11:$M$2005,12,FALSE)</f>
        <v>859.8</v>
      </c>
      <c r="BB17" s="107">
        <f t="shared" si="0"/>
        <v>0</v>
      </c>
      <c r="BD17" s="441">
        <f>OBJ!B181</f>
        <v>9257143</v>
      </c>
      <c r="BE17" s="23" t="str">
        <f>VLOOKUP(BD17,CENY!$B$11:$G$1034,2,FALSE)</f>
        <v>AVANTECH YOU BOK INLAY V187 MM NL650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369.25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OBJ!B214</f>
        <v>9283183</v>
      </c>
      <c r="AV18" s="23" t="str">
        <f>VLOOKUP(AU18,CENY!$B$11:$G$1034,2,FALSE)</f>
        <v>AVANTECH YOU SKLENĚNÁ VÝPLŇ 10 MM K BOKŮM INLAY NL600 MM</v>
      </c>
      <c r="AW18" s="24">
        <f>VLOOKUP(AU18,CENY!$B$11:$G$1034,3,FALSE)</f>
        <v>1</v>
      </c>
      <c r="AX18" s="24"/>
      <c r="AY18" s="25">
        <f>1*(AC20+AC22+AC28+AC30)</f>
        <v>0</v>
      </c>
      <c r="AZ18" s="451">
        <f t="shared" si="1"/>
        <v>0</v>
      </c>
      <c r="BA18" s="107">
        <f>VLOOKUP(AU18,CENY!$B$11:$M$2005,12,FALSE)</f>
        <v>935.66</v>
      </c>
      <c r="BB18" s="107">
        <f t="shared" si="0"/>
        <v>0</v>
      </c>
      <c r="BD18" s="441">
        <f>OBJ!B182</f>
        <v>9257144</v>
      </c>
      <c r="BE18" s="23" t="str">
        <f>VLOOKUP(BD18,CENY!$B$11:$G$1034,2,FALSE)</f>
        <v>AVANTECH YOU BOK INLAY V187 MM NL650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369.25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45"/>
      <c r="P19" s="646"/>
      <c r="Q19" s="645"/>
      <c r="R19" s="646"/>
      <c r="S19" s="617"/>
      <c r="T19" s="618"/>
      <c r="U19" s="464"/>
      <c r="V19" s="465"/>
      <c r="W19" s="464"/>
      <c r="X19" s="465"/>
      <c r="Y19" s="464"/>
      <c r="Z19" s="465"/>
      <c r="AA19" s="464"/>
      <c r="AB19" s="465"/>
      <c r="AC19" s="464"/>
      <c r="AD19" s="465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OBJ!B215</f>
        <v>9283184</v>
      </c>
      <c r="AV19" s="23" t="str">
        <f>VLOOKUP(AU19,CENY!$B$11:$G$1034,2,FALSE)</f>
        <v>AVANTECH YOU SKLENĚNÁ VÝPLŇ 10 MM K BOKŮM INLAY NL650 MM</v>
      </c>
      <c r="AW19" s="24">
        <f>VLOOKUP(AU19,CENY!$B$11:$G$1034,3,FALSE)</f>
        <v>1</v>
      </c>
      <c r="AX19" s="24"/>
      <c r="AY19" s="25">
        <f>1*(AE22)</f>
        <v>0</v>
      </c>
      <c r="AZ19" s="451">
        <f t="shared" si="1"/>
        <v>0</v>
      </c>
      <c r="BA19" s="107">
        <f>VLOOKUP(AU19,CENY!$B$11:$M$2005,12,FALSE)</f>
        <v>1011.52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2">
        <v>9257258</v>
      </c>
      <c r="BE20" s="443" t="str">
        <f>VLOOKUP(BD20,CENY!$B$11:$G$1034,2,FALSE)</f>
        <v>AVANTECH YOU PŘÍCHYTKA ČELA PRO BOK INLAY, K ZALISOVÁNÍ</v>
      </c>
      <c r="BF20" s="24">
        <f>VLOOKUP(BD20,CENY!$B$11:$G$1034,3,FALSE)</f>
        <v>200</v>
      </c>
      <c r="BG20" s="24"/>
      <c r="BH20" s="25">
        <f>AY64</f>
        <v>0</v>
      </c>
      <c r="BI20" s="451">
        <f t="shared" si="2"/>
        <v>0</v>
      </c>
      <c r="BJ20" s="107">
        <f>VLOOKUP(BD20,CENY!$B$11:$M$2005,12,FALSE)</f>
        <v>53.8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464"/>
      <c r="AF21" s="465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OBJ!B228</f>
        <v>9256971</v>
      </c>
      <c r="AV21" s="23" t="str">
        <f>VLOOKUP(AU21,CENY!$B$11:$G$1034,2,FALSE)</f>
        <v>ACTRO YOU 10KG PLNOVÝSUV 350 MM EB21 SILENT SYSTEM SADA</v>
      </c>
      <c r="AW21" s="24">
        <f>VLOOKUP(AU21,CENY!$B$11:$G$1034,3,FALSE)</f>
        <v>1</v>
      </c>
      <c r="AX21" s="499">
        <v>4</v>
      </c>
      <c r="AY21" s="25">
        <f>S19</f>
        <v>0</v>
      </c>
      <c r="AZ21" s="451">
        <f t="shared" si="1"/>
        <v>0</v>
      </c>
      <c r="BA21" s="107">
        <f>VLOOKUP(AU21,CENY!$B$11:$M$2005,12,FALSE)</f>
        <v>561.63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AVANTECH YOU STABILIZÁTOR ZAD V101/139/187/251 MM</v>
      </c>
      <c r="BF21" s="24">
        <f>VLOOKUP(BD21,CENY!$B$11:$G$1034,3,FALSE)</f>
        <v>200</v>
      </c>
      <c r="BG21" s="24"/>
      <c r="BH21" s="25">
        <f>2*(SUM(S19)+SUM(S20:AD20)+SUM(W22:AF22)+SUM(S27)+SUM(S28:AD28)+SUM(S30:AD30))</f>
        <v>0</v>
      </c>
      <c r="BI21" s="451">
        <f t="shared" si="2"/>
        <v>0</v>
      </c>
      <c r="BJ21" s="107">
        <f>VLOOKUP(BD21,CENY!$B$11:$M$2005,12,FALSE)</f>
        <v>13.29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9"/>
      <c r="AF22" s="590"/>
      <c r="AI22" s="387"/>
      <c r="AJ22" s="388"/>
      <c r="AK22" s="387"/>
      <c r="AL22" s="388"/>
      <c r="AM22" s="386" t="s">
        <v>407</v>
      </c>
      <c r="AN22" s="594"/>
      <c r="AO22" s="594"/>
      <c r="AU22" s="441"/>
      <c r="AV22" s="23"/>
      <c r="AW22" s="24"/>
      <c r="AX22" s="24"/>
      <c r="AY22" s="25"/>
      <c r="AZ22" s="451" t="str">
        <f t="shared" si="1"/>
        <v/>
      </c>
      <c r="BA22" s="107"/>
      <c r="BB22" s="107" t="str">
        <f t="shared" si="0"/>
        <v/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>
        <f>OBJ!B238</f>
        <v>9257002</v>
      </c>
      <c r="AV23" s="23" t="str">
        <f>VLOOKUP(AU23,CENY!$B$11:$G$1034,2,FALSE)</f>
        <v>ACTRO YOU 40KG PLNOVÝSUV 350 MM EB21 SILENT SYSTEM SADA</v>
      </c>
      <c r="AW23" s="24">
        <f>VLOOKUP(AU23,CENY!$B$11:$G$1034,3,FALSE)</f>
        <v>1</v>
      </c>
      <c r="AX23" s="499">
        <v>8</v>
      </c>
      <c r="AY23" s="25">
        <f>S20</f>
        <v>0</v>
      </c>
      <c r="AZ23" s="451">
        <f t="shared" si="1"/>
        <v>0</v>
      </c>
      <c r="BA23" s="107">
        <f>VLOOKUP(AU23,CENY!$B$11:$M$2005,12,FALSE)</f>
        <v>561.63</v>
      </c>
      <c r="BB23" s="107">
        <f t="shared" si="0"/>
        <v>0</v>
      </c>
      <c r="BD23" s="441">
        <f>OBJ!B209</f>
        <v>9283178</v>
      </c>
      <c r="BE23" s="23" t="str">
        <f>VLOOKUP(BD23,CENY!$B$11:$G$1034,2,FALSE)</f>
        <v>AVANTECH YOU SKLENĚNÁ VÝPLŇ 10 MM K BOKŮM INLAY NL350 MM</v>
      </c>
      <c r="BF23" s="24">
        <f>VLOOKUP(BD23,CENY!$B$11:$G$1034,3,FALSE)</f>
        <v>1</v>
      </c>
      <c r="BG23" s="24"/>
      <c r="BH23" s="25">
        <f>1*(S19+S20+S27+S28+S30)</f>
        <v>0</v>
      </c>
      <c r="BI23" s="451">
        <f t="shared" si="2"/>
        <v>0</v>
      </c>
      <c r="BJ23" s="107">
        <f>VLOOKUP(BD23,CENY!$B$11:$M$2005,12,FALSE)</f>
        <v>670.1</v>
      </c>
      <c r="BK23" s="107">
        <f t="shared" si="3"/>
        <v>0</v>
      </c>
    </row>
    <row r="24" spans="2:63" ht="14.4" customHeight="1">
      <c r="AU24" s="441">
        <f>OBJ!B239</f>
        <v>9257004</v>
      </c>
      <c r="AV24" s="23" t="str">
        <f>VLOOKUP(AU24,CENY!$B$11:$G$1034,2,FALSE)</f>
        <v>ACTRO YOU 40KG PLNOVÝSUV 400 MM EB21 SILENT SYSTEM SADA</v>
      </c>
      <c r="AW24" s="24">
        <f>VLOOKUP(AU24,CENY!$B$11:$G$1034,3,FALSE)</f>
        <v>1</v>
      </c>
      <c r="AX24" s="499">
        <v>8</v>
      </c>
      <c r="AY24" s="25">
        <f>U20</f>
        <v>0</v>
      </c>
      <c r="AZ24" s="451">
        <f t="shared" si="1"/>
        <v>0</v>
      </c>
      <c r="BA24" s="107">
        <f>VLOOKUP(AU24,CENY!$B$11:$M$2005,12,FALSE)</f>
        <v>567.85</v>
      </c>
      <c r="BB24" s="107">
        <f t="shared" si="0"/>
        <v>0</v>
      </c>
      <c r="BD24" s="441">
        <f>OBJ!B210</f>
        <v>9283179</v>
      </c>
      <c r="BE24" s="23" t="str">
        <f>VLOOKUP(BD24,CENY!$B$11:$G$1034,2,FALSE)</f>
        <v>AVANTECH YOU SKLENĚNÁ VÝPLŇ 10 MM K BOKŮM INLAY NL400 MM</v>
      </c>
      <c r="BF24" s="24">
        <f>VLOOKUP(BD24,CENY!$B$11:$G$1034,3,FALSE)</f>
        <v>1</v>
      </c>
      <c r="BG24" s="24"/>
      <c r="BH24" s="25">
        <f>1*(U20+U28+U30)</f>
        <v>0</v>
      </c>
      <c r="BI24" s="451">
        <f t="shared" si="2"/>
        <v>0</v>
      </c>
      <c r="BJ24" s="107">
        <f>VLOOKUP(BD24,CENY!$B$11:$M$2005,12,FALSE)</f>
        <v>708.04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OBJ!B240</f>
        <v>9257006</v>
      </c>
      <c r="AV25" s="23" t="str">
        <f>VLOOKUP(AU25,CENY!$B$11:$G$1034,2,FALSE)</f>
        <v>ACTRO YOU 40KG PLNOVÝSUV 450 MM EB21 SILENT SYSTEM SADA</v>
      </c>
      <c r="AW25" s="24">
        <f>VLOOKUP(AU25,CENY!$B$11:$G$1034,3,FALSE)</f>
        <v>1</v>
      </c>
      <c r="AX25" s="499">
        <v>10</v>
      </c>
      <c r="AY25" s="25">
        <f>W20</f>
        <v>0</v>
      </c>
      <c r="AZ25" s="451">
        <f t="shared" si="1"/>
        <v>0</v>
      </c>
      <c r="BA25" s="107">
        <f>VLOOKUP(AU25,CENY!$B$11:$M$2005,12,FALSE)</f>
        <v>574.04</v>
      </c>
      <c r="BB25" s="107">
        <f t="shared" si="0"/>
        <v>0</v>
      </c>
      <c r="BD25" s="441">
        <f>OBJ!B211</f>
        <v>9283180</v>
      </c>
      <c r="BE25" s="23" t="str">
        <f>VLOOKUP(BD25,CENY!$B$11:$G$1034,2,FALSE)</f>
        <v>AVANTECH YOU SKLENĚNÁ VÝPLŇ 10 MM K BOKŮM INLAY NL450 MM</v>
      </c>
      <c r="BF25" s="24">
        <f>VLOOKUP(BD25,CENY!$B$11:$G$1034,3,FALSE)</f>
        <v>1</v>
      </c>
      <c r="BG25" s="24"/>
      <c r="BH25" s="25">
        <f>1*(W20+W22+W28+W30)</f>
        <v>0</v>
      </c>
      <c r="BI25" s="451">
        <f t="shared" si="2"/>
        <v>0</v>
      </c>
      <c r="BJ25" s="107">
        <f>VLOOKUP(BD25,CENY!$B$11:$M$2005,12,FALSE)</f>
        <v>745.99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OBJ!B241</f>
        <v>9257008</v>
      </c>
      <c r="AV26" s="23" t="str">
        <f>VLOOKUP(AU26,CENY!$B$11:$G$1034,2,FALSE)</f>
        <v>ACTRO YOU 40KG PLNOVÝSUV 500 MM EB21 SILENT SYSTEM SADA</v>
      </c>
      <c r="AW26" s="24">
        <f>VLOOKUP(AU26,CENY!$B$11:$G$1034,3,FALSE)</f>
        <v>1</v>
      </c>
      <c r="AX26" s="499">
        <v>10</v>
      </c>
      <c r="AY26" s="25">
        <f>Y20</f>
        <v>0</v>
      </c>
      <c r="AZ26" s="451">
        <f t="shared" si="1"/>
        <v>0</v>
      </c>
      <c r="BA26" s="107">
        <f>VLOOKUP(AU26,CENY!$B$11:$M$2005,12,FALSE)</f>
        <v>580.26</v>
      </c>
      <c r="BB26" s="107">
        <f t="shared" si="0"/>
        <v>0</v>
      </c>
      <c r="BD26" s="441">
        <f>OBJ!B212</f>
        <v>9283181</v>
      </c>
      <c r="BE26" s="23" t="str">
        <f>VLOOKUP(BD26,CENY!$B$11:$G$1034,2,FALSE)</f>
        <v>AVANTECH YOU SKLENĚNÁ VÝPLŇ 10 MM K BOKŮM INLAY NL500 MM</v>
      </c>
      <c r="BF26" s="24">
        <f>VLOOKUP(BD26,CENY!$B$11:$G$1034,3,FALSE)</f>
        <v>1</v>
      </c>
      <c r="BG26" s="24"/>
      <c r="BH26" s="25">
        <f>1*(Y20+Y22+Y28+Y30)</f>
        <v>0</v>
      </c>
      <c r="BI26" s="451">
        <f t="shared" si="2"/>
        <v>0</v>
      </c>
      <c r="BJ26" s="107">
        <f>VLOOKUP(BD26,CENY!$B$11:$M$2005,12,FALSE)</f>
        <v>783.93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34"/>
      <c r="P27" s="647"/>
      <c r="Q27" s="634"/>
      <c r="R27" s="647"/>
      <c r="S27" s="617"/>
      <c r="T27" s="618"/>
      <c r="U27" s="464"/>
      <c r="V27" s="465"/>
      <c r="W27" s="464"/>
      <c r="X27" s="465"/>
      <c r="Y27" s="464"/>
      <c r="Z27" s="465"/>
      <c r="AA27" s="464"/>
      <c r="AB27" s="465"/>
      <c r="AC27" s="464"/>
      <c r="AD27" s="465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OBJ!B242</f>
        <v>9257010</v>
      </c>
      <c r="AV27" s="23" t="str">
        <f>VLOOKUP(AU27,CENY!$B$11:$G$1034,2,FALSE)</f>
        <v>ACTRO YOU 40KG PLNOVÝSUV 550 MM EB21 SILENT SYSTEM SADA</v>
      </c>
      <c r="AW27" s="24">
        <f>VLOOKUP(AU27,CENY!$B$11:$G$1034,3,FALSE)</f>
        <v>1</v>
      </c>
      <c r="AX27" s="499">
        <v>10</v>
      </c>
      <c r="AY27" s="25">
        <f>AA20</f>
        <v>0</v>
      </c>
      <c r="AZ27" s="451">
        <f t="shared" si="1"/>
        <v>0</v>
      </c>
      <c r="BA27" s="107">
        <f>VLOOKUP(AU27,CENY!$B$11:$M$2005,12,FALSE)</f>
        <v>613.44000000000005</v>
      </c>
      <c r="BB27" s="107">
        <f t="shared" si="0"/>
        <v>0</v>
      </c>
      <c r="BD27" s="441">
        <f>OBJ!B213</f>
        <v>9283182</v>
      </c>
      <c r="BE27" s="23" t="str">
        <f>VLOOKUP(BD27,CENY!$B$11:$G$1034,2,FALSE)</f>
        <v>AVANTECH YOU SKLENĚNÁ VÝPLŇ 10 MM K BOKŮM INLAY NL550 MM</v>
      </c>
      <c r="BF27" s="24">
        <f>VLOOKUP(BD27,CENY!$B$11:$G$1034,3,FALSE)</f>
        <v>1</v>
      </c>
      <c r="BG27" s="24"/>
      <c r="BH27" s="25">
        <f>1*(AA20+AA22+AA28+AA30)</f>
        <v>0</v>
      </c>
      <c r="BI27" s="451">
        <f t="shared" si="2"/>
        <v>0</v>
      </c>
      <c r="BJ27" s="107">
        <f>VLOOKUP(BD27,CENY!$B$11:$M$2005,12,FALSE)</f>
        <v>859.8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621"/>
      <c r="P28" s="648"/>
      <c r="Q28" s="621"/>
      <c r="R28" s="648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OBJ!B243</f>
        <v>9268681</v>
      </c>
      <c r="AV28" s="23" t="str">
        <f>VLOOKUP(AU28,CENY!$B$11:$G$1034,2,FALSE)</f>
        <v>ACTRO YOU 40KG PLNOVÝSUV 600 MM EB21 SILENT SYSTÉM SADA</v>
      </c>
      <c r="AW28" s="24">
        <f>VLOOKUP(AU28,CENY!$B$11:$G$1034,3,FALSE)</f>
        <v>1</v>
      </c>
      <c r="AX28" s="499">
        <v>10</v>
      </c>
      <c r="AY28" s="25">
        <f>AC20</f>
        <v>0</v>
      </c>
      <c r="AZ28" s="451">
        <f t="shared" si="1"/>
        <v>0</v>
      </c>
      <c r="BA28" s="107">
        <f>VLOOKUP(AU28,CENY!$B$11:$M$2005,12,FALSE)</f>
        <v>620.78</v>
      </c>
      <c r="BB28" s="107">
        <f t="shared" si="0"/>
        <v>0</v>
      </c>
      <c r="BD28" s="441">
        <f>OBJ!B214</f>
        <v>9283183</v>
      </c>
      <c r="BE28" s="23" t="str">
        <f>VLOOKUP(BD28,CENY!$B$11:$G$1034,2,FALSE)</f>
        <v>AVANTECH YOU SKLENĚNÁ VÝPLŇ 10 MM K BOKŮM INLAY NL600 MM</v>
      </c>
      <c r="BF28" s="24">
        <f>VLOOKUP(BD28,CENY!$B$11:$G$1034,3,FALSE)</f>
        <v>1</v>
      </c>
      <c r="BG28" s="24"/>
      <c r="BH28" s="25">
        <f>1*(AC20+AC22+AC28+AC30)</f>
        <v>0</v>
      </c>
      <c r="BI28" s="451">
        <f t="shared" si="2"/>
        <v>0</v>
      </c>
      <c r="BJ28" s="107">
        <f>VLOOKUP(BD28,CENY!$B$11:$M$2005,12,FALSE)</f>
        <v>935.66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64"/>
      <c r="P29" s="465"/>
      <c r="Q29" s="464"/>
      <c r="R29" s="465"/>
      <c r="S29" s="464"/>
      <c r="T29" s="465"/>
      <c r="U29" s="464"/>
      <c r="V29" s="465"/>
      <c r="W29" s="464"/>
      <c r="X29" s="465"/>
      <c r="Y29" s="464"/>
      <c r="Z29" s="465"/>
      <c r="AA29" s="464"/>
      <c r="AB29" s="465"/>
      <c r="AC29" s="464"/>
      <c r="AD29" s="465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OBJ!B215</f>
        <v>9283184</v>
      </c>
      <c r="BE29" s="23" t="str">
        <f>VLOOKUP(BD29,CENY!$B$11:$G$1034,2,FALSE)</f>
        <v>AVANTECH YOU SKLENĚNÁ VÝPLŇ 10 MM K BOKŮM INLAY NL650 MM</v>
      </c>
      <c r="BF29" s="24">
        <f>VLOOKUP(BD29,CENY!$B$11:$G$1034,3,FALSE)</f>
        <v>1</v>
      </c>
      <c r="BG29" s="24"/>
      <c r="BH29" s="25">
        <f>1*(AE22)</f>
        <v>0</v>
      </c>
      <c r="BI29" s="451">
        <f t="shared" si="2"/>
        <v>0</v>
      </c>
      <c r="BJ29" s="107">
        <f>VLOOKUP(BD29,CENY!$B$11:$M$2005,12,FALSE)</f>
        <v>1011.52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64"/>
      <c r="P30" s="465"/>
      <c r="Q30" s="464"/>
      <c r="R30" s="465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OBJ!B261</f>
        <v>9257034</v>
      </c>
      <c r="AV30" s="23" t="str">
        <f>VLOOKUP(AU30,CENY!$B$11:$G$1034,2,FALSE)</f>
        <v>ACTRO YOU 70KG PLNOVÝSUV 450 MM EB21 SILENT SYSTEM SADA</v>
      </c>
      <c r="AW30" s="24">
        <f>VLOOKUP(AU30,CENY!$B$11:$G$1034,3,FALSE)</f>
        <v>1</v>
      </c>
      <c r="AX30" s="499">
        <v>10</v>
      </c>
      <c r="AY30" s="25">
        <f>W22</f>
        <v>0</v>
      </c>
      <c r="AZ30" s="451">
        <f t="shared" si="1"/>
        <v>0</v>
      </c>
      <c r="BA30" s="107">
        <f>VLOOKUP(AU30,CENY!$B$11:$M$2005,12,FALSE)</f>
        <v>691.9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OBJ!B262</f>
        <v>9257036</v>
      </c>
      <c r="AV31" s="23" t="str">
        <f>VLOOKUP(AU31,CENY!$B$11:$G$1034,2,FALSE)</f>
        <v>ACTRO YOU 70KG PLNOVÝSUV 500 MM EB21 SILENT SYSTEM SADA</v>
      </c>
      <c r="AW31" s="24">
        <f>VLOOKUP(AU31,CENY!$B$11:$G$1034,3,FALSE)</f>
        <v>1</v>
      </c>
      <c r="AX31" s="499">
        <v>10</v>
      </c>
      <c r="AY31" s="25">
        <f>Y22</f>
        <v>0</v>
      </c>
      <c r="AZ31" s="451">
        <f t="shared" si="1"/>
        <v>0</v>
      </c>
      <c r="BA31" s="107">
        <f>VLOOKUP(AU31,CENY!$B$11:$M$2005,12,FALSE)</f>
        <v>698.13</v>
      </c>
      <c r="BB31" s="107">
        <f t="shared" si="0"/>
        <v>0</v>
      </c>
      <c r="BD31" s="441">
        <f>OBJ!B233</f>
        <v>9256965</v>
      </c>
      <c r="BE31" s="23" t="str">
        <f>VLOOKUP(BD31,CENY!$B$11:$G$1034,2,FALSE)</f>
        <v>ACTRO YOU 10KG PLNOVÝSUV 350 MM EB21 SILENT SYSTEM LEVÝ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243.93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OBJ!B263</f>
        <v>9257038</v>
      </c>
      <c r="AV32" s="23" t="str">
        <f>VLOOKUP(AU32,CENY!$B$11:$G$1034,2,FALSE)</f>
        <v>ACTRO YOU 70KG PLNOVÝSUV 550 MM EB21 SILENT SYSTEM SADA</v>
      </c>
      <c r="AW32" s="24">
        <f>VLOOKUP(AU32,CENY!$B$11:$G$1034,3,FALSE)</f>
        <v>1</v>
      </c>
      <c r="AX32" s="499">
        <v>10</v>
      </c>
      <c r="AY32" s="25">
        <f>AA22</f>
        <v>0</v>
      </c>
      <c r="AZ32" s="451">
        <f t="shared" si="1"/>
        <v>0</v>
      </c>
      <c r="BA32" s="107">
        <f>VLOOKUP(AU32,CENY!$B$11:$M$2005,12,FALSE)</f>
        <v>731.3</v>
      </c>
      <c r="BB32" s="107">
        <f t="shared" si="0"/>
        <v>0</v>
      </c>
      <c r="BD32" s="441">
        <f>OBJ!B234</f>
        <v>9256966</v>
      </c>
      <c r="BE32" s="23" t="str">
        <f>VLOOKUP(BD32,CENY!$B$11:$G$1034,2,FALSE)</f>
        <v>ACTRO YOU 10KG PLNOVÝSUV 350 MM EB21 SILENT SYSTEM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OBJ!B264</f>
        <v>9257040</v>
      </c>
      <c r="AV33" s="23" t="str">
        <f>VLOOKUP(AU33,CENY!$B$11:$G$1034,2,FALSE)</f>
        <v>ACTRO YOU 70KG PLNOVÝSUV 600 MM EB21 SILENT SYSTEM SADA</v>
      </c>
      <c r="AW33" s="24">
        <f>VLOOKUP(AU33,CENY!$B$11:$G$1034,3,FALSE)</f>
        <v>1</v>
      </c>
      <c r="AX33" s="499">
        <v>10</v>
      </c>
      <c r="AY33" s="25">
        <f>AC22</f>
        <v>0</v>
      </c>
      <c r="AZ33" s="451">
        <f t="shared" si="1"/>
        <v>0</v>
      </c>
      <c r="BA33" s="107">
        <f>VLOOKUP(AU33,CENY!$B$11:$M$2005,12,FALSE)</f>
        <v>798.31</v>
      </c>
      <c r="BB33" s="107">
        <f t="shared" si="0"/>
        <v>0</v>
      </c>
      <c r="BD33" s="441"/>
      <c r="BE33" s="23"/>
      <c r="BF33" s="24"/>
      <c r="BG33" s="24"/>
      <c r="BH33" s="25"/>
      <c r="BI33" s="451" t="str">
        <f t="shared" si="2"/>
        <v/>
      </c>
      <c r="BJ33" s="107"/>
      <c r="BK33" s="107" t="str">
        <f t="shared" si="3"/>
        <v/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OBJ!B265</f>
        <v>9257041</v>
      </c>
      <c r="AV34" s="23" t="str">
        <f>VLOOKUP(AU34,CENY!$B$11:$G$1034,2,FALSE)</f>
        <v>ACTRO YOU 70KG PLNOVÝSUV 650 MM EB21 SILENT SYSTEM SADA</v>
      </c>
      <c r="AW34" s="24">
        <f>VLOOKUP(AU34,CENY!$B$11:$G$1034,3,FALSE)</f>
        <v>1</v>
      </c>
      <c r="AX34" s="499">
        <v>10</v>
      </c>
      <c r="AY34" s="25">
        <f>AE22</f>
        <v>0</v>
      </c>
      <c r="AZ34" s="451">
        <f t="shared" si="1"/>
        <v>0</v>
      </c>
      <c r="BA34" s="107">
        <f>VLOOKUP(AU34,CENY!$B$11:$M$2005,12,FALSE)</f>
        <v>828.55</v>
      </c>
      <c r="BB34" s="107">
        <f t="shared" si="0"/>
        <v>0</v>
      </c>
      <c r="BD34" s="441">
        <f>OBJ!B248</f>
        <v>9256980</v>
      </c>
      <c r="BE34" s="23" t="str">
        <f>VLOOKUP(BD34,CENY!$B$11:$G$1034,2,FALSE)</f>
        <v>ACTRO YOU 40KG PLNOVÝSUV 350 MM EB21 SILENT SYSTEM LEVÝ</v>
      </c>
      <c r="BF34" s="24">
        <f>VLOOKUP(BD34,CENY!$B$11:$G$1034,3,FALSE)</f>
        <v>10</v>
      </c>
      <c r="BG34" s="24"/>
      <c r="BH34" s="25">
        <f>AY23</f>
        <v>0</v>
      </c>
      <c r="BI34" s="451">
        <f t="shared" si="2"/>
        <v>0</v>
      </c>
      <c r="BJ34" s="107">
        <f>VLOOKUP(BD34,CENY!$B$11:$M$2005,12,FALSE)</f>
        <v>243.93</v>
      </c>
      <c r="BK34" s="107">
        <f t="shared" si="3"/>
        <v>0</v>
      </c>
    </row>
    <row r="35" spans="2:63" ht="14.4" customHeight="1">
      <c r="AU35" s="441"/>
      <c r="AV35" s="23"/>
      <c r="AW35" s="24"/>
      <c r="AX35" s="24"/>
      <c r="AY35" s="25"/>
      <c r="AZ35" s="451" t="str">
        <f t="shared" si="1"/>
        <v/>
      </c>
      <c r="BA35" s="107"/>
      <c r="BB35" s="107" t="str">
        <f t="shared" si="0"/>
        <v/>
      </c>
      <c r="BD35" s="441">
        <f>OBJ!B249</f>
        <v>9256981</v>
      </c>
      <c r="BE35" s="23" t="str">
        <f>VLOOKUP(BD35,CENY!$B$11:$G$1034,2,FALSE)</f>
        <v>ACTRO YOU 40KG PLNOVÝSUV 350 MM EB21 SILENT SYSTEM PRAVÝ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243.93</v>
      </c>
      <c r="BK35" s="107">
        <f t="shared" si="3"/>
        <v>0</v>
      </c>
    </row>
    <row r="36" spans="2:63" ht="14.4" customHeight="1">
      <c r="AU36" s="441">
        <f>OBJ!B277</f>
        <v>9257890</v>
      </c>
      <c r="AV36" s="23" t="str">
        <f>VLOOKUP(AU36,CENY!$B$11:$G$1034,2,FALSE)</f>
        <v>PUSH TO OPEN SILENT ACTRO YOU / ACTRO 5D 10 KG</v>
      </c>
      <c r="AW36" s="24">
        <f>VLOOKUP(AU36,CENY!$B$11:$G$1034,3,FALSE)</f>
        <v>1</v>
      </c>
      <c r="AX36" s="24"/>
      <c r="AY36" s="25">
        <f>AN19</f>
        <v>0</v>
      </c>
      <c r="AZ36" s="451">
        <f t="shared" si="1"/>
        <v>0</v>
      </c>
      <c r="BA36" s="107">
        <f>VLOOKUP(AU36,CENY!$B$11:$M$2005,12,FALSE)</f>
        <v>544.37</v>
      </c>
      <c r="BB36" s="107">
        <f t="shared" si="0"/>
        <v>0</v>
      </c>
      <c r="BD36" s="441">
        <f>OBJ!B250</f>
        <v>9256984</v>
      </c>
      <c r="BE36" s="23" t="str">
        <f>VLOOKUP(BD36,CENY!$B$11:$G$1034,2,FALSE)</f>
        <v>ACTRO YOU 40KG PLNOVÝSUV 400 MM EB21 SILENT SYSTEM LEVÝ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247.05</v>
      </c>
      <c r="BK36" s="107">
        <f t="shared" si="3"/>
        <v>0</v>
      </c>
    </row>
    <row r="37" spans="2:63" ht="14.4" customHeight="1">
      <c r="AU37" s="441">
        <f>OBJ!B278</f>
        <v>9257891</v>
      </c>
      <c r="AV37" s="23" t="str">
        <f>VLOOKUP(AU37,CENY!$B$11:$G$1034,2,FALSE)</f>
        <v>PUSH TO OPEN SILENT ACTRO YOU / ACTRO 5D 20 KG</v>
      </c>
      <c r="AW37" s="24">
        <f>VLOOKUP(AU37,CENY!$B$11:$G$1034,3,FALSE)</f>
        <v>1</v>
      </c>
      <c r="AX37" s="24"/>
      <c r="AY37" s="25">
        <f>AN20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>
        <f>OBJ!B251</f>
        <v>9256985</v>
      </c>
      <c r="BE37" s="23" t="str">
        <f>VLOOKUP(BD37,CENY!$B$11:$G$1034,2,FALSE)</f>
        <v>ACTRO YOU 40KG PLNOVÝSUV 400 MM EB21 SILENT SYSTEM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247.05</v>
      </c>
      <c r="BK37" s="107">
        <f t="shared" si="3"/>
        <v>0</v>
      </c>
    </row>
    <row r="38" spans="2:63" ht="14.4" customHeight="1">
      <c r="AU38" s="441">
        <f>OBJ!B279</f>
        <v>9257892</v>
      </c>
      <c r="AV38" s="23" t="str">
        <f>VLOOKUP(AU38,CENY!$B$11:$G$1034,2,FALSE)</f>
        <v>PUSH TO OPEN SILENT ACTRO YOU / ACTRO 5D 40 KG</v>
      </c>
      <c r="AW38" s="24">
        <f>VLOOKUP(AU38,CENY!$B$11:$G$1034,3,FALSE)</f>
        <v>1</v>
      </c>
      <c r="AX38" s="24"/>
      <c r="AY38" s="25">
        <f>AN21</f>
        <v>0</v>
      </c>
      <c r="AZ38" s="451">
        <f t="shared" si="1"/>
        <v>0</v>
      </c>
      <c r="BA38" s="107">
        <f>VLOOKUP(AU38,CENY!$B$11:$M$2005,12,FALSE)</f>
        <v>544.37</v>
      </c>
      <c r="BB38" s="107">
        <f t="shared" si="0"/>
        <v>0</v>
      </c>
      <c r="BD38" s="441">
        <f>OBJ!B252</f>
        <v>9256988</v>
      </c>
      <c r="BE38" s="23" t="str">
        <f>VLOOKUP(BD38,CENY!$B$11:$G$1034,2,FALSE)</f>
        <v>ACTRO YOU 40KG PLNOVÝSUV 450 MM EB21 SILENT SYSTEM LEVÝ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250.14</v>
      </c>
      <c r="BK38" s="107">
        <f t="shared" si="3"/>
        <v>0</v>
      </c>
    </row>
    <row r="39" spans="2:63" ht="14.4" customHeight="1">
      <c r="AU39" s="441">
        <f>OBJ!B280</f>
        <v>9257893</v>
      </c>
      <c r="AV39" s="23" t="str">
        <f>VLOOKUP(AU39,CENY!$B$11:$G$1034,2,FALSE)</f>
        <v>PUSH TO OPEN SILENT ACTRO YOU / ACTRO 5D 70 KG</v>
      </c>
      <c r="AW39" s="24">
        <f>VLOOKUP(AU39,CENY!$B$11:$G$1034,3,FALSE)</f>
        <v>1</v>
      </c>
      <c r="AX39" s="24"/>
      <c r="AY39" s="25">
        <f>AN22</f>
        <v>0</v>
      </c>
      <c r="AZ39" s="451">
        <f t="shared" si="1"/>
        <v>0</v>
      </c>
      <c r="BA39" s="107">
        <f>VLOOKUP(AU39,CENY!$B$11:$M$2005,12,FALSE)</f>
        <v>544.37</v>
      </c>
      <c r="BB39" s="107">
        <f t="shared" si="0"/>
        <v>0</v>
      </c>
      <c r="BD39" s="441">
        <f>OBJ!B253</f>
        <v>9256989</v>
      </c>
      <c r="BE39" s="23" t="str">
        <f>VLOOKUP(BD39,CENY!$B$11:$G$1034,2,FALSE)</f>
        <v>ACTRO YOU 40KG PLNOVÝSUV 450 MM EB21 SILENT SYSTEM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250.14</v>
      </c>
      <c r="BK39" s="107">
        <f t="shared" si="3"/>
        <v>0</v>
      </c>
    </row>
    <row r="40" spans="2:63" ht="14.4" customHeight="1">
      <c r="AU40" s="441">
        <f>OBJ!B281</f>
        <v>9236718</v>
      </c>
      <c r="AV40" s="23" t="str">
        <f>VLOOKUP(AU40,CENY!$B$11:$G$1034,2,FALSE)</f>
        <v>PUSH TO OPEN SYNCHRONIZAČNÍ TYČ 2000 MM</v>
      </c>
      <c r="AW40" s="24">
        <f>VLOOKUP(AU40,CENY!$B$11:$G$1034,3,FALSE)</f>
        <v>100</v>
      </c>
      <c r="AX40" s="24"/>
      <c r="AY40" s="25">
        <f>IF(SUM(AN19:AO22)+SUM(AN27:AO29)+SUM(S30:AD30)=0,0,AY83)</f>
        <v>0</v>
      </c>
      <c r="AZ40" s="451">
        <f t="shared" si="1"/>
        <v>0</v>
      </c>
      <c r="BA40" s="107">
        <f>VLOOKUP(AU40,CENY!$B$11:$M$2005,12,FALSE)</f>
        <v>144.30000000000001</v>
      </c>
      <c r="BB40" s="107">
        <f t="shared" si="0"/>
        <v>0</v>
      </c>
      <c r="BD40" s="441">
        <f>OBJ!B254</f>
        <v>9256992</v>
      </c>
      <c r="BE40" s="23" t="str">
        <f>VLOOKUP(BD40,CENY!$B$11:$G$1034,2,FALSE)</f>
        <v>ACTRO YOU 40KG PLNOVÝSUV 500 MM EB21 SILENT SYSTEM LEVÝ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253.25</v>
      </c>
      <c r="BK40" s="107">
        <f t="shared" si="3"/>
        <v>0</v>
      </c>
    </row>
    <row r="41" spans="2:63" ht="14.4" customHeight="1">
      <c r="AU41" s="441"/>
      <c r="AV41" s="23"/>
      <c r="AW41" s="24"/>
      <c r="AX41" s="24"/>
      <c r="AY41" s="25"/>
      <c r="AZ41" s="451" t="str">
        <f t="shared" si="1"/>
        <v/>
      </c>
      <c r="BA41" s="107"/>
      <c r="BB41" s="107" t="str">
        <f t="shared" si="0"/>
        <v/>
      </c>
      <c r="BD41" s="441">
        <f>OBJ!B255</f>
        <v>9256993</v>
      </c>
      <c r="BE41" s="23" t="str">
        <f>VLOOKUP(BD41,CENY!$B$11:$G$1034,2,FALSE)</f>
        <v>ACTRO YOU 40KG PLNOVÝSUV 500 MM EB21 SILENT SYSTEM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253.25</v>
      </c>
      <c r="BK41" s="107">
        <f t="shared" si="3"/>
        <v>0</v>
      </c>
    </row>
    <row r="42" spans="2:63" ht="14.4" customHeight="1">
      <c r="AU42" s="441">
        <f>OBJ!B289</f>
        <v>9256956</v>
      </c>
      <c r="AV42" s="23" t="str">
        <f>VLOOKUP(AU42,CENY!$B$11:$G$1034,2,FALSE)</f>
        <v>QUADRO YOU 10 KG PLNOVÝSUV 350 MM EB21 SILENT SYSTEM SADA</v>
      </c>
      <c r="AW42" s="24">
        <f>VLOOKUP(AU42,CENY!$B$11:$G$1034,3,FALSE)</f>
        <v>1</v>
      </c>
      <c r="AX42" s="499">
        <v>4</v>
      </c>
      <c r="AY42" s="25">
        <f>S27</f>
        <v>0</v>
      </c>
      <c r="AZ42" s="451">
        <f t="shared" si="1"/>
        <v>0</v>
      </c>
      <c r="BA42" s="107">
        <f>VLOOKUP(AU42,CENY!$B$11:$M$2005,12,FALSE)</f>
        <v>421.61</v>
      </c>
      <c r="BB42" s="107">
        <f t="shared" si="0"/>
        <v>0</v>
      </c>
      <c r="BD42" s="441">
        <f>OBJ!B256</f>
        <v>9256996</v>
      </c>
      <c r="BE42" s="23" t="str">
        <f>VLOOKUP(BD42,CENY!$B$11:$G$1034,2,FALSE)</f>
        <v>ACTRO YOU 40KG PLNOVÝSUV 550 MM EB21 SILENT SYSTEM LEVÝ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269.83999999999997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OBJ!B257</f>
        <v>9256997</v>
      </c>
      <c r="BE43" s="23" t="str">
        <f>VLOOKUP(BD43,CENY!$B$11:$G$1034,2,FALSE)</f>
        <v>ACTRO YOU 40KG PLNOVÝSUV 550 MM EB21 SILENT SYSTEM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269.83999999999997</v>
      </c>
      <c r="BK43" s="107">
        <f t="shared" si="3"/>
        <v>0</v>
      </c>
    </row>
    <row r="44" spans="2:63" ht="14.4" customHeight="1">
      <c r="AU44" s="441">
        <f>OBJ!B299</f>
        <v>9256886</v>
      </c>
      <c r="AV44" s="23" t="str">
        <f>VLOOKUP(AU44,CENY!$B$11:$G$1034,2,FALSE)</f>
        <v>QUADRO YOU PLNOVÝSUV 350 MM EB21 SILENT SYSTEM SADA</v>
      </c>
      <c r="AW44" s="24">
        <f>VLOOKUP(AU44,CENY!$B$11:$G$1034,3,FALSE)</f>
        <v>1</v>
      </c>
      <c r="AX44" s="499">
        <v>8</v>
      </c>
      <c r="AY44" s="25">
        <f>S28</f>
        <v>0</v>
      </c>
      <c r="AZ44" s="451">
        <f t="shared" si="1"/>
        <v>0</v>
      </c>
      <c r="BA44" s="107">
        <f>VLOOKUP(AU44,CENY!$B$11:$M$2005,12,FALSE)</f>
        <v>376.77</v>
      </c>
      <c r="BB44" s="107">
        <f t="shared" si="0"/>
        <v>0</v>
      </c>
      <c r="BD44" s="441">
        <f>OBJ!B258</f>
        <v>9268679</v>
      </c>
      <c r="BE44" s="23" t="str">
        <f>VLOOKUP(BD44,CENY!$B$11:$G$1034,2,FALSE)</f>
        <v>ACTRO YOU 40KG PLNOVÝSUV 600 MM EB21 SILENT SYSTÉM LEVÝ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273.51</v>
      </c>
      <c r="BK44" s="107">
        <f t="shared" si="3"/>
        <v>0</v>
      </c>
    </row>
    <row r="45" spans="2:63" ht="14.4" customHeight="1">
      <c r="AU45" s="441">
        <f>OBJ!B300</f>
        <v>9256888</v>
      </c>
      <c r="AV45" s="23" t="str">
        <f>VLOOKUP(AU45,CENY!$B$11:$G$1034,2,FALSE)</f>
        <v>QUADRO YOU PLNOVÝSUV 400 MM EB21 SILENT SYSTEM SADA</v>
      </c>
      <c r="AW45" s="24">
        <f>VLOOKUP(AU45,CENY!$B$11:$G$1034,3,FALSE)</f>
        <v>1</v>
      </c>
      <c r="AX45" s="499">
        <v>8</v>
      </c>
      <c r="AY45" s="25">
        <f>U28</f>
        <v>0</v>
      </c>
      <c r="AZ45" s="451">
        <f t="shared" si="1"/>
        <v>0</v>
      </c>
      <c r="BA45" s="107">
        <f>VLOOKUP(AU45,CENY!$B$11:$M$2005,12,FALSE)</f>
        <v>384.24</v>
      </c>
      <c r="BB45" s="107">
        <f t="shared" si="0"/>
        <v>0</v>
      </c>
      <c r="BD45" s="441">
        <f>OBJ!B259</f>
        <v>9268680</v>
      </c>
      <c r="BE45" s="23" t="str">
        <f>VLOOKUP(BD45,CENY!$B$11:$G$1034,2,FALSE)</f>
        <v>ACTRO YOU 40KG PLNOVÝSUV 600 MM EB21 SILENT SYSTÉM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273.51</v>
      </c>
      <c r="BK45" s="107">
        <f t="shared" si="3"/>
        <v>0</v>
      </c>
    </row>
    <row r="46" spans="2:63" ht="14.4" customHeight="1">
      <c r="AU46" s="441">
        <f>OBJ!B301</f>
        <v>9256890</v>
      </c>
      <c r="AV46" s="23" t="str">
        <f>VLOOKUP(AU46,CENY!$B$11:$G$1034,2,FALSE)</f>
        <v>QUADRO YOU PLNOVÝSUV 450 MM EB21 SILENT SYSTEM SADA</v>
      </c>
      <c r="AW46" s="24">
        <f>VLOOKUP(AU46,CENY!$B$11:$G$1034,3,FALSE)</f>
        <v>1</v>
      </c>
      <c r="AX46" s="499">
        <v>8</v>
      </c>
      <c r="AY46" s="25">
        <f>W28</f>
        <v>0</v>
      </c>
      <c r="AZ46" s="451">
        <f t="shared" si="1"/>
        <v>0</v>
      </c>
      <c r="BA46" s="107">
        <f>VLOOKUP(AU46,CENY!$B$11:$M$2005,12,FALSE)</f>
        <v>391.72</v>
      </c>
      <c r="BB46" s="107">
        <f t="shared" si="0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2:63" ht="14.4" customHeight="1">
      <c r="AU47" s="441">
        <f>OBJ!B302</f>
        <v>9256892</v>
      </c>
      <c r="AV47" s="23" t="str">
        <f>VLOOKUP(AU47,CENY!$B$11:$G$1034,2,FALSE)</f>
        <v>QUADRO YOU PLNOVÝSUV 500 MM EB21 SILENT SYSTEM SADA</v>
      </c>
      <c r="AW47" s="24">
        <f>VLOOKUP(AU47,CENY!$B$11:$G$1034,3,FALSE)</f>
        <v>1</v>
      </c>
      <c r="AX47" s="499">
        <v>8</v>
      </c>
      <c r="AY47" s="25">
        <f>Y28</f>
        <v>0</v>
      </c>
      <c r="AZ47" s="451">
        <f t="shared" si="1"/>
        <v>0</v>
      </c>
      <c r="BA47" s="107">
        <f>VLOOKUP(AU47,CENY!$B$11:$M$2005,12,FALSE)</f>
        <v>399.19</v>
      </c>
      <c r="BB47" s="107">
        <f t="shared" si="0"/>
        <v>0</v>
      </c>
      <c r="BD47" s="441">
        <f>OBJ!B266</f>
        <v>9257013</v>
      </c>
      <c r="BE47" s="23" t="str">
        <f>VLOOKUP(BD47,CENY!$B$11:$G$1034,2,FALSE)</f>
        <v>ACTRO YOU 70KG PLNOVÝSUV 450 MM EB21 SILENT SYSTEM LEVÝ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309.07</v>
      </c>
      <c r="BK47" s="107">
        <f t="shared" si="3"/>
        <v>0</v>
      </c>
    </row>
    <row r="48" spans="2:63" ht="14.4" customHeight="1">
      <c r="AU48" s="441">
        <f>OBJ!B303</f>
        <v>9256894</v>
      </c>
      <c r="AV48" s="23" t="str">
        <f>VLOOKUP(AU48,CENY!$B$11:$G$1034,2,FALSE)</f>
        <v>QUADRO YOU PLNOVÝSUV 550 MM EB21 SILENT SYSTEM SADA</v>
      </c>
      <c r="AW48" s="24">
        <f>VLOOKUP(AU48,CENY!$B$11:$G$1034,3,FALSE)</f>
        <v>1</v>
      </c>
      <c r="AX48" s="499">
        <v>8</v>
      </c>
      <c r="AY48" s="25">
        <f>AA28</f>
        <v>0</v>
      </c>
      <c r="AZ48" s="451">
        <f t="shared" si="1"/>
        <v>0</v>
      </c>
      <c r="BA48" s="107">
        <f>VLOOKUP(AU48,CENY!$B$11:$M$2005,12,FALSE)</f>
        <v>412.64</v>
      </c>
      <c r="BB48" s="107">
        <f t="shared" si="0"/>
        <v>0</v>
      </c>
      <c r="BD48" s="441">
        <f>OBJ!B267</f>
        <v>9257014</v>
      </c>
      <c r="BE48" s="23" t="str">
        <f>VLOOKUP(BD48,CENY!$B$11:$G$1034,2,FALSE)</f>
        <v>ACTRO YOU 70KG PLNOVÝSUV 450 MM EB21 SILENT SYSTEM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309.07</v>
      </c>
      <c r="BK48" s="107">
        <f t="shared" si="3"/>
        <v>0</v>
      </c>
    </row>
    <row r="49" spans="47:63" ht="14.4" customHeight="1">
      <c r="AU49" s="441">
        <f>OBJ!B304</f>
        <v>9256896</v>
      </c>
      <c r="AV49" s="23" t="str">
        <f>VLOOKUP(AU49,CENY!$B$11:$G$1034,2,FALSE)</f>
        <v>QUADRO YOU PLNOVÝSUV 600 MM EB21 SILENT SYSTEM SADA</v>
      </c>
      <c r="AW49" s="24">
        <f>VLOOKUP(AU49,CENY!$B$11:$G$1034,3,FALSE)</f>
        <v>1</v>
      </c>
      <c r="AX49" s="499">
        <v>8</v>
      </c>
      <c r="AY49" s="25">
        <f>AC28</f>
        <v>0</v>
      </c>
      <c r="AZ49" s="451">
        <f t="shared" si="1"/>
        <v>0</v>
      </c>
      <c r="BA49" s="107">
        <f>VLOOKUP(AU49,CENY!$B$11:$M$2005,12,FALSE)</f>
        <v>420.11</v>
      </c>
      <c r="BB49" s="107">
        <f t="shared" si="0"/>
        <v>0</v>
      </c>
      <c r="BD49" s="441">
        <f>OBJ!B268</f>
        <v>9257017</v>
      </c>
      <c r="BE49" s="23" t="str">
        <f>VLOOKUP(BD49,CENY!$B$11:$G$1034,2,FALSE)</f>
        <v>ACTRO YOU 70KG PLNOVÝSUV 500 MM EB21 SILENT SYSTEM LEVÝ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312.18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OBJ!B269</f>
        <v>9257018</v>
      </c>
      <c r="BE50" s="23" t="str">
        <f>VLOOKUP(BD50,CENY!$B$11:$G$1034,2,FALSE)</f>
        <v>ACTRO YOU 70KG PLNOVÝSUV 500 MM EB21 SILENT SYSTEM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312.18</v>
      </c>
      <c r="BK50" s="107">
        <f t="shared" si="3"/>
        <v>0</v>
      </c>
    </row>
    <row r="51" spans="47:63" ht="14.4" customHeight="1">
      <c r="AU51" s="441">
        <f>OBJ!B322</f>
        <v>9257894</v>
      </c>
      <c r="AV51" s="23" t="str">
        <f>VLOOKUP(AU51,CENY!$B$11:$G$1034,2,FALSE)</f>
        <v>PUSH TO OPEN SILENT QUADRO YOU 10 KG</v>
      </c>
      <c r="AW51" s="24">
        <f>VLOOKUP(AU51,CENY!$B$11:$G$1034,3,FALSE)</f>
        <v>1</v>
      </c>
      <c r="AX51" s="24"/>
      <c r="AY51" s="25">
        <f>AN27</f>
        <v>0</v>
      </c>
      <c r="AZ51" s="451">
        <f t="shared" si="1"/>
        <v>0</v>
      </c>
      <c r="BA51" s="107">
        <f>VLOOKUP(AU51,CENY!$B$11:$M$2005,12,FALSE)</f>
        <v>544.37</v>
      </c>
      <c r="BB51" s="107">
        <f t="shared" si="0"/>
        <v>0</v>
      </c>
      <c r="BD51" s="441">
        <f>OBJ!B270</f>
        <v>9257021</v>
      </c>
      <c r="BE51" s="23" t="str">
        <f>VLOOKUP(BD51,CENY!$B$11:$G$1034,2,FALSE)</f>
        <v>ACTRO YOU 70KG PLNOVÝSUV 550 MM EB21 SILENT SYSTEM LEVÝ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328.77</v>
      </c>
      <c r="BK51" s="107">
        <f t="shared" si="3"/>
        <v>0</v>
      </c>
    </row>
    <row r="52" spans="47:63" ht="14.4" customHeight="1">
      <c r="AU52" s="441">
        <f>OBJ!B323</f>
        <v>9257895</v>
      </c>
      <c r="AV52" s="23" t="str">
        <f>VLOOKUP(AU52,CENY!$B$11:$G$1034,2,FALSE)</f>
        <v>PUSH TO OPEN SILENT QUADRO YOU 20 KG</v>
      </c>
      <c r="AW52" s="24">
        <f>VLOOKUP(AU52,CENY!$B$11:$G$1034,3,FALSE)</f>
        <v>1</v>
      </c>
      <c r="AX52" s="24"/>
      <c r="AY52" s="25">
        <f>AN28</f>
        <v>0</v>
      </c>
      <c r="AZ52" s="451">
        <f t="shared" si="1"/>
        <v>0</v>
      </c>
      <c r="BA52" s="107">
        <f>VLOOKUP(AU52,CENY!$B$11:$M$2005,12,FALSE)</f>
        <v>544.37</v>
      </c>
      <c r="BB52" s="107">
        <f t="shared" si="0"/>
        <v>0</v>
      </c>
      <c r="BD52" s="441">
        <f>OBJ!B271</f>
        <v>9257022</v>
      </c>
      <c r="BE52" s="23" t="str">
        <f>VLOOKUP(BD52,CENY!$B$11:$G$1034,2,FALSE)</f>
        <v>ACTRO YOU 70KG PLNOVÝSUV 550 MM EB21 SILENT SYSTEM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328.77</v>
      </c>
      <c r="BK52" s="107">
        <f t="shared" si="3"/>
        <v>0</v>
      </c>
    </row>
    <row r="53" spans="47:63" ht="14.4" customHeight="1">
      <c r="AU53" s="441">
        <f>OBJ!B324</f>
        <v>9257896</v>
      </c>
      <c r="AV53" s="23" t="str">
        <f>VLOOKUP(AU53,CENY!$B$11:$G$1034,2,FALSE)</f>
        <v>PUSH TO OPEN SILENT QUADRO YOU 30 KG</v>
      </c>
      <c r="AW53" s="24">
        <f>VLOOKUP(AU53,CENY!$B$11:$G$1034,3,FALSE)</f>
        <v>1</v>
      </c>
      <c r="AX53" s="24"/>
      <c r="AY53" s="25">
        <f>AN29</f>
        <v>0</v>
      </c>
      <c r="AZ53" s="451">
        <f t="shared" si="1"/>
        <v>0</v>
      </c>
      <c r="BA53" s="107">
        <f>VLOOKUP(AU53,CENY!$B$11:$M$2005,12,FALSE)</f>
        <v>544.37</v>
      </c>
      <c r="BB53" s="107">
        <f t="shared" si="0"/>
        <v>0</v>
      </c>
      <c r="BD53" s="441">
        <f>OBJ!B272</f>
        <v>9257025</v>
      </c>
      <c r="BE53" s="23" t="str">
        <f>VLOOKUP(BD53,CENY!$B$11:$G$1034,2,FALSE)</f>
        <v>ACTRO YOU 70KG PLNOVÝSUV 600 MM EB21 SILENT SYSTEM LEVÝ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362.28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OBJ!B273</f>
        <v>9257026</v>
      </c>
      <c r="BE54" s="23" t="str">
        <f>VLOOKUP(BD54,CENY!$B$11:$G$1034,2,FALSE)</f>
        <v>ACTRO YOU 70KG PLNOVÝSUV 600 MM EB21 SILENT SYSTEM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362.28</v>
      </c>
      <c r="BK54" s="107">
        <f t="shared" si="3"/>
        <v>0</v>
      </c>
    </row>
    <row r="55" spans="47:63" ht="14.4" customHeight="1">
      <c r="AU55" s="441">
        <f>OBJ!B328</f>
        <v>9256931</v>
      </c>
      <c r="AV55" s="23" t="str">
        <f>VLOOKUP(AU55,CENY!$B$11:$G$1034,2,FALSE)</f>
        <v>QUADRO YOU PLNOVÝSUV 350 MM EB21 PUSH TO OPEN SADA</v>
      </c>
      <c r="AW55" s="24">
        <f>VLOOKUP(AU55,CENY!$B$11:$G$1034,3,FALSE)</f>
        <v>1</v>
      </c>
      <c r="AX55" s="499">
        <v>8</v>
      </c>
      <c r="AY55" s="25">
        <f>S30</f>
        <v>0</v>
      </c>
      <c r="AZ55" s="451">
        <f t="shared" si="1"/>
        <v>0</v>
      </c>
      <c r="BA55" s="107">
        <f>VLOOKUP(AU55,CENY!$B$11:$M$2005,12,FALSE)</f>
        <v>421.61</v>
      </c>
      <c r="BB55" s="107">
        <f t="shared" si="0"/>
        <v>0</v>
      </c>
      <c r="BD55" s="441">
        <f>OBJ!B274</f>
        <v>9257027</v>
      </c>
      <c r="BE55" s="23" t="str">
        <f>VLOOKUP(BD55,CENY!$B$11:$G$1034,2,FALSE)</f>
        <v>ACTRO YOU 70KG PLNOVÝSUV 650 MM EB21 SILENT SYSTEM LEVÝ</v>
      </c>
      <c r="BF55" s="24">
        <f>VLOOKUP(BD55,CENY!$B$11:$G$1034,3,FALSE)</f>
        <v>5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377.39</v>
      </c>
      <c r="BK55" s="107">
        <f t="shared" si="3"/>
        <v>0</v>
      </c>
    </row>
    <row r="56" spans="47:63" ht="14.4" customHeight="1">
      <c r="AU56" s="441">
        <f>OBJ!B329</f>
        <v>9256933</v>
      </c>
      <c r="AV56" s="23" t="str">
        <f>VLOOKUP(AU56,CENY!$B$11:$G$1034,2,FALSE)</f>
        <v>QUADRO YOU PLNOVÝSUV 400 MM EB21 PUSH TO OPEN SADA</v>
      </c>
      <c r="AW56" s="24">
        <f>VLOOKUP(AU56,CENY!$B$11:$G$1034,3,FALSE)</f>
        <v>1</v>
      </c>
      <c r="AX56" s="499">
        <v>8</v>
      </c>
      <c r="AY56" s="25">
        <f>U30</f>
        <v>0</v>
      </c>
      <c r="AZ56" s="451">
        <f t="shared" si="1"/>
        <v>0</v>
      </c>
      <c r="BA56" s="107">
        <f>VLOOKUP(AU56,CENY!$B$11:$M$2005,12,FALSE)</f>
        <v>429.08</v>
      </c>
      <c r="BB56" s="107">
        <f t="shared" si="0"/>
        <v>0</v>
      </c>
      <c r="BD56" s="441">
        <f>OBJ!B275</f>
        <v>9257028</v>
      </c>
      <c r="BE56" s="23" t="str">
        <f>VLOOKUP(BD56,CENY!$B$11:$G$1034,2,FALSE)</f>
        <v>ACTRO YOU 70KG PLNOVÝSUV 650 MM EB21 SILENT SYSTEM PRAVÝ</v>
      </c>
      <c r="BF56" s="24">
        <f>VLOOKUP(BD56,CENY!$B$11:$G$1034,3,FALSE)</f>
        <v>5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377.39</v>
      </c>
      <c r="BK56" s="107">
        <f t="shared" si="3"/>
        <v>0</v>
      </c>
    </row>
    <row r="57" spans="47:63" ht="14.4" customHeight="1">
      <c r="AU57" s="441">
        <f>OBJ!B330</f>
        <v>9256935</v>
      </c>
      <c r="AV57" s="23" t="str">
        <f>VLOOKUP(AU57,CENY!$B$11:$G$1034,2,FALSE)</f>
        <v>QUADRO YOU PLNOVÝSUV 450 MM EB21 PUSH TO OPEN SADA</v>
      </c>
      <c r="AW57" s="24">
        <f>VLOOKUP(AU57,CENY!$B$11:$G$1034,3,FALSE)</f>
        <v>1</v>
      </c>
      <c r="AX57" s="499">
        <v>8</v>
      </c>
      <c r="AY57" s="25">
        <f>W30</f>
        <v>0</v>
      </c>
      <c r="AZ57" s="451">
        <f t="shared" si="1"/>
        <v>0</v>
      </c>
      <c r="BA57" s="107">
        <f>VLOOKUP(AU57,CENY!$B$11:$M$2005,12,FALSE)</f>
        <v>436.55</v>
      </c>
      <c r="BB57" s="107">
        <f t="shared" si="0"/>
        <v>0</v>
      </c>
      <c r="BD57" s="441"/>
      <c r="BE57" s="23"/>
      <c r="BF57" s="24"/>
      <c r="BG57" s="24"/>
      <c r="BH57" s="25"/>
      <c r="BI57" s="451" t="str">
        <f t="shared" si="2"/>
        <v/>
      </c>
      <c r="BJ57" s="107"/>
      <c r="BK57" s="107" t="str">
        <f t="shared" si="3"/>
        <v/>
      </c>
    </row>
    <row r="58" spans="47:63" ht="14.4" customHeight="1">
      <c r="AU58" s="441">
        <f>OBJ!B331</f>
        <v>9256937</v>
      </c>
      <c r="AV58" s="23" t="str">
        <f>VLOOKUP(AU58,CENY!$B$11:$G$1034,2,FALSE)</f>
        <v>QUADRO YOU PLNOVÝSUV 500 MM EB21 PUSH TO OPEN SADA</v>
      </c>
      <c r="AW58" s="24">
        <f>VLOOKUP(AU58,CENY!$B$11:$G$1034,3,FALSE)</f>
        <v>1</v>
      </c>
      <c r="AX58" s="499">
        <v>8</v>
      </c>
      <c r="AY58" s="25">
        <f>Y30</f>
        <v>0</v>
      </c>
      <c r="AZ58" s="451">
        <f t="shared" si="1"/>
        <v>0</v>
      </c>
      <c r="BA58" s="107">
        <f>VLOOKUP(AU58,CENY!$B$11:$M$2005,12,FALSE)</f>
        <v>444.02</v>
      </c>
      <c r="BB58" s="107">
        <f t="shared" si="0"/>
        <v>0</v>
      </c>
      <c r="BD58" s="441">
        <f>OBJ!B277</f>
        <v>9257890</v>
      </c>
      <c r="BE58" s="23" t="str">
        <f>VLOOKUP(BD58,CENY!$B$11:$G$1034,2,FALSE)</f>
        <v>PUSH TO OPEN SILENT ACTRO YOU / ACTRO 5D 10 KG</v>
      </c>
      <c r="BF58" s="24">
        <f>VLOOKUP(BD58,CENY!$B$11:$G$1034,3,FALSE)</f>
        <v>1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544.37</v>
      </c>
      <c r="BK58" s="107">
        <f t="shared" si="3"/>
        <v>0</v>
      </c>
    </row>
    <row r="59" spans="47:63" ht="14.4" customHeight="1">
      <c r="AU59" s="441">
        <f>OBJ!B332</f>
        <v>9256939</v>
      </c>
      <c r="AV59" s="23" t="str">
        <f>VLOOKUP(AU59,CENY!$B$11:$G$1034,2,FALSE)</f>
        <v>QUADRO YOU PLNOVÝSUV 550 MM EB21 PUSH TO OPEN SADA</v>
      </c>
      <c r="AW59" s="24">
        <f>VLOOKUP(AU59,CENY!$B$11:$G$1034,3,FALSE)</f>
        <v>1</v>
      </c>
      <c r="AX59" s="499">
        <v>8</v>
      </c>
      <c r="AY59" s="25">
        <f>AA30</f>
        <v>0</v>
      </c>
      <c r="AZ59" s="451">
        <f t="shared" si="1"/>
        <v>0</v>
      </c>
      <c r="BA59" s="107">
        <f>VLOOKUP(AU59,CENY!$B$11:$M$2005,12,FALSE)</f>
        <v>457.48</v>
      </c>
      <c r="BB59" s="107">
        <f t="shared" si="0"/>
        <v>0</v>
      </c>
      <c r="BD59" s="441">
        <f>OBJ!B278</f>
        <v>9257891</v>
      </c>
      <c r="BE59" s="23" t="str">
        <f>VLOOKUP(BD59,CENY!$B$11:$G$1034,2,FALSE)</f>
        <v>PUSH TO OPEN SILENT ACTRO YOU / ACTRO 5D 20 KG</v>
      </c>
      <c r="BF59" s="24">
        <f>VLOOKUP(BD59,CENY!$B$11:$G$1034,3,FALSE)</f>
        <v>1</v>
      </c>
      <c r="BG59" s="24"/>
      <c r="BH59" s="25">
        <f>AY37</f>
        <v>0</v>
      </c>
      <c r="BI59" s="451">
        <f t="shared" si="2"/>
        <v>0</v>
      </c>
      <c r="BJ59" s="107">
        <f>VLOOKUP(BD59,CENY!$B$11:$M$2005,12,FALSE)</f>
        <v>544.37</v>
      </c>
      <c r="BK59" s="107">
        <f t="shared" si="3"/>
        <v>0</v>
      </c>
    </row>
    <row r="60" spans="47:63" ht="14.4" customHeight="1">
      <c r="AU60" s="441">
        <f>OBJ!B333</f>
        <v>9256941</v>
      </c>
      <c r="AV60" s="23" t="str">
        <f>VLOOKUP(AU60,CENY!$B$11:$G$1034,2,FALSE)</f>
        <v>QUADRO YOU PLNOVÝSUV 600 MM EB21 PUSH TO OPEN SADA</v>
      </c>
      <c r="AW60" s="24">
        <f>VLOOKUP(AU60,CENY!$B$11:$G$1034,3,FALSE)</f>
        <v>1</v>
      </c>
      <c r="AX60" s="499">
        <v>8</v>
      </c>
      <c r="AY60" s="25">
        <f>AC30</f>
        <v>0</v>
      </c>
      <c r="AZ60" s="451">
        <f t="shared" si="1"/>
        <v>0</v>
      </c>
      <c r="BA60" s="107">
        <f>VLOOKUP(AU60,CENY!$B$11:$M$2005,12,FALSE)</f>
        <v>464.95</v>
      </c>
      <c r="BB60" s="107">
        <f t="shared" si="0"/>
        <v>0</v>
      </c>
      <c r="BD60" s="441">
        <f>OBJ!B279</f>
        <v>9257892</v>
      </c>
      <c r="BE60" s="23" t="str">
        <f>VLOOKUP(BD60,CENY!$B$11:$G$1034,2,FALSE)</f>
        <v>PUSH TO OPEN SILENT ACTRO YOU / ACTRO 5D 40 KG</v>
      </c>
      <c r="BF60" s="24">
        <f>VLOOKUP(BD60,CENY!$B$11:$G$1034,3,FALSE)</f>
        <v>1</v>
      </c>
      <c r="BG60" s="24"/>
      <c r="BH60" s="25">
        <f>AY38</f>
        <v>0</v>
      </c>
      <c r="BI60" s="451">
        <f t="shared" si="2"/>
        <v>0</v>
      </c>
      <c r="BJ60" s="107">
        <f>VLOOKUP(BD60,CENY!$B$11:$M$2005,12,FALSE)</f>
        <v>544.37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0"/>
        <v/>
      </c>
      <c r="BD61" s="441">
        <f>OBJ!B280</f>
        <v>9257893</v>
      </c>
      <c r="BE61" s="23" t="str">
        <f>VLOOKUP(BD61,CENY!$B$11:$G$1034,2,FALSE)</f>
        <v>PUSH TO OPEN SILENT ACTRO YOU / ACTRO 5D 70 KG</v>
      </c>
      <c r="BF61" s="24">
        <f>VLOOKUP(BD61,CENY!$B$11:$G$1034,3,FALSE)</f>
        <v>1</v>
      </c>
      <c r="BG61" s="24"/>
      <c r="BH61" s="25">
        <f>AY39</f>
        <v>0</v>
      </c>
      <c r="BI61" s="451">
        <f t="shared" si="2"/>
        <v>0</v>
      </c>
      <c r="BJ61" s="107">
        <f>VLOOKUP(BD61,CENY!$B$11:$M$2005,12,FALSE)</f>
        <v>544.37</v>
      </c>
      <c r="BK61" s="107">
        <f t="shared" si="3"/>
        <v>0</v>
      </c>
    </row>
    <row r="62" spans="47:63" ht="14.4" customHeight="1">
      <c r="AU62" s="441">
        <f>OBJ!B351</f>
        <v>9219966</v>
      </c>
      <c r="AV62" s="23" t="str">
        <f>VLOOKUP(AU62,CENY!$B$11:$G$1034,2,FALSE)</f>
        <v>PUSH TO OPEN SYNCHRO ADAPTÉR TYP A</v>
      </c>
      <c r="AW62" s="24">
        <f>VLOOKUP(AU62,CENY!$B$11:$G$1034,3,FALSE)</f>
        <v>200</v>
      </c>
      <c r="AX62" s="24"/>
      <c r="AY62" s="25">
        <f>2*SUM(Q30:AD30)</f>
        <v>0</v>
      </c>
      <c r="AZ62" s="451">
        <f t="shared" si="1"/>
        <v>0</v>
      </c>
      <c r="BA62" s="107">
        <f>VLOOKUP(AU62,CENY!$B$11:$M$2005,12,FALSE)</f>
        <v>13.07</v>
      </c>
      <c r="BB62" s="107">
        <f t="shared" si="0"/>
        <v>0</v>
      </c>
      <c r="BD62" s="441">
        <f>OBJ!B281</f>
        <v>9236718</v>
      </c>
      <c r="BE62" s="23" t="str">
        <f>VLOOKUP(BD62,CENY!$B$11:$G$1034,2,FALSE)</f>
        <v>PUSH TO OPEN SYNCHRONIZAČNÍ TYČ 2000 MM</v>
      </c>
      <c r="BF62" s="24">
        <f>VLOOKUP(BD62,CENY!$B$11:$G$1034,3,FALSE)</f>
        <v>100</v>
      </c>
      <c r="BG62" s="24"/>
      <c r="BH62" s="25">
        <f>AY40</f>
        <v>0</v>
      </c>
      <c r="BI62" s="451">
        <f t="shared" si="2"/>
        <v>0</v>
      </c>
      <c r="BJ62" s="107">
        <f>VLOOKUP(BD62,CENY!$B$11:$M$2005,12,FALSE)</f>
        <v>144.30000000000001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0"/>
        <v/>
      </c>
      <c r="BD63" s="441"/>
      <c r="BE63" s="23"/>
      <c r="BF63" s="24"/>
      <c r="BG63" s="24"/>
      <c r="BH63" s="25"/>
      <c r="BI63" s="451" t="str">
        <f t="shared" si="2"/>
        <v/>
      </c>
      <c r="BJ63" s="107"/>
      <c r="BK63" s="107" t="str">
        <f t="shared" si="3"/>
        <v/>
      </c>
    </row>
    <row r="64" spans="47:63" ht="14.4" customHeight="1">
      <c r="AU64" s="442">
        <v>9257258</v>
      </c>
      <c r="AV64" s="443" t="str">
        <f>VLOOKUP(AU64,CENY!$B$11:$G$1034,2,FALSE)</f>
        <v>AVANTECH YOU PŘÍCHYTKA ČELA PRO BOK INLAY, K ZALISOVÁNÍ</v>
      </c>
      <c r="AW64" s="24">
        <f>VLOOKUP(AU64,CENY!$B$11:$G$1034,3,FALSE)</f>
        <v>200</v>
      </c>
      <c r="AX64" s="24"/>
      <c r="AY64" s="77">
        <v>0</v>
      </c>
      <c r="AZ64" s="451">
        <f t="shared" si="1"/>
        <v>0</v>
      </c>
      <c r="BA64" s="107">
        <f>VLOOKUP(AU64,CENY!$B$11:$M$2005,12,FALSE)</f>
        <v>53.8</v>
      </c>
      <c r="BB64" s="107">
        <f t="shared" si="0"/>
        <v>0</v>
      </c>
      <c r="BD64" s="441">
        <f>OBJ!B294</f>
        <v>9256950</v>
      </c>
      <c r="BE64" s="23" t="str">
        <f>VLOOKUP(BD64,CENY!$B$11:$G$1034,2,FALSE)</f>
        <v>QUADRO YOU 10 KG PLNOVÝSUV 350 MM EB21 SILENT SYSTEM LEVÝ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176.43</v>
      </c>
      <c r="BK64" s="107">
        <f t="shared" si="3"/>
        <v>0</v>
      </c>
    </row>
    <row r="65" spans="1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>
        <f>OBJ!B295</f>
        <v>9256951</v>
      </c>
      <c r="BE65" s="23" t="str">
        <f>VLOOKUP(BD65,CENY!$B$11:$G$1034,2,FALSE)</f>
        <v>QUADRO YOU 10 KG PLNOVÝSUV 350 MM EB21 SILENT SYSTEM PRAVÝ</v>
      </c>
      <c r="BF65" s="24">
        <f>VLOOKUP(BD65,CENY!$B$11:$G$1034,3,FALSE)</f>
        <v>20</v>
      </c>
      <c r="BG65" s="24"/>
      <c r="BH65" s="25">
        <f>AY42</f>
        <v>0</v>
      </c>
      <c r="BI65" s="451">
        <f t="shared" si="2"/>
        <v>0</v>
      </c>
      <c r="BJ65" s="107">
        <f>VLOOKUP(BD65,CENY!$B$11:$M$2005,12,FALSE)</f>
        <v>176.43</v>
      </c>
      <c r="BK65" s="107">
        <f t="shared" si="3"/>
        <v>0</v>
      </c>
    </row>
    <row r="66" spans="1:63" ht="12.9" customHeight="1" thickBot="1">
      <c r="A66" s="633"/>
      <c r="AU66" s="441">
        <f>OBJ!B207</f>
        <v>0</v>
      </c>
      <c r="AV66" s="23" t="e">
        <f>VLOOKUP(AU66,CENY!$B$11:$G$1034,2,FALSE)</f>
        <v>#N/A</v>
      </c>
      <c r="AW66" s="24" t="e">
        <f>VLOOKUP(AU66,CENY!$B$11:$G$1034,3,FALSE)</f>
        <v>#N/A</v>
      </c>
      <c r="AX66" s="24"/>
      <c r="AY66" s="77">
        <f>IF(FORM!AM21&lt;&gt;FORM!AW16,(2*(+SUM(O19:T19)+SUM(O20:AD20)+SUM(W22:AF22)+SUM(O27:T27)+SUM(O28:AD28)+SUM(O30:AD30))),0)</f>
        <v>0</v>
      </c>
      <c r="AZ66" s="451">
        <f t="shared" si="1"/>
        <v>0</v>
      </c>
      <c r="BA66" s="449" t="str">
        <f>IF(AU66=0,"",VLOOKUP(AU66,CENY!$B$11:$M$2005,12,FALSE))</f>
        <v/>
      </c>
      <c r="BB66" s="107" t="str">
        <f t="shared" si="0"/>
        <v/>
      </c>
      <c r="BD66" s="441"/>
      <c r="BE66" s="23"/>
      <c r="BF66" s="24"/>
      <c r="BG66" s="24"/>
      <c r="BH66" s="25"/>
      <c r="BI66" s="451" t="str">
        <f t="shared" si="2"/>
        <v/>
      </c>
      <c r="BJ66" s="107"/>
      <c r="BK66" s="107" t="str">
        <f t="shared" si="3"/>
        <v/>
      </c>
    </row>
    <row r="67" spans="1:63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0"/>
        <v/>
      </c>
      <c r="BD67" s="441">
        <f>OBJ!B309</f>
        <v>9256860</v>
      </c>
      <c r="BE67" s="23" t="str">
        <f>VLOOKUP(BD67,CENY!$B$11:$G$1034,2,FALSE)</f>
        <v>QUADRO YOU PLNOVÝSUV 350 MM EB21 SILENT SYSTEM LEVÝ</v>
      </c>
      <c r="BF67" s="24">
        <f>VLOOKUP(BD67,CENY!$B$11:$G$1034,3,FALSE)</f>
        <v>20</v>
      </c>
      <c r="BG67" s="24"/>
      <c r="BH67" s="25">
        <f>AY44</f>
        <v>0</v>
      </c>
      <c r="BI67" s="451">
        <f t="shared" si="2"/>
        <v>0</v>
      </c>
      <c r="BJ67" s="107">
        <f>VLOOKUP(BD67,CENY!$B$11:$M$2005,12,FALSE)</f>
        <v>176.43</v>
      </c>
      <c r="BK67" s="107">
        <f t="shared" si="3"/>
        <v>0</v>
      </c>
    </row>
    <row r="68" spans="1:63" ht="12.9" customHeight="1">
      <c r="A68" s="633"/>
      <c r="AU68" s="441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si="0"/>
        <v/>
      </c>
      <c r="BD68" s="441">
        <f>OBJ!B310</f>
        <v>9256861</v>
      </c>
      <c r="BE68" s="23" t="str">
        <f>VLOOKUP(BD68,CENY!$B$11:$G$1034,2,FALSE)</f>
        <v>QUADRO YOU PLNOVÝSUV 350 MM EB21 SILENT SYSTEM PRAVÝ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176.43</v>
      </c>
      <c r="BK68" s="107">
        <f t="shared" si="3"/>
        <v>0</v>
      </c>
    </row>
    <row r="69" spans="1:63" ht="23.1" customHeight="1">
      <c r="A69" s="633"/>
      <c r="B69" s="104" t="str">
        <f>B4</f>
        <v>Zásuvka AVANTECH YOU  187 Inlay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441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ref="BB69:BB119" si="4">IF(BA69="","",BA69*AY69)</f>
        <v/>
      </c>
      <c r="BD69" s="441">
        <f>OBJ!B311</f>
        <v>9256864</v>
      </c>
      <c r="BE69" s="23" t="str">
        <f>VLOOKUP(BD69,CENY!$B$11:$G$1034,2,FALSE)</f>
        <v>QUADRO YOU PLNOVÝSUV 400 MM EB21 SILENT SYSTEM LEVÝ</v>
      </c>
      <c r="BF69" s="24">
        <f>VLOOKUP(BD69,CENY!$B$11:$G$1034,3,FALSE)</f>
        <v>20</v>
      </c>
      <c r="BG69" s="24"/>
      <c r="BH69" s="25">
        <f>AY45</f>
        <v>0</v>
      </c>
      <c r="BI69" s="451">
        <f t="shared" si="2"/>
        <v>0</v>
      </c>
      <c r="BJ69" s="107">
        <f>VLOOKUP(BD69,CENY!$B$11:$M$2005,12,FALSE)</f>
        <v>180.17</v>
      </c>
      <c r="BK69" s="107">
        <f t="shared" si="3"/>
        <v>0</v>
      </c>
    </row>
    <row r="70" spans="1:63" ht="14.4" customHeight="1">
      <c r="A70" s="633"/>
      <c r="AU70" s="441"/>
      <c r="AV70" s="23"/>
      <c r="AW70" s="24"/>
      <c r="AX70" s="24"/>
      <c r="AY70" s="25"/>
      <c r="AZ70" s="451" t="str">
        <f t="shared" ref="AZ70:AZ122" si="5">IF(AY70="","",IF($AW$4=1,AY70,0))</f>
        <v/>
      </c>
      <c r="BA70" s="107"/>
      <c r="BB70" s="107" t="str">
        <f t="shared" si="4"/>
        <v/>
      </c>
      <c r="BD70" s="441">
        <f>OBJ!B312</f>
        <v>9256865</v>
      </c>
      <c r="BE70" s="23" t="str">
        <f>VLOOKUP(BD70,CENY!$B$11:$G$1034,2,FALSE)</f>
        <v>QUADRO YOU PLNOVÝSUV 400 MM EB21 SILENT SYSTEM PRAVÝ</v>
      </c>
      <c r="BF70" s="24">
        <f>VLOOKUP(BD70,CENY!$B$11:$G$1034,3,FALSE)</f>
        <v>20</v>
      </c>
      <c r="BG70" s="24"/>
      <c r="BH70" s="25">
        <f>AY45</f>
        <v>0</v>
      </c>
      <c r="BI70" s="451">
        <f t="shared" ref="BI70:BI122" si="6">IF(BH70="","",IF($AW$4=0,BH70,0))</f>
        <v>0</v>
      </c>
      <c r="BJ70" s="107">
        <f>VLOOKUP(BD70,CENY!$B$11:$M$2005,12,FALSE)</f>
        <v>180.17</v>
      </c>
      <c r="BK70" s="107">
        <f t="shared" ref="BK70:BK122" si="7">IF(BJ70="","",BJ70*BH70)</f>
        <v>0</v>
      </c>
    </row>
    <row r="71" spans="1:63" ht="14.4" customHeight="1">
      <c r="A71" s="633"/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OBJ!B313</f>
        <v>9256868</v>
      </c>
      <c r="BE71" s="23" t="str">
        <f>VLOOKUP(BD71,CENY!$B$11:$G$1034,2,FALSE)</f>
        <v>QUADRO YOU PLNOVÝSUV 450 MM EB21 SILENT SYSTEM LEVÝ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183.9</v>
      </c>
      <c r="BK71" s="107">
        <f t="shared" si="7"/>
        <v>0</v>
      </c>
    </row>
    <row r="72" spans="1:63" ht="14.4" customHeight="1">
      <c r="A72" s="633"/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OBJ!B314</f>
        <v>9256869</v>
      </c>
      <c r="BE72" s="23" t="str">
        <f>VLOOKUP(BD72,CENY!$B$11:$G$1034,2,FALSE)</f>
        <v>QUADRO YOU PLNOVÝSUV 450 MM EB21 SILENT SYSTEM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183.9</v>
      </c>
      <c r="BK72" s="107">
        <f t="shared" si="7"/>
        <v>0</v>
      </c>
    </row>
    <row r="73" spans="1:63" ht="14.4" customHeight="1">
      <c r="A73" s="633"/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OBJ!B315</f>
        <v>9256872</v>
      </c>
      <c r="BE73" s="23" t="str">
        <f>VLOOKUP(BD73,CENY!$B$11:$G$1034,2,FALSE)</f>
        <v>QUADRO YOU PLNOVÝSUV 500 MM EB21 SILENT SYSTEM LEVÝ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187.64</v>
      </c>
      <c r="BK73" s="107">
        <f t="shared" si="7"/>
        <v>0</v>
      </c>
    </row>
    <row r="74" spans="1:63" ht="14.4" customHeight="1">
      <c r="A74" s="633"/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OBJ!B316</f>
        <v>9256873</v>
      </c>
      <c r="BE74" s="23" t="str">
        <f>VLOOKUP(BD74,CENY!$B$11:$G$1034,2,FALSE)</f>
        <v>QUADRO YOU PLNOVÝSUV 500 MM EB21 SILENT SYSTEM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187.64</v>
      </c>
      <c r="BK74" s="107">
        <f t="shared" si="7"/>
        <v>0</v>
      </c>
    </row>
    <row r="75" spans="1:63" ht="14.4" customHeight="1">
      <c r="A75" s="633"/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OBJ!B317</f>
        <v>9256876</v>
      </c>
      <c r="BE75" s="23" t="str">
        <f>VLOOKUP(BD75,CENY!$B$11:$G$1034,2,FALSE)</f>
        <v>QUADRO YOU PLNOVÝSUV 550 MM EB21 SILENT SYSTEM LEVÝ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194.36</v>
      </c>
      <c r="BK75" s="107">
        <f t="shared" si="7"/>
        <v>0</v>
      </c>
    </row>
    <row r="76" spans="1:63" ht="14.4" customHeight="1">
      <c r="A76" s="633"/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OBJ!B318</f>
        <v>9256877</v>
      </c>
      <c r="BE76" s="23" t="str">
        <f>VLOOKUP(BD76,CENY!$B$11:$G$1034,2,FALSE)</f>
        <v>QUADRO YOU PLNOVÝSUV 550 MM EB21 SILENT SYSTEM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194.36</v>
      </c>
      <c r="BK76" s="107">
        <f t="shared" si="7"/>
        <v>0</v>
      </c>
    </row>
    <row r="77" spans="1:63" ht="14.4" customHeight="1">
      <c r="A77" s="633"/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OBJ!B319</f>
        <v>9256880</v>
      </c>
      <c r="BE77" s="23" t="str">
        <f>VLOOKUP(BD77,CENY!$B$11:$G$1034,2,FALSE)</f>
        <v>QUADRO YOU PLNOVÝSUV 600 MM EB21 SILENT SYSTEM LEVÝ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198.1</v>
      </c>
      <c r="BK77" s="107">
        <f t="shared" si="7"/>
        <v>0</v>
      </c>
    </row>
    <row r="78" spans="1:63" ht="14.4" customHeight="1">
      <c r="A78" s="633"/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OBJ!B320</f>
        <v>9256881</v>
      </c>
      <c r="BE78" s="23" t="str">
        <f>VLOOKUP(BD78,CENY!$B$11:$G$1034,2,FALSE)</f>
        <v>QUADRO YOU PLNOVÝSUV 600 MM EB21 SILENT SYSTEM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198.1</v>
      </c>
      <c r="BK78" s="107">
        <f t="shared" si="7"/>
        <v>0</v>
      </c>
    </row>
    <row r="79" spans="1:63" ht="14.4" customHeight="1">
      <c r="A79" s="633"/>
      <c r="O79" s="656">
        <f>CEILING(O84/FLOOR(2000/O85,1),1)</f>
        <v>0</v>
      </c>
      <c r="P79" s="656"/>
      <c r="Q79" s="656">
        <f>CEILING(Q84/FLOOR(2000/Q85,1),1)</f>
        <v>0</v>
      </c>
      <c r="R79" s="656"/>
      <c r="S79" s="656">
        <f>CEILING(S84/FLOOR(2000/S85,1),1)</f>
        <v>0</v>
      </c>
      <c r="T79" s="656"/>
      <c r="U79" s="656">
        <f>CEILING(U84/FLOOR(2000/U85,1),1)</f>
        <v>0</v>
      </c>
      <c r="V79" s="656"/>
      <c r="W79" s="656"/>
      <c r="X79" s="656"/>
      <c r="Y79" s="656"/>
      <c r="Z79" s="656"/>
      <c r="AA79" s="656"/>
      <c r="AB79" s="656"/>
      <c r="AC79" s="656">
        <f>CEILING(AC84/FLOOR(2000/AC85,1),1)</f>
        <v>0</v>
      </c>
      <c r="AD79" s="656"/>
      <c r="AE79" s="656">
        <f>CEILING(AE84/FLOOR(2000/AE85,1),1)</f>
        <v>0</v>
      </c>
      <c r="AF79" s="656"/>
      <c r="AG79" s="656">
        <f>CEILING(AG84/FLOOR(2000/AG85,1),1)</f>
        <v>0</v>
      </c>
      <c r="AH79" s="656"/>
      <c r="AI79" s="656">
        <f>CEILING(AI84/FLOOR(2000/AI85,1),1)</f>
        <v>0</v>
      </c>
      <c r="AJ79" s="656"/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/>
      <c r="BE79" s="23"/>
      <c r="BF79" s="24"/>
      <c r="BG79" s="24"/>
      <c r="BH79" s="25"/>
      <c r="BI79" s="451" t="str">
        <f t="shared" si="6"/>
        <v/>
      </c>
      <c r="BJ79" s="107"/>
      <c r="BK79" s="107" t="str">
        <f t="shared" si="7"/>
        <v/>
      </c>
    </row>
    <row r="80" spans="1:63" ht="14.4" customHeight="1">
      <c r="A80" s="633"/>
      <c r="O80" s="655">
        <f>O85*O84</f>
        <v>0</v>
      </c>
      <c r="P80" s="655"/>
      <c r="Q80" s="655">
        <f>Q85*Q84</f>
        <v>0</v>
      </c>
      <c r="R80" s="655"/>
      <c r="S80" s="655">
        <f>S85*S84</f>
        <v>0</v>
      </c>
      <c r="T80" s="655"/>
      <c r="U80" s="655">
        <f>U85*U84</f>
        <v>0</v>
      </c>
      <c r="V80" s="655"/>
      <c r="W80" s="655"/>
      <c r="X80" s="655"/>
      <c r="Y80" s="655"/>
      <c r="Z80" s="655"/>
      <c r="AA80" s="655"/>
      <c r="AB80" s="655"/>
      <c r="AC80" s="655">
        <f>AC85*AC84</f>
        <v>0</v>
      </c>
      <c r="AD80" s="655"/>
      <c r="AE80" s="655">
        <f>AE85*AE84</f>
        <v>0</v>
      </c>
      <c r="AF80" s="655"/>
      <c r="AG80" s="655">
        <f>AG85*AG84</f>
        <v>0</v>
      </c>
      <c r="AH80" s="655"/>
      <c r="AI80" s="655">
        <f>AI85*AI84</f>
        <v>0</v>
      </c>
      <c r="AJ80" s="655"/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OBJ!B322</f>
        <v>9257894</v>
      </c>
      <c r="BE80" s="23" t="str">
        <f>VLOOKUP(BD80,CENY!$B$11:$G$1034,2,FALSE)</f>
        <v>PUSH TO OPEN SILENT QUADRO YOU 10 KG</v>
      </c>
      <c r="BF80" s="24">
        <f>VLOOKUP(BD80,CENY!$B$11:$G$1034,3,FALSE)</f>
        <v>1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544.37</v>
      </c>
      <c r="BK80" s="107">
        <f t="shared" si="7"/>
        <v>0</v>
      </c>
    </row>
    <row r="81" spans="1:63" ht="14.4" customHeight="1" thickBot="1">
      <c r="A81" s="633"/>
      <c r="O81" s="640" t="str">
        <f>verze!E163</f>
        <v>vnější rozměry zásuvkové skřínky [mm]</v>
      </c>
      <c r="P81" s="641"/>
      <c r="Q81" s="641"/>
      <c r="R81" s="641"/>
      <c r="S81" s="641"/>
      <c r="T81" s="641"/>
      <c r="U81" s="641"/>
      <c r="V81" s="641"/>
      <c r="W81" s="641"/>
      <c r="X81" s="641"/>
      <c r="Y81" s="641"/>
      <c r="Z81" s="641"/>
      <c r="AA81" s="641"/>
      <c r="AB81" s="641"/>
      <c r="AC81" s="641"/>
      <c r="AD81" s="641"/>
      <c r="AE81" s="641"/>
      <c r="AF81" s="641"/>
      <c r="AG81" s="641"/>
      <c r="AH81" s="641"/>
      <c r="AI81" s="641"/>
      <c r="AJ81" s="641"/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OBJ!B323</f>
        <v>9257895</v>
      </c>
      <c r="BE81" s="23" t="str">
        <f>VLOOKUP(BD81,CENY!$B$11:$G$1034,2,FALSE)</f>
        <v>PUSH TO OPEN SILENT QUADRO YOU 20 KG</v>
      </c>
      <c r="BF81" s="24">
        <f>VLOOKUP(BD81,CENY!$B$11:$G$1034,3,FALSE)</f>
        <v>1</v>
      </c>
      <c r="BG81" s="24"/>
      <c r="BH81" s="25">
        <f>AY52</f>
        <v>0</v>
      </c>
      <c r="BI81" s="451">
        <f t="shared" si="6"/>
        <v>0</v>
      </c>
      <c r="BJ81" s="107">
        <f>VLOOKUP(BD81,CENY!$B$11:$M$2005,12,FALSE)</f>
        <v>544.37</v>
      </c>
      <c r="BK81" s="107">
        <f t="shared" si="7"/>
        <v>0</v>
      </c>
    </row>
    <row r="82" spans="1:63" ht="14.4" customHeight="1" thickBot="1">
      <c r="A82" s="633"/>
      <c r="B82" s="1" t="str">
        <f>verze!E162</f>
        <v>Čelo na vnitřní zásuvku</v>
      </c>
      <c r="O82" s="669" t="str">
        <f>verze!E164</f>
        <v>nízke čelo = 66 mm</v>
      </c>
      <c r="P82" s="670"/>
      <c r="Q82" s="670"/>
      <c r="R82" s="670"/>
      <c r="S82" s="670"/>
      <c r="T82" s="670"/>
      <c r="U82" s="670"/>
      <c r="V82" s="670"/>
      <c r="W82" s="467"/>
      <c r="X82" s="467"/>
      <c r="Y82" s="467"/>
      <c r="Z82" s="467"/>
      <c r="AA82" s="662"/>
      <c r="AB82" s="662"/>
      <c r="AC82" s="670" t="str">
        <f>verze!E165</f>
        <v>vysoké čelo = 130 mm</v>
      </c>
      <c r="AD82" s="670"/>
      <c r="AE82" s="670"/>
      <c r="AF82" s="670"/>
      <c r="AG82" s="670"/>
      <c r="AH82" s="670"/>
      <c r="AI82" s="670"/>
      <c r="AJ82" s="670"/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OBJ!B324</f>
        <v>9257896</v>
      </c>
      <c r="BE82" s="23" t="str">
        <f>VLOOKUP(BD82,CENY!$B$11:$G$1034,2,FALSE)</f>
        <v>PUSH TO OPEN SILENT QUADRO YOU 30 KG</v>
      </c>
      <c r="BF82" s="24">
        <f>VLOOKUP(BD82,CENY!$B$11:$G$1034,3,FALSE)</f>
        <v>1</v>
      </c>
      <c r="BG82" s="24"/>
      <c r="BH82" s="25">
        <f>AY53</f>
        <v>0</v>
      </c>
      <c r="BI82" s="451">
        <f t="shared" si="6"/>
        <v>0</v>
      </c>
      <c r="BJ82" s="107">
        <f>VLOOKUP(BD82,CENY!$B$11:$M$2005,12,FALSE)</f>
        <v>544.37</v>
      </c>
      <c r="BK82" s="107">
        <f t="shared" si="7"/>
        <v>0</v>
      </c>
    </row>
    <row r="83" spans="1:63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664">
        <v>450</v>
      </c>
      <c r="P83" s="665"/>
      <c r="Q83" s="666">
        <v>600</v>
      </c>
      <c r="R83" s="666"/>
      <c r="S83" s="666">
        <v>900</v>
      </c>
      <c r="T83" s="666"/>
      <c r="U83" s="666">
        <v>1200</v>
      </c>
      <c r="V83" s="664"/>
      <c r="W83" s="467"/>
      <c r="X83" s="467"/>
      <c r="Y83" s="467"/>
      <c r="Z83" s="467"/>
      <c r="AA83" s="662"/>
      <c r="AB83" s="662"/>
      <c r="AC83" s="667">
        <v>450</v>
      </c>
      <c r="AD83" s="666"/>
      <c r="AE83" s="667">
        <v>600</v>
      </c>
      <c r="AF83" s="666"/>
      <c r="AG83" s="664">
        <v>900</v>
      </c>
      <c r="AH83" s="665"/>
      <c r="AI83" s="664">
        <v>1200</v>
      </c>
      <c r="AJ83" s="665"/>
      <c r="AU83" s="441">
        <f>OBJ!B203</f>
        <v>9257663</v>
      </c>
      <c r="AV83" s="23" t="str">
        <f>VLOOKUP(AU83,CENY!$B$11:$G$1034,2,FALSE)</f>
        <v>AVANTECH YOU NOSNÝ PROFIL PRO VNITŘNÍ ČELO INLAY L2000 MM STŘÍBRNÁ</v>
      </c>
      <c r="AW83" s="24">
        <f>VLOOKUP(AU83,CENY!$B$11:$G$1034,3,FALSE)</f>
        <v>1</v>
      </c>
      <c r="AX83" s="24"/>
      <c r="AY83" s="25">
        <f>IF(AU95=0,0,IF(AU101&lt;2000,1,SUM(O79:AJ79)))</f>
        <v>0</v>
      </c>
      <c r="AZ83" s="451">
        <f t="shared" si="5"/>
        <v>0</v>
      </c>
      <c r="BA83" s="107">
        <f>VLOOKUP(AU83,CENY!$B$11:$M$2005,12,FALSE)</f>
        <v>710.85</v>
      </c>
      <c r="BB83" s="107">
        <f t="shared" si="4"/>
        <v>0</v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1:63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63"/>
      <c r="R84" s="663"/>
      <c r="S84" s="663"/>
      <c r="T84" s="663"/>
      <c r="U84" s="663"/>
      <c r="V84" s="636"/>
      <c r="W84" s="469"/>
      <c r="X84" s="469"/>
      <c r="Y84" s="469"/>
      <c r="Z84" s="469"/>
      <c r="AA84" s="469"/>
      <c r="AB84" s="469"/>
      <c r="AC84" s="637"/>
      <c r="AD84" s="663"/>
      <c r="AE84" s="637"/>
      <c r="AF84" s="663"/>
      <c r="AG84" s="658"/>
      <c r="AH84" s="637"/>
      <c r="AI84" s="636"/>
      <c r="AJ84" s="658"/>
      <c r="AU84" s="441">
        <f>OBJ!B205</f>
        <v>9257657</v>
      </c>
      <c r="AV84" s="23" t="str">
        <f>VLOOKUP(AU84,CENY!$B$11:$G$1034,2,FALSE)</f>
        <v>AVANTECH YOU SADA SPOJEK PRO VNITŘNÍ ČELO INLAY K BOKŮM INLAY V187 MM STŘÍBRNÁ</v>
      </c>
      <c r="AW84" s="24">
        <f>VLOOKUP(AU84,CENY!$B$11:$G$1034,3,FALSE)</f>
        <v>1</v>
      </c>
      <c r="AX84" s="24"/>
      <c r="AY84" s="25">
        <f>1*(+SUM(O19:T19)+SUM(O20:AD20)+SUM(W22:AF22)+SUM(O27:T27)+SUM(O28:AD28)+SUM(O30:AD30))</f>
        <v>0</v>
      </c>
      <c r="AZ84" s="451">
        <f t="shared" si="5"/>
        <v>0</v>
      </c>
      <c r="BA84" s="107">
        <f>VLOOKUP(AU84,CENY!$B$11:$M$2005,12,FALSE)</f>
        <v>492.14</v>
      </c>
      <c r="BB84" s="107">
        <f t="shared" si="4"/>
        <v>0</v>
      </c>
      <c r="BD84" s="441">
        <f>OBJ!B338</f>
        <v>9256905</v>
      </c>
      <c r="BE84" s="23" t="str">
        <f>VLOOKUP(BD84,CENY!$B$11:$G$1034,2,FALSE)</f>
        <v>QUADRO YOU PLNOVÝSUV 350 MM EB21 PUSH TO OPEN LEVÝ</v>
      </c>
      <c r="BF84" s="24">
        <f>VLOOKUP(BD84,CENY!$B$11:$G$1034,3,FALSE)</f>
        <v>20</v>
      </c>
      <c r="BG84" s="24"/>
      <c r="BH84" s="25">
        <f>AY55</f>
        <v>0</v>
      </c>
      <c r="BI84" s="451">
        <f t="shared" si="6"/>
        <v>0</v>
      </c>
      <c r="BJ84" s="107">
        <f>VLOOKUP(BD84,CENY!$B$11:$M$2005,12,FALSE)</f>
        <v>198.85</v>
      </c>
      <c r="BK84" s="107">
        <f t="shared" si="7"/>
        <v>0</v>
      </c>
    </row>
    <row r="85" spans="1:63" ht="14.4" customHeight="1">
      <c r="A85" s="633"/>
      <c r="O85" s="657">
        <f>O83-2*FORM!$AM$24-66</f>
        <v>348</v>
      </c>
      <c r="P85" s="657"/>
      <c r="Q85" s="657">
        <f>Q83-2*FORM!$AM$24-66</f>
        <v>498</v>
      </c>
      <c r="R85" s="657"/>
      <c r="S85" s="657">
        <f>S83-2*FORM!$AM$24-66</f>
        <v>798</v>
      </c>
      <c r="T85" s="657"/>
      <c r="U85" s="657">
        <f>U83-2*FORM!$AM$24-66</f>
        <v>1098</v>
      </c>
      <c r="V85" s="657"/>
      <c r="W85" s="671"/>
      <c r="X85" s="671"/>
      <c r="Y85" s="671"/>
      <c r="Z85" s="671"/>
      <c r="AA85" s="671"/>
      <c r="AB85" s="671"/>
      <c r="AC85" s="657">
        <f>AC83-2*FORM!$AM$24-66</f>
        <v>348</v>
      </c>
      <c r="AD85" s="657"/>
      <c r="AE85" s="657">
        <f>AE83-2*FORM!$AM$24-66</f>
        <v>498</v>
      </c>
      <c r="AF85" s="657"/>
      <c r="AG85" s="657">
        <f>AG83-2*FORM!$AM$24-66</f>
        <v>798</v>
      </c>
      <c r="AH85" s="657"/>
      <c r="AI85" s="657">
        <f>AI83-2*FORM!$AM$24-66</f>
        <v>1098</v>
      </c>
      <c r="AJ85" s="657"/>
      <c r="AU85" s="441">
        <f>OBJ!B217</f>
        <v>9283228</v>
      </c>
      <c r="AV85" s="23" t="str">
        <f>VLOOKUP(AU85,CENY!$B$11:$G$1034,2,FALSE)</f>
        <v>AVANTECH YOU SKLENĚNÁ VÝPLŇ 10 MM K ČELU INLAY V66 MM Š450 MM KD18 MM</v>
      </c>
      <c r="AW85" s="24">
        <f>VLOOKUP(AU85,CENY!$B$11:$G$1034,3,FALSE)</f>
        <v>1</v>
      </c>
      <c r="AX85" s="24"/>
      <c r="AY85" s="25">
        <f>O84</f>
        <v>0</v>
      </c>
      <c r="AZ85" s="451">
        <f t="shared" si="5"/>
        <v>0</v>
      </c>
      <c r="BA85" s="107">
        <f>VLOOKUP(AU85,CENY!$B$11:$M$2005,12,FALSE)</f>
        <v>289.77</v>
      </c>
      <c r="BB85" s="107">
        <f t="shared" si="4"/>
        <v>0</v>
      </c>
      <c r="BD85" s="441">
        <f>OBJ!B339</f>
        <v>9256906</v>
      </c>
      <c r="BE85" s="23" t="str">
        <f>VLOOKUP(BD85,CENY!$B$11:$G$1034,2,FALSE)</f>
        <v>QUADRO YOU PLNOVÝSUV 350 MM EB21 PUSH TO OPEN PRAVÝ</v>
      </c>
      <c r="BF85" s="24">
        <f>VLOOKUP(BD85,CENY!$B$11:$G$1034,3,FALSE)</f>
        <v>20</v>
      </c>
      <c r="BG85" s="24"/>
      <c r="BH85" s="25">
        <f>AY55</f>
        <v>0</v>
      </c>
      <c r="BI85" s="451">
        <f t="shared" si="6"/>
        <v>0</v>
      </c>
      <c r="BJ85" s="107">
        <f>VLOOKUP(BD85,CENY!$B$11:$M$2005,12,FALSE)</f>
        <v>198.85</v>
      </c>
      <c r="BK85" s="107">
        <f t="shared" si="7"/>
        <v>0</v>
      </c>
    </row>
    <row r="86" spans="1:63" ht="14.4" customHeight="1">
      <c r="A86" s="633"/>
      <c r="AR86" s="177"/>
      <c r="AU86" s="441">
        <f>OBJ!B218</f>
        <v>9283229</v>
      </c>
      <c r="AV86" s="23" t="str">
        <f>VLOOKUP(AU86,CENY!$B$11:$G$1034,2,FALSE)</f>
        <v>AVANTECH YOU SKLENĚNÁ VÝPLŇ 10 MM K ČELU INLAY V66 MM Š600 MM KD18 MM</v>
      </c>
      <c r="AW86" s="24">
        <f>VLOOKUP(AU86,CENY!$B$11:$G$1034,3,FALSE)</f>
        <v>1</v>
      </c>
      <c r="AX86" s="24"/>
      <c r="AY86" s="25">
        <f>Q84</f>
        <v>0</v>
      </c>
      <c r="AZ86" s="451">
        <f t="shared" si="5"/>
        <v>0</v>
      </c>
      <c r="BA86" s="107">
        <f>VLOOKUP(AU86,CENY!$B$11:$M$2005,12,FALSE)</f>
        <v>332.18</v>
      </c>
      <c r="BB86" s="107">
        <f t="shared" si="4"/>
        <v>0</v>
      </c>
      <c r="BD86" s="441">
        <f>OBJ!B340</f>
        <v>9256909</v>
      </c>
      <c r="BE86" s="23" t="str">
        <f>VLOOKUP(BD86,CENY!$B$11:$G$1034,2,FALSE)</f>
        <v>QUADRO YOU PLNOVÝSUV 400 MM EB21 PUSH TO OPEN LEVÝ</v>
      </c>
      <c r="BF86" s="24">
        <f>VLOOKUP(BD86,CENY!$B$11:$G$1034,3,FALSE)</f>
        <v>20</v>
      </c>
      <c r="BG86" s="24"/>
      <c r="BH86" s="25">
        <f>AY56</f>
        <v>0</v>
      </c>
      <c r="BI86" s="451">
        <f t="shared" si="6"/>
        <v>0</v>
      </c>
      <c r="BJ86" s="107">
        <f>VLOOKUP(BD86,CENY!$B$11:$M$2005,12,FALSE)</f>
        <v>202.58</v>
      </c>
      <c r="BK86" s="107">
        <f t="shared" si="7"/>
        <v>0</v>
      </c>
    </row>
    <row r="87" spans="1:63" ht="14.4" customHeight="1">
      <c r="A87" s="633"/>
      <c r="V87" s="668" t="str">
        <f>IF(AU97=0,AU103,AU104)</f>
        <v>Je potřebné vybrat 0 ks vnitřních čel.</v>
      </c>
      <c r="W87" s="668"/>
      <c r="X87" s="668"/>
      <c r="Y87" s="668"/>
      <c r="Z87" s="668"/>
      <c r="AA87" s="668"/>
      <c r="AB87" s="668"/>
      <c r="AC87" s="668"/>
      <c r="AR87" s="463"/>
      <c r="AU87" s="441">
        <f>OBJ!B219</f>
        <v>9283231</v>
      </c>
      <c r="AV87" s="23" t="str">
        <f>VLOOKUP(AU87,CENY!$B$11:$G$1034,2,FALSE)</f>
        <v>AVANTECH YOU SKLENĚNÁ VÝPLŇ 10 MM K ČELU INLAY V66 MM Š900 MM KD18 MM</v>
      </c>
      <c r="AW87" s="24">
        <f>VLOOKUP(AU87,CENY!$B$11:$G$1034,3,FALSE)</f>
        <v>1</v>
      </c>
      <c r="AX87" s="24"/>
      <c r="AY87" s="25">
        <f>S84</f>
        <v>0</v>
      </c>
      <c r="AZ87" s="451">
        <f t="shared" si="5"/>
        <v>0</v>
      </c>
      <c r="BA87" s="107">
        <f>VLOOKUP(AU87,CENY!$B$11:$M$2005,12,FALSE)</f>
        <v>586.6</v>
      </c>
      <c r="BB87" s="107">
        <f t="shared" si="4"/>
        <v>0</v>
      </c>
      <c r="BD87" s="441">
        <f>OBJ!B341</f>
        <v>9256910</v>
      </c>
      <c r="BE87" s="23" t="str">
        <f>VLOOKUP(BD87,CENY!$B$11:$G$1034,2,FALSE)</f>
        <v>QUADRO YOU PLNOVÝSUV 400 MM EB21 PUSH TO OPEN PRAVÝ</v>
      </c>
      <c r="BF87" s="24">
        <f>VLOOKUP(BD87,CENY!$B$11:$G$1034,3,FALSE)</f>
        <v>20</v>
      </c>
      <c r="BG87" s="24"/>
      <c r="BH87" s="25">
        <f>AY56</f>
        <v>0</v>
      </c>
      <c r="BI87" s="451">
        <f t="shared" si="6"/>
        <v>0</v>
      </c>
      <c r="BJ87" s="107">
        <f>VLOOKUP(BD87,CENY!$B$11:$M$2005,12,FALSE)</f>
        <v>202.58</v>
      </c>
      <c r="BK87" s="107">
        <f t="shared" si="7"/>
        <v>0</v>
      </c>
    </row>
    <row r="88" spans="1:63" ht="14.4" customHeight="1">
      <c r="A88" s="633"/>
      <c r="V88" s="668"/>
      <c r="W88" s="668"/>
      <c r="X88" s="668"/>
      <c r="Y88" s="668"/>
      <c r="Z88" s="668"/>
      <c r="AA88" s="668"/>
      <c r="AB88" s="668"/>
      <c r="AC88" s="668"/>
      <c r="AU88" s="441">
        <f>OBJ!B220</f>
        <v>9283232</v>
      </c>
      <c r="AV88" s="23" t="str">
        <f>VLOOKUP(AU88,CENY!$B$11:$G$1034,2,FALSE)</f>
        <v>AVANTECH YOU SKLENĚNÁ VÝPLŇ 10 MM K ČELU INLAY V66 MM Š1200 MM KD18 MM</v>
      </c>
      <c r="AW88" s="24">
        <f>VLOOKUP(AU88,CENY!$B$11:$G$1034,3,FALSE)</f>
        <v>1</v>
      </c>
      <c r="AX88" s="24"/>
      <c r="AY88" s="25">
        <f>U84</f>
        <v>0</v>
      </c>
      <c r="AZ88" s="451">
        <f t="shared" si="5"/>
        <v>0</v>
      </c>
      <c r="BA88" s="107">
        <f>VLOOKUP(AU88,CENY!$B$11:$M$2005,12,FALSE)</f>
        <v>756.22</v>
      </c>
      <c r="BB88" s="107">
        <f t="shared" si="4"/>
        <v>0</v>
      </c>
      <c r="BD88" s="441">
        <f>OBJ!B342</f>
        <v>9256913</v>
      </c>
      <c r="BE88" s="23" t="str">
        <f>VLOOKUP(BD88,CENY!$B$11:$G$1034,2,FALSE)</f>
        <v>QUADRO YOU PLNOVÝSUV 450 MM EB21 PUSH TO OPEN LEVÝ</v>
      </c>
      <c r="BF88" s="24">
        <f>VLOOKUP(BD88,CENY!$B$11:$G$1034,3,FALSE)</f>
        <v>20</v>
      </c>
      <c r="BG88" s="24"/>
      <c r="BH88" s="25">
        <f>AY57</f>
        <v>0</v>
      </c>
      <c r="BI88" s="451">
        <f t="shared" si="6"/>
        <v>0</v>
      </c>
      <c r="BJ88" s="107">
        <f>VLOOKUP(BD88,CENY!$B$11:$M$2005,12,FALSE)</f>
        <v>206.32</v>
      </c>
      <c r="BK88" s="107">
        <f t="shared" si="7"/>
        <v>0</v>
      </c>
    </row>
    <row r="89" spans="1:63" ht="14.4" customHeight="1">
      <c r="A89" s="633"/>
      <c r="V89" s="668"/>
      <c r="W89" s="668"/>
      <c r="X89" s="668"/>
      <c r="Y89" s="668"/>
      <c r="Z89" s="668"/>
      <c r="AA89" s="668"/>
      <c r="AB89" s="668"/>
      <c r="AC89" s="668"/>
      <c r="AU89" s="441">
        <f>OBJ!B221</f>
        <v>9283233</v>
      </c>
      <c r="AV89" s="23" t="str">
        <f>VLOOKUP(AU89,CENY!$B$11:$G$1034,2,FALSE)</f>
        <v>AVANTECH YOU SKLENĚNÁ VÝPLŇ 10 MM K ČELU INLAY V130 MM Š450 MM KD18 MM</v>
      </c>
      <c r="AW89" s="24">
        <f>VLOOKUP(AU89,CENY!$B$11:$G$1034,3,FALSE)</f>
        <v>1</v>
      </c>
      <c r="AX89" s="24"/>
      <c r="AY89" s="25">
        <f>AC84</f>
        <v>0</v>
      </c>
      <c r="AZ89" s="451">
        <f t="shared" si="5"/>
        <v>0</v>
      </c>
      <c r="BA89" s="107">
        <f>VLOOKUP(AU89,CENY!$B$11:$M$2005,12,FALSE)</f>
        <v>458.09</v>
      </c>
      <c r="BB89" s="107">
        <f t="shared" si="4"/>
        <v>0</v>
      </c>
      <c r="BD89" s="441">
        <f>OBJ!B343</f>
        <v>9256914</v>
      </c>
      <c r="BE89" s="23" t="str">
        <f>VLOOKUP(BD89,CENY!$B$11:$G$1034,2,FALSE)</f>
        <v>QUADRO YOU PLNOVÝSUV 450 MM EB21 PUSH TO OPEN PRAVÝ</v>
      </c>
      <c r="BF89" s="24">
        <f>VLOOKUP(BD89,CENY!$B$11:$G$1034,3,FALSE)</f>
        <v>20</v>
      </c>
      <c r="BG89" s="24"/>
      <c r="BH89" s="25">
        <f>AY57</f>
        <v>0</v>
      </c>
      <c r="BI89" s="451">
        <f t="shared" si="6"/>
        <v>0</v>
      </c>
      <c r="BJ89" s="107">
        <f>VLOOKUP(BD89,CENY!$B$11:$M$2005,12,FALSE)</f>
        <v>206.32</v>
      </c>
      <c r="BK89" s="107">
        <f t="shared" si="7"/>
        <v>0</v>
      </c>
    </row>
    <row r="90" spans="1:63" ht="14.4" customHeight="1">
      <c r="A90" s="633"/>
      <c r="V90" s="668"/>
      <c r="W90" s="668"/>
      <c r="X90" s="668"/>
      <c r="Y90" s="668"/>
      <c r="Z90" s="668"/>
      <c r="AA90" s="668"/>
      <c r="AB90" s="668"/>
      <c r="AC90" s="668"/>
      <c r="AU90" s="441">
        <f>OBJ!B222</f>
        <v>9283235</v>
      </c>
      <c r="AV90" s="23" t="str">
        <f>VLOOKUP(AU90,CENY!$B$11:$G$1034,2,FALSE)</f>
        <v>AVANTECH YOU SKLENĚNÁ VÝPLŇ 10 MM K ČELU INLAY V130 MM Š600 MM KD18 MM</v>
      </c>
      <c r="AW90" s="24">
        <f>VLOOKUP(AU90,CENY!$B$11:$G$1034,3,FALSE)</f>
        <v>1</v>
      </c>
      <c r="AX90" s="24"/>
      <c r="AY90" s="25">
        <f>AE84</f>
        <v>0</v>
      </c>
      <c r="AZ90" s="451">
        <f t="shared" si="5"/>
        <v>0</v>
      </c>
      <c r="BA90" s="107">
        <f>VLOOKUP(AU90,CENY!$B$11:$M$2005,12,FALSE)</f>
        <v>520.58000000000004</v>
      </c>
      <c r="BB90" s="107">
        <f t="shared" si="4"/>
        <v>0</v>
      </c>
      <c r="BD90" s="441">
        <f>OBJ!B344</f>
        <v>9256917</v>
      </c>
      <c r="BE90" s="23" t="str">
        <f>VLOOKUP(BD90,CENY!$B$11:$G$1034,2,FALSE)</f>
        <v>QUADRO YOU PLNOVÝSUV 500 MM EB21 PUSH TO OPEN LEVÝ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210.06</v>
      </c>
      <c r="BK90" s="107">
        <f t="shared" si="7"/>
        <v>0</v>
      </c>
    </row>
    <row r="91" spans="1:63" ht="14.4" customHeight="1">
      <c r="A91" s="633"/>
      <c r="V91" s="668"/>
      <c r="W91" s="668"/>
      <c r="X91" s="668"/>
      <c r="Y91" s="668"/>
      <c r="Z91" s="668"/>
      <c r="AA91" s="668"/>
      <c r="AB91" s="668"/>
      <c r="AC91" s="668"/>
      <c r="AU91" s="441">
        <f>OBJ!B223</f>
        <v>9283237</v>
      </c>
      <c r="AV91" s="23" t="str">
        <f>VLOOKUP(AU91,CENY!$B$11:$G$1034,2,FALSE)</f>
        <v>AVANTECH YOU SKLENĚNÁ VÝPLŇ 10 MM K ČELU INLAY V130 MM Š900 MM KD18 MM</v>
      </c>
      <c r="AW91" s="24">
        <f>VLOOKUP(AU91,CENY!$B$11:$G$1034,3,FALSE)</f>
        <v>1</v>
      </c>
      <c r="AX91" s="24"/>
      <c r="AY91" s="25">
        <f>AG84</f>
        <v>0</v>
      </c>
      <c r="AZ91" s="451">
        <f t="shared" si="5"/>
        <v>0</v>
      </c>
      <c r="BA91" s="107">
        <f>VLOOKUP(AU91,CENY!$B$11:$M$2005,12,FALSE)</f>
        <v>867.64</v>
      </c>
      <c r="BB91" s="107">
        <f t="shared" si="4"/>
        <v>0</v>
      </c>
      <c r="BD91" s="441">
        <f>OBJ!B345</f>
        <v>9256918</v>
      </c>
      <c r="BE91" s="23" t="str">
        <f>VLOOKUP(BD91,CENY!$B$11:$G$1034,2,FALSE)</f>
        <v>QUADRO YOU PLNOVÝSUV 500 MM EB21 PUSH TO OPEN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210.06</v>
      </c>
      <c r="BK91" s="107">
        <f t="shared" si="7"/>
        <v>0</v>
      </c>
    </row>
    <row r="92" spans="1:63" ht="14.4" customHeight="1">
      <c r="A92" s="633"/>
      <c r="V92" s="668"/>
      <c r="W92" s="668"/>
      <c r="X92" s="668"/>
      <c r="Y92" s="668"/>
      <c r="Z92" s="668"/>
      <c r="AA92" s="668"/>
      <c r="AB92" s="668"/>
      <c r="AC92" s="668"/>
      <c r="AU92" s="441">
        <f>OBJ!B224</f>
        <v>9283238</v>
      </c>
      <c r="AV92" s="23" t="str">
        <f>VLOOKUP(AU92,CENY!$B$11:$G$1034,2,FALSE)</f>
        <v>AVANTECH YOU SKLENĚNÁ VÝPLŇ 10 MM K ČELU INLAY V130 MM Š1200 MM KD18 MM</v>
      </c>
      <c r="AW92" s="24">
        <f>VLOOKUP(AU92,CENY!$B$11:$G$1034,3,FALSE)</f>
        <v>1</v>
      </c>
      <c r="AX92" s="24"/>
      <c r="AY92" s="25">
        <f>AI84</f>
        <v>0</v>
      </c>
      <c r="AZ92" s="451">
        <f t="shared" si="5"/>
        <v>0</v>
      </c>
      <c r="BA92" s="107">
        <f>VLOOKUP(AU92,CENY!$B$11:$M$2005,12,FALSE)</f>
        <v>1117.52</v>
      </c>
      <c r="BB92" s="107">
        <f t="shared" si="4"/>
        <v>0</v>
      </c>
      <c r="BD92" s="441">
        <f>OBJ!B346</f>
        <v>9256921</v>
      </c>
      <c r="BE92" s="23" t="str">
        <f>VLOOKUP(BD92,CENY!$B$11:$G$1034,2,FALSE)</f>
        <v>QUADRO YOU PLNOVÝSUV 550 MM EB21 PUSH TO OPEN LEVÝ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216.78</v>
      </c>
      <c r="BK92" s="107">
        <f t="shared" si="7"/>
        <v>0</v>
      </c>
    </row>
    <row r="93" spans="1:63" ht="14.4" customHeight="1">
      <c r="A93" s="633"/>
      <c r="AU93" s="441"/>
      <c r="AV93" s="23"/>
      <c r="AW93" s="24"/>
      <c r="AX93" s="24"/>
      <c r="AY93" s="25"/>
      <c r="AZ93" s="451" t="str">
        <f t="shared" si="5"/>
        <v/>
      </c>
      <c r="BA93" s="107"/>
      <c r="BB93" s="107"/>
      <c r="BD93" s="441">
        <f>OBJ!B347</f>
        <v>9256922</v>
      </c>
      <c r="BE93" s="23" t="str">
        <f>VLOOKUP(BD93,CENY!$B$11:$G$1034,2,FALSE)</f>
        <v>QUADRO YOU PLNOVÝSUV 550 MM EB21 PUSH TO OPEN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216.78</v>
      </c>
      <c r="BK93" s="107">
        <f t="shared" si="7"/>
        <v>0</v>
      </c>
    </row>
    <row r="94" spans="1:63" ht="14.4" customHeight="1">
      <c r="A94" s="633"/>
      <c r="AU94" s="441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OBJ!B348</f>
        <v>9256925</v>
      </c>
      <c r="BE94" s="23" t="str">
        <f>VLOOKUP(BD94,CENY!$B$11:$G$1034,2,FALSE)</f>
        <v>QUADRO YOU PLNOVÝSUV 600 MM EB21 PUSH TO OPEN LEVÝ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223.51</v>
      </c>
      <c r="BK94" s="107">
        <f t="shared" si="7"/>
        <v>0</v>
      </c>
    </row>
    <row r="95" spans="1:63" ht="14.4" customHeight="1">
      <c r="A95" s="633"/>
      <c r="AU95" s="461">
        <f>1*(+SUM(O19:T19)+SUM(O20:AD20)+SUM(W22:AF22)+SUM(O27:T27)+SUM(O28:AD28)+SUM(O30:AD30))</f>
        <v>0</v>
      </c>
      <c r="AV95" s="460" t="s">
        <v>466</v>
      </c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OBJ!B349</f>
        <v>9256926</v>
      </c>
      <c r="BE95" s="23" t="str">
        <f>VLOOKUP(BD95,CENY!$B$11:$G$1034,2,FALSE)</f>
        <v>QUADRO YOU PLNOVÝSUV 600 MM EB21 PUSH TO OPEN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223.51</v>
      </c>
      <c r="BK95" s="107">
        <f t="shared" si="7"/>
        <v>0</v>
      </c>
    </row>
    <row r="96" spans="1:63" ht="14.4" customHeight="1">
      <c r="A96" s="633"/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/>
      <c r="BE96" s="23"/>
      <c r="BF96" s="24"/>
      <c r="BG96" s="24"/>
      <c r="BH96" s="25"/>
      <c r="BI96" s="451" t="str">
        <f t="shared" si="6"/>
        <v/>
      </c>
      <c r="BJ96" s="107"/>
      <c r="BK96" s="107" t="str">
        <f t="shared" si="7"/>
        <v/>
      </c>
    </row>
    <row r="97" spans="1:63" ht="14.4" customHeight="1">
      <c r="A97" s="633"/>
      <c r="AU97" s="462">
        <f>SUM(O84:AJ84)</f>
        <v>0</v>
      </c>
      <c r="AV97" s="23" t="s">
        <v>467</v>
      </c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OBJ!B351</f>
        <v>9219966</v>
      </c>
      <c r="BE97" s="23" t="str">
        <f>VLOOKUP(BD97,CENY!$B$11:$G$1034,2,FALSE)</f>
        <v>PUSH TO OPEN SYNCHRO ADAPTÉR TYP A</v>
      </c>
      <c r="BF97" s="24">
        <f>VLOOKUP(BD97,CENY!$B$11:$G$1034,3,FALSE)</f>
        <v>200</v>
      </c>
      <c r="BG97" s="24"/>
      <c r="BH97" s="25">
        <f>AY62</f>
        <v>0</v>
      </c>
      <c r="BI97" s="451">
        <f t="shared" si="6"/>
        <v>0</v>
      </c>
      <c r="BJ97" s="107">
        <f>VLOOKUP(BD97,CENY!$B$11:$M$2005,12,FALSE)</f>
        <v>13.07</v>
      </c>
      <c r="BK97" s="107">
        <f t="shared" si="7"/>
        <v>0</v>
      </c>
    </row>
    <row r="98" spans="1:63" ht="14.4" customHeight="1">
      <c r="A98" s="633"/>
      <c r="AU98" s="24">
        <f>AU95-AU97</f>
        <v>0</v>
      </c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/>
      <c r="BE98" s="23"/>
      <c r="BF98" s="24"/>
      <c r="BG98" s="24"/>
      <c r="BH98" s="25"/>
      <c r="BI98" s="451" t="str">
        <f t="shared" si="6"/>
        <v/>
      </c>
      <c r="BJ98" s="107"/>
      <c r="BK98" s="107" t="str">
        <f t="shared" si="7"/>
        <v/>
      </c>
    </row>
    <row r="99" spans="1:63" ht="14.4" customHeight="1">
      <c r="A99" s="633"/>
      <c r="AU99" s="24">
        <f>ABS(AU98)</f>
        <v>0</v>
      </c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OBJ!B207</f>
        <v>0</v>
      </c>
      <c r="BE99" s="23" t="e">
        <f>VLOOKUP(BD99,CENY!$B$11:$G$1034,2,FALSE)</f>
        <v>#N/A</v>
      </c>
      <c r="BF99" s="24" t="e">
        <f>VLOOKUP(BD99,CENY!$B$11:$G$1034,3,FALSE)</f>
        <v>#N/A</v>
      </c>
      <c r="BG99" s="24"/>
      <c r="BH99" s="25">
        <f>AY66</f>
        <v>0</v>
      </c>
      <c r="BI99" s="451">
        <f t="shared" si="6"/>
        <v>0</v>
      </c>
      <c r="BJ99" s="449" t="str">
        <f>IF(BD99=0,"",VLOOKUP(BD99,CENY!$B$11:$M$2005,12,FALSE))</f>
        <v/>
      </c>
      <c r="BK99" s="107" t="str">
        <f t="shared" si="7"/>
        <v/>
      </c>
    </row>
    <row r="100" spans="1:63" ht="14.4" customHeight="1">
      <c r="A100" s="633"/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/>
      <c r="BE100" s="23"/>
      <c r="BF100" s="24"/>
      <c r="BG100" s="24"/>
      <c r="BH100" s="25"/>
      <c r="BI100" s="451" t="str">
        <f t="shared" si="6"/>
        <v/>
      </c>
      <c r="BJ100" s="107"/>
      <c r="BK100" s="107" t="str">
        <f t="shared" si="7"/>
        <v/>
      </c>
    </row>
    <row r="101" spans="1:63">
      <c r="A101" s="633"/>
      <c r="AU101" s="24">
        <f>(AU97-1)*4+SUM(O80:AJ80)</f>
        <v>-4</v>
      </c>
      <c r="AV101" s="23" t="s">
        <v>468</v>
      </c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1:63">
      <c r="A102" s="633"/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OBJ!B203</f>
        <v>9257663</v>
      </c>
      <c r="BE102" s="23" t="str">
        <f>VLOOKUP(BD102,CENY!$B$11:$G$1034,2,FALSE)</f>
        <v>AVANTECH YOU NOSNÝ PROFIL PRO VNITŘNÍ ČELO INLAY L2000 MM STŘÍBRNÁ</v>
      </c>
      <c r="BF102" s="24">
        <f>VLOOKUP(BD102,CENY!$B$11:$G$1034,3,FALSE)</f>
        <v>1</v>
      </c>
      <c r="BG102" s="24"/>
      <c r="BH102" s="25">
        <f>AY83</f>
        <v>0</v>
      </c>
      <c r="BI102" s="451">
        <f t="shared" si="6"/>
        <v>0</v>
      </c>
      <c r="BJ102" s="107">
        <f>VLOOKUP(BD102,CENY!$B$11:$M$2005,12,FALSE)</f>
        <v>710.85</v>
      </c>
      <c r="BK102" s="107">
        <f t="shared" si="7"/>
        <v>0</v>
      </c>
    </row>
    <row r="103" spans="1:63">
      <c r="A103" s="633"/>
      <c r="AU103" s="468" t="str">
        <f>IF(AU97=0,verze!E169&amp;" "&amp;AU95&amp;" "&amp;verze!E170,"")</f>
        <v>Je potřebné vybrat 0 ks vnitřních čel.</v>
      </c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OBJ!B205</f>
        <v>9257657</v>
      </c>
      <c r="BE103" s="23" t="str">
        <f>VLOOKUP(BD103,CENY!$B$11:$G$1034,2,FALSE)</f>
        <v>AVANTECH YOU SADA SPOJEK PRO VNITŘNÍ ČELO INLAY K BOKŮM INLAY V187 MM STŘÍBRNÁ</v>
      </c>
      <c r="BF103" s="24">
        <f>VLOOKUP(BD103,CENY!$B$11:$G$1034,3,FALSE)</f>
        <v>1</v>
      </c>
      <c r="BG103" s="24"/>
      <c r="BH103" s="25">
        <f t="shared" ref="BH103:BH111" si="8">AY84</f>
        <v>0</v>
      </c>
      <c r="BI103" s="451">
        <f t="shared" si="6"/>
        <v>0</v>
      </c>
      <c r="BJ103" s="107">
        <f>VLOOKUP(BD103,CENY!$B$11:$M$2005,12,FALSE)</f>
        <v>492.14</v>
      </c>
      <c r="BK103" s="107">
        <f t="shared" si="7"/>
        <v>0</v>
      </c>
    </row>
    <row r="104" spans="1:63">
      <c r="A104" s="633"/>
      <c r="AU104" s="468" t="str">
        <f>IF(AU97=0,"",IF(AU95=AU97,verze!E174,IF(AU98&gt;0,verze!E171&amp;" "&amp;AU98&amp;" "&amp;verze!E170,verze!E172&amp;" "&amp;AU99&amp;" "&amp;verze!E173)))</f>
        <v/>
      </c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>
        <f>OBJ!B217</f>
        <v>9283228</v>
      </c>
      <c r="BE104" s="23" t="str">
        <f>VLOOKUP(BD104,CENY!$B$11:$G$1034,2,FALSE)</f>
        <v>AVANTECH YOU SKLENĚNÁ VÝPLŇ 10 MM K ČELU INLAY V66 MM Š450 MM KD18 MM</v>
      </c>
      <c r="BF104" s="24">
        <f>VLOOKUP(BD104,CENY!$B$11:$G$1034,3,FALSE)</f>
        <v>1</v>
      </c>
      <c r="BG104" s="24"/>
      <c r="BH104" s="25">
        <f t="shared" si="8"/>
        <v>0</v>
      </c>
      <c r="BI104" s="451">
        <f t="shared" si="6"/>
        <v>0</v>
      </c>
      <c r="BJ104" s="107">
        <f>VLOOKUP(BD104,CENY!$B$11:$M$2005,12,FALSE)</f>
        <v>289.77</v>
      </c>
      <c r="BK104" s="107">
        <f t="shared" si="7"/>
        <v>0</v>
      </c>
    </row>
    <row r="105" spans="1:63">
      <c r="A105" s="633"/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OBJ!B218</f>
        <v>9283229</v>
      </c>
      <c r="BE105" s="23" t="str">
        <f>VLOOKUP(BD105,CENY!$B$11:$G$1034,2,FALSE)</f>
        <v>AVANTECH YOU SKLENĚNÁ VÝPLŇ 10 MM K ČELU INLAY V66 MM Š600 MM KD18 MM</v>
      </c>
      <c r="BF105" s="24">
        <f>VLOOKUP(BD105,CENY!$B$11:$G$1034,3,FALSE)</f>
        <v>1</v>
      </c>
      <c r="BG105" s="24"/>
      <c r="BH105" s="25">
        <f t="shared" si="8"/>
        <v>0</v>
      </c>
      <c r="BI105" s="451">
        <f t="shared" si="6"/>
        <v>0</v>
      </c>
      <c r="BJ105" s="107">
        <f>VLOOKUP(BD105,CENY!$B$11:$M$2005,12,FALSE)</f>
        <v>332.18</v>
      </c>
      <c r="BK105" s="107">
        <f t="shared" si="7"/>
        <v>0</v>
      </c>
    </row>
    <row r="106" spans="1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>
        <f>OBJ!B219</f>
        <v>9283231</v>
      </c>
      <c r="BE106" s="23" t="str">
        <f>VLOOKUP(BD106,CENY!$B$11:$G$1034,2,FALSE)</f>
        <v>AVANTECH YOU SKLENĚNÁ VÝPLŇ 10 MM K ČELU INLAY V66 MM Š900 MM KD18 MM</v>
      </c>
      <c r="BF106" s="24">
        <f>VLOOKUP(BD106,CENY!$B$11:$G$1034,3,FALSE)</f>
        <v>1</v>
      </c>
      <c r="BG106" s="24"/>
      <c r="BH106" s="25">
        <f t="shared" si="8"/>
        <v>0</v>
      </c>
      <c r="BI106" s="451">
        <f t="shared" si="6"/>
        <v>0</v>
      </c>
      <c r="BJ106" s="107">
        <f>VLOOKUP(BD106,CENY!$B$11:$M$2005,12,FALSE)</f>
        <v>586.6</v>
      </c>
      <c r="BK106" s="107">
        <f t="shared" si="7"/>
        <v>0</v>
      </c>
    </row>
    <row r="107" spans="1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OBJ!B220</f>
        <v>9283232</v>
      </c>
      <c r="BE107" s="23" t="str">
        <f>VLOOKUP(BD107,CENY!$B$11:$G$1034,2,FALSE)</f>
        <v>AVANTECH YOU SKLENĚNÁ VÝPLŇ 10 MM K ČELU INLAY V66 MM Š1200 MM KD18 MM</v>
      </c>
      <c r="BF107" s="24">
        <f>VLOOKUP(BD107,CENY!$B$11:$G$1034,3,FALSE)</f>
        <v>1</v>
      </c>
      <c r="BG107" s="24"/>
      <c r="BH107" s="25">
        <f t="shared" si="8"/>
        <v>0</v>
      </c>
      <c r="BI107" s="451">
        <f t="shared" si="6"/>
        <v>0</v>
      </c>
      <c r="BJ107" s="107">
        <f>VLOOKUP(BD107,CENY!$B$11:$M$2005,12,FALSE)</f>
        <v>756.22</v>
      </c>
      <c r="BK107" s="107">
        <f t="shared" si="7"/>
        <v>0</v>
      </c>
    </row>
    <row r="108" spans="1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>
        <f>OBJ!B221</f>
        <v>9283233</v>
      </c>
      <c r="BE108" s="23" t="str">
        <f>VLOOKUP(BD108,CENY!$B$11:$G$1034,2,FALSE)</f>
        <v>AVANTECH YOU SKLENĚNÁ VÝPLŇ 10 MM K ČELU INLAY V130 MM Š450 MM KD18 MM</v>
      </c>
      <c r="BF108" s="24">
        <f>VLOOKUP(BD108,CENY!$B$11:$G$1034,3,FALSE)</f>
        <v>1</v>
      </c>
      <c r="BG108" s="24"/>
      <c r="BH108" s="25">
        <f t="shared" si="8"/>
        <v>0</v>
      </c>
      <c r="BI108" s="451">
        <f t="shared" si="6"/>
        <v>0</v>
      </c>
      <c r="BJ108" s="107">
        <f>VLOOKUP(BD108,CENY!$B$11:$M$2005,12,FALSE)</f>
        <v>458.09</v>
      </c>
      <c r="BK108" s="107">
        <f t="shared" si="7"/>
        <v>0</v>
      </c>
    </row>
    <row r="109" spans="1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4"/>
        <v/>
      </c>
      <c r="BD109" s="441">
        <f>OBJ!B222</f>
        <v>9283235</v>
      </c>
      <c r="BE109" s="23" t="str">
        <f>VLOOKUP(BD109,CENY!$B$11:$G$1034,2,FALSE)</f>
        <v>AVANTECH YOU SKLENĚNÁ VÝPLŇ 10 MM K ČELU INLAY V130 MM Š600 MM KD18 MM</v>
      </c>
      <c r="BF109" s="24">
        <f>VLOOKUP(BD109,CENY!$B$11:$G$1034,3,FALSE)</f>
        <v>1</v>
      </c>
      <c r="BG109" s="24"/>
      <c r="BH109" s="25">
        <f t="shared" si="8"/>
        <v>0</v>
      </c>
      <c r="BI109" s="451">
        <f t="shared" si="6"/>
        <v>0</v>
      </c>
      <c r="BJ109" s="107">
        <f>VLOOKUP(BD109,CENY!$B$11:$M$2005,12,FALSE)</f>
        <v>520.58000000000004</v>
      </c>
      <c r="BK109" s="107">
        <f t="shared" si="7"/>
        <v>0</v>
      </c>
    </row>
    <row r="110" spans="1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4"/>
        <v/>
      </c>
      <c r="BD110" s="441">
        <f>OBJ!B223</f>
        <v>9283237</v>
      </c>
      <c r="BE110" s="23" t="str">
        <f>VLOOKUP(BD110,CENY!$B$11:$G$1034,2,FALSE)</f>
        <v>AVANTECH YOU SKLENĚNÁ VÝPLŇ 10 MM K ČELU INLAY V130 MM Š900 MM KD18 MM</v>
      </c>
      <c r="BF110" s="24">
        <f>VLOOKUP(BD110,CENY!$B$11:$G$1034,3,FALSE)</f>
        <v>1</v>
      </c>
      <c r="BG110" s="24"/>
      <c r="BH110" s="25">
        <f t="shared" si="8"/>
        <v>0</v>
      </c>
      <c r="BI110" s="451">
        <f t="shared" si="6"/>
        <v>0</v>
      </c>
      <c r="BJ110" s="107">
        <f>VLOOKUP(BD110,CENY!$B$11:$M$2005,12,FALSE)</f>
        <v>867.64</v>
      </c>
      <c r="BK110" s="107">
        <f t="shared" si="7"/>
        <v>0</v>
      </c>
    </row>
    <row r="111" spans="1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4"/>
        <v/>
      </c>
      <c r="BD111" s="441">
        <f>OBJ!B224</f>
        <v>9283238</v>
      </c>
      <c r="BE111" s="23" t="str">
        <f>VLOOKUP(BD111,CENY!$B$11:$G$1034,2,FALSE)</f>
        <v>AVANTECH YOU SKLENĚNÁ VÝPLŇ 10 MM K ČELU INLAY V130 MM Š1200 MM KD18 MM</v>
      </c>
      <c r="BF111" s="24">
        <f>VLOOKUP(BD111,CENY!$B$11:$G$1034,3,FALSE)</f>
        <v>1</v>
      </c>
      <c r="BG111" s="24"/>
      <c r="BH111" s="25">
        <f t="shared" si="8"/>
        <v>0</v>
      </c>
      <c r="BI111" s="451">
        <f t="shared" si="6"/>
        <v>0</v>
      </c>
      <c r="BJ111" s="107">
        <f>VLOOKUP(BD111,CENY!$B$11:$M$2005,12,FALSE)</f>
        <v>1117.52</v>
      </c>
      <c r="BK111" s="107">
        <f t="shared" si="7"/>
        <v>0</v>
      </c>
    </row>
    <row r="112" spans="1:63">
      <c r="AU112" s="22"/>
      <c r="AV112" s="23"/>
      <c r="AW112" s="24"/>
      <c r="AX112" s="24"/>
      <c r="AY112" s="25"/>
      <c r="AZ112" s="451"/>
      <c r="BA112" s="107"/>
      <c r="BB112" s="107"/>
      <c r="BD112" s="441"/>
      <c r="BE112" s="23"/>
      <c r="BF112" s="24"/>
      <c r="BG112" s="24"/>
      <c r="BH112" s="25"/>
      <c r="BI112" s="451"/>
      <c r="BJ112" s="107"/>
      <c r="BK112" s="107"/>
    </row>
    <row r="113" spans="47:63">
      <c r="AU113" s="441">
        <f>OBJ!B354</f>
        <v>45167</v>
      </c>
      <c r="AV113" s="23" t="str">
        <f>VLOOKUP(AU113,CENY!$B$11:$G$1034,2,FALSE)</f>
        <v>VRUT PANHEAD 35X12</v>
      </c>
      <c r="AW113" s="24">
        <f>VLOOKUP(AU113,CENY!$B$11:$G$1034,3,FALSE)</f>
        <v>200</v>
      </c>
      <c r="AX113" s="24"/>
      <c r="AY113" s="25">
        <f>SUMPRODUCT(AX5:AX11,AY5:AY11)</f>
        <v>0</v>
      </c>
      <c r="AZ113" s="451">
        <f>IF(AY113="","",IF($AW$4=1,AY113,0))</f>
        <v>0</v>
      </c>
      <c r="BA113" s="107">
        <f>VLOOKUP(AU113,CENY!$B$11:$M$2005,12,FALSE)</f>
        <v>0.54</v>
      </c>
      <c r="BB113" s="107">
        <f>IF(BA113="","",BA113*AY113)</f>
        <v>0</v>
      </c>
      <c r="BC113" s="97" t="s">
        <v>506</v>
      </c>
      <c r="BD113" s="441">
        <f>OBJ!B354</f>
        <v>45167</v>
      </c>
      <c r="BE113" s="23" t="str">
        <f>VLOOKUP(BD113,CENY!$B$11:$G$1034,2,FALSE)</f>
        <v>VRUT PANHEAD 35X12</v>
      </c>
      <c r="BF113" s="24">
        <f>VLOOKUP(BD113,CENY!$B$11:$G$1034,3,FALSE)</f>
        <v>200</v>
      </c>
      <c r="BG113" s="24"/>
      <c r="BH113" s="25">
        <f>AY113+BH21*2</f>
        <v>0</v>
      </c>
      <c r="BI113" s="451">
        <f>IF(BH113="","",IF($AW$4=0,BH113,0))</f>
        <v>0</v>
      </c>
      <c r="BJ113" s="107">
        <f>VLOOKUP(BD113,CENY!$B$11:$M$2005,12,FALSE)</f>
        <v>0.54</v>
      </c>
      <c r="BK113" s="107">
        <f>IF(BJ113="","",BJ113*BH113)</f>
        <v>0</v>
      </c>
    </row>
    <row r="114" spans="47:63">
      <c r="AU114" s="441">
        <f>OBJ!B355</f>
        <v>45168</v>
      </c>
      <c r="AV114" s="23" t="str">
        <f>VLOOKUP(AU114,CENY!$B$11:$G$1034,2,FALSE)</f>
        <v>VRUT PANHEAD 35X20</v>
      </c>
      <c r="AW114" s="24">
        <f>VLOOKUP(AU114,CENY!$B$11:$G$1034,3,FALSE)</f>
        <v>200</v>
      </c>
      <c r="AX114" s="24"/>
      <c r="AY114" s="497">
        <v>0</v>
      </c>
      <c r="AZ114" s="451">
        <f>IF(AY114="","",IF($AW$4=1,AY114,0))</f>
        <v>0</v>
      </c>
      <c r="BA114" s="107">
        <f>VLOOKUP(AU114,CENY!$B$11:$M$2005,12,FALSE)</f>
        <v>0.78</v>
      </c>
      <c r="BB114" s="107">
        <f>IF(BA114="","",BA114*AY114)</f>
        <v>0</v>
      </c>
      <c r="BC114" s="97" t="s">
        <v>507</v>
      </c>
      <c r="BD114" s="441">
        <f>OBJ!B355</f>
        <v>45168</v>
      </c>
      <c r="BE114" s="23" t="str">
        <f>VLOOKUP(BD114,CENY!$B$11:$G$1034,2,FALSE)</f>
        <v>VRUT PANHEAD 35X20</v>
      </c>
      <c r="BF114" s="24">
        <f>VLOOKUP(BD114,CENY!$B$11:$G$1034,3,FALSE)</f>
        <v>200</v>
      </c>
      <c r="BG114" s="24"/>
      <c r="BH114" s="497">
        <v>0</v>
      </c>
      <c r="BI114" s="451">
        <f>IF(BH114="","",IF($AW$4=0,BH114,0))</f>
        <v>0</v>
      </c>
      <c r="BJ114" s="107">
        <f>VLOOKUP(BD114,CENY!$B$11:$M$2005,12,FALSE)</f>
        <v>0.78</v>
      </c>
      <c r="BK114" s="107">
        <f>IF(BJ114="","",BJ114*BH114)</f>
        <v>0</v>
      </c>
    </row>
    <row r="115" spans="47:63">
      <c r="AU115" s="441">
        <f>OBJ!B356</f>
        <v>9278224</v>
      </c>
      <c r="AV115" s="23" t="str">
        <f>VLOOKUP(AU115,CENY!$B$11:$G$1034,2,FALSE)</f>
        <v>AVANTECH YOU VRUT 3,5X30 PANHEAD POZINK.</v>
      </c>
      <c r="AW115" s="24">
        <f>VLOOKUP(AU115,CENY!$B$11:$G$1034,3,FALSE)</f>
        <v>200</v>
      </c>
      <c r="AX115" s="24"/>
      <c r="AY115" s="497">
        <v>0</v>
      </c>
      <c r="AZ115" s="451">
        <f>IF(AY115="","",IF($AW$4=1,AY115,0))</f>
        <v>0</v>
      </c>
      <c r="BA115" s="107">
        <f>VLOOKUP(AU115,CENY!$B$11:$M$2005,12,FALSE)</f>
        <v>0.73</v>
      </c>
      <c r="BB115" s="107">
        <f>IF(BA115="","",BA115*AY115)</f>
        <v>0</v>
      </c>
      <c r="BC115" s="97" t="s">
        <v>508</v>
      </c>
      <c r="BD115" s="441">
        <f>OBJ!B356</f>
        <v>9278224</v>
      </c>
      <c r="BE115" s="23" t="str">
        <f>VLOOKUP(BD115,CENY!$B$11:$G$1034,2,FALSE)</f>
        <v>AVANTECH YOU VRUT 3,5X30 PANHEAD POZINK.</v>
      </c>
      <c r="BF115" s="24">
        <f>VLOOKUP(BD115,CENY!$B$11:$G$1034,3,FALSE)</f>
        <v>200</v>
      </c>
      <c r="BG115" s="24"/>
      <c r="BH115" s="497">
        <f>2*SUM(BH5:BH18)</f>
        <v>0</v>
      </c>
      <c r="BI115" s="451">
        <f>IF(BH115="","",IF($AW$4=0,BH115,0))</f>
        <v>0</v>
      </c>
      <c r="BJ115" s="107">
        <f>VLOOKUP(BD115,CENY!$B$11:$M$2005,12,FALSE)</f>
        <v>0.73</v>
      </c>
      <c r="BK115" s="107">
        <f>IF(BJ115="","",BJ115*BH115)</f>
        <v>0</v>
      </c>
    </row>
    <row r="116" spans="47:63">
      <c r="AU116" s="441">
        <f>OBJ!B357</f>
        <v>9279197</v>
      </c>
      <c r="AV116" s="23" t="str">
        <f>VLOOKUP(AU116,CENY!$B$11:$G$1034,2,FALSE)</f>
        <v>SAMOŘEZNÝ ŠROUB 3,5X12 PANHEAD POZINK.</v>
      </c>
      <c r="AW116" s="24">
        <f>VLOOKUP(AU116,CENY!$B$11:$G$1034,3,FALSE)</f>
        <v>1000</v>
      </c>
      <c r="AX116" s="24"/>
      <c r="AY116" s="77">
        <v>0</v>
      </c>
      <c r="AZ116" s="451">
        <f>IF(AY116="","",IF($AW$4=1,AY116,0))</f>
        <v>0</v>
      </c>
      <c r="BA116" s="107">
        <f>VLOOKUP(AU116,CENY!$B$11:$M$2005,12,FALSE)</f>
        <v>1.51</v>
      </c>
      <c r="BB116" s="107">
        <f>IF(BA116="","",BA116*AY116)</f>
        <v>0</v>
      </c>
      <c r="BC116" s="97" t="s">
        <v>509</v>
      </c>
      <c r="BD116" s="441">
        <f>OBJ!B357</f>
        <v>9279197</v>
      </c>
      <c r="BE116" s="23" t="str">
        <f>VLOOKUP(BD116,CENY!$B$11:$G$1034,2,FALSE)</f>
        <v>SAMOŘEZNÝ ŠROUB 3,5X12 PANHEAD POZINK.</v>
      </c>
      <c r="BF116" s="24">
        <f>VLOOKUP(BD116,CENY!$B$11:$G$1034,3,FALSE)</f>
        <v>1000</v>
      </c>
      <c r="BG116" s="24"/>
      <c r="BH116" s="77">
        <v>0</v>
      </c>
      <c r="BI116" s="451">
        <f>IF(BH116="","",IF($AW$4=0,BH116,0))</f>
        <v>0</v>
      </c>
      <c r="BJ116" s="107">
        <f>VLOOKUP(BD116,CENY!$B$11:$M$2005,12,FALSE)</f>
        <v>1.51</v>
      </c>
      <c r="BK116" s="107">
        <f>IF(BJ116="","",BJ116*BH116)</f>
        <v>0</v>
      </c>
    </row>
    <row r="117" spans="47:63">
      <c r="AU117" s="441">
        <f>OBJ!B358</f>
        <v>9137114</v>
      </c>
      <c r="AV117" s="23" t="str">
        <f>VLOOKUP(AU117,CENY!$B$11:$G$1034,2,FALSE)</f>
        <v>EUROŠROUB DBS 60 X 14</v>
      </c>
      <c r="AW117" s="24">
        <f>VLOOKUP(AU117,CENY!$B$11:$G$1034,3,FALSE)</f>
        <v>200</v>
      </c>
      <c r="AX117" s="24"/>
      <c r="AY117" s="25">
        <f>SUMPRODUCT(AX21:AX60,AY21:AY60)</f>
        <v>0</v>
      </c>
      <c r="AZ117" s="451">
        <f>IF(AY117="","",IF($AW$4=1,AY117,0))</f>
        <v>0</v>
      </c>
      <c r="BA117" s="107">
        <f>VLOOKUP(AU117,CENY!$B$11:$M$2005,12,FALSE)</f>
        <v>1.2</v>
      </c>
      <c r="BB117" s="107">
        <f>IF(BA117="","",BA117*AY117)</f>
        <v>0</v>
      </c>
      <c r="BC117" s="97" t="s">
        <v>510</v>
      </c>
      <c r="BD117" s="441">
        <f>OBJ!B358</f>
        <v>9137114</v>
      </c>
      <c r="BE117" s="23" t="str">
        <f>VLOOKUP(BD117,CENY!$B$11:$G$1034,2,FALSE)</f>
        <v>EUROŠROUB DBS 60 X 14</v>
      </c>
      <c r="BF117" s="24">
        <f>VLOOKUP(BD117,CENY!$B$11:$G$1034,3,FALSE)</f>
        <v>200</v>
      </c>
      <c r="BG117" s="24"/>
      <c r="BH117" s="25">
        <f>AY117</f>
        <v>0</v>
      </c>
      <c r="BI117" s="451">
        <f>IF(BH117="","",IF($AW$4=0,BH117,0))</f>
        <v>0</v>
      </c>
      <c r="BJ117" s="107">
        <f>VLOOKUP(BD117,CENY!$B$11:$M$2005,12,FALSE)</f>
        <v>1.2</v>
      </c>
      <c r="BK117" s="107">
        <f>IF(BJ117="","",BJ117*BH117)</f>
        <v>0</v>
      </c>
    </row>
    <row r="118" spans="47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4"/>
        <v/>
      </c>
      <c r="BD118" s="441"/>
      <c r="BE118" s="23"/>
      <c r="BF118" s="24"/>
      <c r="BG118" s="24"/>
      <c r="BH118" s="25"/>
      <c r="BI118" s="451" t="str">
        <f t="shared" si="6"/>
        <v/>
      </c>
      <c r="BJ118" s="107"/>
      <c r="BK118" s="107" t="str">
        <f t="shared" si="7"/>
        <v/>
      </c>
    </row>
    <row r="119" spans="47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4"/>
        <v/>
      </c>
      <c r="BD119" s="441"/>
      <c r="BE119" s="23"/>
      <c r="BF119" s="24"/>
      <c r="BG119" s="24"/>
      <c r="BH119" s="25"/>
      <c r="BI119" s="451" t="str">
        <f t="shared" si="6"/>
        <v/>
      </c>
      <c r="BJ119" s="107"/>
      <c r="BK119" s="107" t="str">
        <f t="shared" si="7"/>
        <v/>
      </c>
    </row>
    <row r="120" spans="47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>IF(BA120="","",BA120*AY120)</f>
        <v/>
      </c>
      <c r="BD120" s="441"/>
      <c r="BE120" s="23"/>
      <c r="BF120" s="24"/>
      <c r="BG120" s="24"/>
      <c r="BH120" s="25"/>
      <c r="BI120" s="451" t="str">
        <f t="shared" si="6"/>
        <v/>
      </c>
      <c r="BJ120" s="107"/>
      <c r="BK120" s="107" t="str">
        <f t="shared" si="7"/>
        <v/>
      </c>
    </row>
    <row r="121" spans="47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>IF(BA121="","",BA121*AY121)</f>
        <v/>
      </c>
      <c r="BD121" s="441"/>
      <c r="BE121" s="23"/>
      <c r="BF121" s="24"/>
      <c r="BG121" s="24"/>
      <c r="BH121" s="25"/>
      <c r="BI121" s="451" t="str">
        <f t="shared" si="6"/>
        <v/>
      </c>
      <c r="BJ121" s="107"/>
      <c r="BK121" s="107" t="str">
        <f t="shared" si="7"/>
        <v/>
      </c>
    </row>
    <row r="122" spans="47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>IF(BA122="","",BA122*AY122)</f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</sheetData>
  <sheetProtection password="DD97" sheet="1"/>
  <mergeCells count="174">
    <mergeCell ref="O82:V82"/>
    <mergeCell ref="AA82:AB82"/>
    <mergeCell ref="AC82:AJ82"/>
    <mergeCell ref="Y79:Z79"/>
    <mergeCell ref="AG79:AH79"/>
    <mergeCell ref="AI79:AJ79"/>
    <mergeCell ref="AA85:AB85"/>
    <mergeCell ref="AC85:AD85"/>
    <mergeCell ref="AE85:AF85"/>
    <mergeCell ref="AG85:AH85"/>
    <mergeCell ref="AI85:AJ85"/>
    <mergeCell ref="O79:P79"/>
    <mergeCell ref="Q79:R79"/>
    <mergeCell ref="S79:T79"/>
    <mergeCell ref="U79:V79"/>
    <mergeCell ref="W79:X79"/>
    <mergeCell ref="AC84:AD84"/>
    <mergeCell ref="AE84:AF84"/>
    <mergeCell ref="AG84:AH84"/>
    <mergeCell ref="AI84:AJ84"/>
    <mergeCell ref="O85:P85"/>
    <mergeCell ref="Q85:R85"/>
    <mergeCell ref="S85:T85"/>
    <mergeCell ref="U85:V85"/>
    <mergeCell ref="W85:X85"/>
    <mergeCell ref="Y85:Z85"/>
    <mergeCell ref="AG83:AH83"/>
    <mergeCell ref="O84:P84"/>
    <mergeCell ref="Q84:R84"/>
    <mergeCell ref="S84:T84"/>
    <mergeCell ref="U84:V84"/>
    <mergeCell ref="O83:P83"/>
    <mergeCell ref="Q83:R83"/>
    <mergeCell ref="S83:T83"/>
    <mergeCell ref="U83:V83"/>
    <mergeCell ref="AA83:AB83"/>
    <mergeCell ref="AC83:AD83"/>
    <mergeCell ref="AE83:AF83"/>
    <mergeCell ref="AK9:AP10"/>
    <mergeCell ref="AI67:AM67"/>
    <mergeCell ref="AO67:AR67"/>
    <mergeCell ref="AN29:AO29"/>
    <mergeCell ref="Y30:Z30"/>
    <mergeCell ref="AA30:AB30"/>
    <mergeCell ref="AC30:AD30"/>
    <mergeCell ref="AA26:AB26"/>
    <mergeCell ref="AA28:AB28"/>
    <mergeCell ref="AC28:AD28"/>
    <mergeCell ref="AN28:AO28"/>
    <mergeCell ref="AC26:AD26"/>
    <mergeCell ref="AI26:AO26"/>
    <mergeCell ref="Y22:Z22"/>
    <mergeCell ref="AA22:AB22"/>
    <mergeCell ref="AC22:AD22"/>
    <mergeCell ref="AE22:AF22"/>
    <mergeCell ref="AN22:AO22"/>
    <mergeCell ref="AI25:AO25"/>
    <mergeCell ref="AN20:AO20"/>
    <mergeCell ref="AN21:AO21"/>
    <mergeCell ref="AA20:AB20"/>
    <mergeCell ref="AC20:AD20"/>
    <mergeCell ref="AE20:AF20"/>
    <mergeCell ref="A66:A105"/>
    <mergeCell ref="B67:E67"/>
    <mergeCell ref="G67:K67"/>
    <mergeCell ref="O67:S67"/>
    <mergeCell ref="U67:Y67"/>
    <mergeCell ref="AA67:AE67"/>
    <mergeCell ref="O80:P80"/>
    <mergeCell ref="S80:T80"/>
    <mergeCell ref="U80:V80"/>
    <mergeCell ref="W80:X80"/>
    <mergeCell ref="O81:AJ81"/>
    <mergeCell ref="AC80:AD80"/>
    <mergeCell ref="AE80:AF80"/>
    <mergeCell ref="AG80:AH80"/>
    <mergeCell ref="AI80:AJ80"/>
    <mergeCell ref="Q80:R80"/>
    <mergeCell ref="Y80:Z80"/>
    <mergeCell ref="AA80:AB80"/>
    <mergeCell ref="AI83:AJ83"/>
    <mergeCell ref="M84:N84"/>
    <mergeCell ref="V87:AC92"/>
    <mergeCell ref="AA79:AB79"/>
    <mergeCell ref="AC79:AD79"/>
    <mergeCell ref="AE79:AF79"/>
    <mergeCell ref="B30:G30"/>
    <mergeCell ref="H30:L30"/>
    <mergeCell ref="M30:N30"/>
    <mergeCell ref="S30:T30"/>
    <mergeCell ref="U30:V30"/>
    <mergeCell ref="W30:X30"/>
    <mergeCell ref="U28:V28"/>
    <mergeCell ref="W28:X28"/>
    <mergeCell ref="Y28:Z28"/>
    <mergeCell ref="B28:G28"/>
    <mergeCell ref="H28:L28"/>
    <mergeCell ref="M28:N28"/>
    <mergeCell ref="O28:P28"/>
    <mergeCell ref="Q28:R28"/>
    <mergeCell ref="S28:T28"/>
    <mergeCell ref="B27:G27"/>
    <mergeCell ref="H27:L27"/>
    <mergeCell ref="M27:N27"/>
    <mergeCell ref="O27:P27"/>
    <mergeCell ref="Q27:R27"/>
    <mergeCell ref="S27:T27"/>
    <mergeCell ref="AN27:AO27"/>
    <mergeCell ref="O26:P26"/>
    <mergeCell ref="Q26:R26"/>
    <mergeCell ref="S26:T26"/>
    <mergeCell ref="U26:V26"/>
    <mergeCell ref="W26:X26"/>
    <mergeCell ref="Y26:Z26"/>
    <mergeCell ref="B22:G22"/>
    <mergeCell ref="H22:L22"/>
    <mergeCell ref="M22:N22"/>
    <mergeCell ref="O22:P22"/>
    <mergeCell ref="Q22:R22"/>
    <mergeCell ref="S22:T22"/>
    <mergeCell ref="U20:V20"/>
    <mergeCell ref="W20:X20"/>
    <mergeCell ref="Y20:Z20"/>
    <mergeCell ref="B20:G20"/>
    <mergeCell ref="H20:L20"/>
    <mergeCell ref="M20:N20"/>
    <mergeCell ref="O20:P20"/>
    <mergeCell ref="Q20:R20"/>
    <mergeCell ref="S20:T20"/>
    <mergeCell ref="U22:V22"/>
    <mergeCell ref="W22:X22"/>
    <mergeCell ref="AI18:AO18"/>
    <mergeCell ref="B19:G19"/>
    <mergeCell ref="H19:L19"/>
    <mergeCell ref="M19:N19"/>
    <mergeCell ref="O19:P19"/>
    <mergeCell ref="Q19:R19"/>
    <mergeCell ref="S19:T19"/>
    <mergeCell ref="AN19:AO19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K12"/>
    <mergeCell ref="B13:E13"/>
    <mergeCell ref="F13:I13"/>
    <mergeCell ref="J13:K13"/>
    <mergeCell ref="O17:AF17"/>
    <mergeCell ref="B9:E9"/>
    <mergeCell ref="F9:K9"/>
    <mergeCell ref="B10:E10"/>
    <mergeCell ref="F10:K10"/>
    <mergeCell ref="B11:E11"/>
    <mergeCell ref="F11:K11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AY24:AY29 AY37:AY40 BH35:BH40 BH42:BH47 BH72:BH77 AY31:AY35 BH49:BH57 AY15:AY22 AY54:AY57 BH30:BH33 BH63:BH70 BH79:BH92 BH5:BH22 AY5:AY13 AZ6:AZ82 BH118:BI122 AZ118:AZ122 AY105:AZ112 BH112 BI6:BI112">
    <cfRule type="cellIs" dxfId="196" priority="85" stopIfTrue="1" operator="equal">
      <formula>0</formula>
    </cfRule>
  </conditionalFormatting>
  <conditionalFormatting sqref="AY50:AY53 AY63 AY42:AY43 AY47 AY65 AY45">
    <cfRule type="cellIs" dxfId="195" priority="83" stopIfTrue="1" operator="equal">
      <formula>0</formula>
    </cfRule>
  </conditionalFormatting>
  <conditionalFormatting sqref="O17:AF17 S19:T19 S20:AD20 W22:AD22 S27:T27 S28:AD28 S30:AD30">
    <cfRule type="expression" dxfId="194" priority="84" stopIfTrue="1">
      <formula>$AW$4=0</formula>
    </cfRule>
  </conditionalFormatting>
  <conditionalFormatting sqref="AY72 AY78:AY79">
    <cfRule type="cellIs" dxfId="193" priority="82" stopIfTrue="1" operator="equal">
      <formula>0</formula>
    </cfRule>
  </conditionalFormatting>
  <conditionalFormatting sqref="AY80">
    <cfRule type="cellIs" dxfId="192" priority="81" stopIfTrue="1" operator="equal">
      <formula>0</formula>
    </cfRule>
  </conditionalFormatting>
  <conditionalFormatting sqref="AY60:AY61">
    <cfRule type="cellIs" dxfId="191" priority="70" stopIfTrue="1" operator="equal">
      <formula>0</formula>
    </cfRule>
  </conditionalFormatting>
  <conditionalFormatting sqref="AY48:AY49">
    <cfRule type="cellIs" dxfId="190" priority="79" stopIfTrue="1" operator="equal">
      <formula>0</formula>
    </cfRule>
  </conditionalFormatting>
  <conditionalFormatting sqref="AY59">
    <cfRule type="cellIs" dxfId="189" priority="78" stopIfTrue="1" operator="equal">
      <formula>0</formula>
    </cfRule>
  </conditionalFormatting>
  <conditionalFormatting sqref="AY67:AY69">
    <cfRule type="cellIs" dxfId="188" priority="77" stopIfTrue="1" operator="equal">
      <formula>0</formula>
    </cfRule>
  </conditionalFormatting>
  <conditionalFormatting sqref="AY70">
    <cfRule type="cellIs" dxfId="187" priority="76" stopIfTrue="1" operator="equal">
      <formula>0</formula>
    </cfRule>
  </conditionalFormatting>
  <conditionalFormatting sqref="AY71">
    <cfRule type="cellIs" dxfId="186" priority="75" stopIfTrue="1" operator="equal">
      <formula>0</formula>
    </cfRule>
  </conditionalFormatting>
  <conditionalFormatting sqref="AY81:AY82">
    <cfRule type="cellIs" dxfId="185" priority="74" stopIfTrue="1" operator="equal">
      <formula>0</formula>
    </cfRule>
  </conditionalFormatting>
  <conditionalFormatting sqref="BH94:BH96 BH98">
    <cfRule type="cellIs" dxfId="184" priority="73" stopIfTrue="1" operator="equal">
      <formula>0</formula>
    </cfRule>
  </conditionalFormatting>
  <conditionalFormatting sqref="AY118:AY122">
    <cfRule type="cellIs" dxfId="183" priority="71" stopIfTrue="1" operator="equal">
      <formula>0</formula>
    </cfRule>
  </conditionalFormatting>
  <conditionalFormatting sqref="BH99:BH101">
    <cfRule type="cellIs" dxfId="182" priority="69" stopIfTrue="1" operator="equal">
      <formula>0</formula>
    </cfRule>
  </conditionalFormatting>
  <conditionalFormatting sqref="AY14">
    <cfRule type="cellIs" dxfId="181" priority="68" stopIfTrue="1" operator="equal">
      <formula>0</formula>
    </cfRule>
  </conditionalFormatting>
  <conditionalFormatting sqref="AY23">
    <cfRule type="cellIs" dxfId="180" priority="67" stopIfTrue="1" operator="equal">
      <formula>0</formula>
    </cfRule>
  </conditionalFormatting>
  <conditionalFormatting sqref="AY36">
    <cfRule type="cellIs" dxfId="179" priority="66" stopIfTrue="1" operator="equal">
      <formula>0</formula>
    </cfRule>
  </conditionalFormatting>
  <conditionalFormatting sqref="AY41">
    <cfRule type="cellIs" dxfId="178" priority="65" stopIfTrue="1" operator="equal">
      <formula>0</formula>
    </cfRule>
  </conditionalFormatting>
  <conditionalFormatting sqref="AY46">
    <cfRule type="cellIs" dxfId="177" priority="64" stopIfTrue="1" operator="equal">
      <formula>0</formula>
    </cfRule>
  </conditionalFormatting>
  <conditionalFormatting sqref="AY58">
    <cfRule type="cellIs" dxfId="176" priority="63" stopIfTrue="1" operator="equal">
      <formula>0</formula>
    </cfRule>
  </conditionalFormatting>
  <conditionalFormatting sqref="AY62">
    <cfRule type="cellIs" dxfId="175" priority="62" stopIfTrue="1" operator="equal">
      <formula>0</formula>
    </cfRule>
  </conditionalFormatting>
  <conditionalFormatting sqref="AY64">
    <cfRule type="cellIs" dxfId="174" priority="61" stopIfTrue="1" operator="equal">
      <formula>0</formula>
    </cfRule>
  </conditionalFormatting>
  <conditionalFormatting sqref="AY66">
    <cfRule type="cellIs" dxfId="173" priority="60" stopIfTrue="1" operator="equal">
      <formula>0</formula>
    </cfRule>
  </conditionalFormatting>
  <conditionalFormatting sqref="AY73:AY77">
    <cfRule type="cellIs" dxfId="172" priority="59" stopIfTrue="1" operator="equal">
      <formula>0</formula>
    </cfRule>
  </conditionalFormatting>
  <conditionalFormatting sqref="F13:K13">
    <cfRule type="expression" dxfId="171" priority="58" stopIfTrue="1">
      <formula>$AW$4=1</formula>
    </cfRule>
  </conditionalFormatting>
  <conditionalFormatting sqref="BH23:BH26">
    <cfRule type="cellIs" dxfId="170" priority="57" stopIfTrue="1" operator="equal">
      <formula>0</formula>
    </cfRule>
  </conditionalFormatting>
  <conditionalFormatting sqref="BH27">
    <cfRule type="cellIs" dxfId="169" priority="56" stopIfTrue="1" operator="equal">
      <formula>0</formula>
    </cfRule>
  </conditionalFormatting>
  <conditionalFormatting sqref="BH28">
    <cfRule type="cellIs" dxfId="168" priority="55" stopIfTrue="1" operator="equal">
      <formula>0</formula>
    </cfRule>
  </conditionalFormatting>
  <conditionalFormatting sqref="BH29">
    <cfRule type="cellIs" dxfId="167" priority="54" stopIfTrue="1" operator="equal">
      <formula>0</formula>
    </cfRule>
  </conditionalFormatting>
  <conditionalFormatting sqref="BH34">
    <cfRule type="cellIs" dxfId="166" priority="53" stopIfTrue="1" operator="equal">
      <formula>0</formula>
    </cfRule>
  </conditionalFormatting>
  <conditionalFormatting sqref="BH41">
    <cfRule type="cellIs" dxfId="165" priority="52" stopIfTrue="1" operator="equal">
      <formula>0</formula>
    </cfRule>
  </conditionalFormatting>
  <conditionalFormatting sqref="BH58">
    <cfRule type="cellIs" dxfId="164" priority="51" stopIfTrue="1" operator="equal">
      <formula>0</formula>
    </cfRule>
  </conditionalFormatting>
  <conditionalFormatting sqref="BH59:BH62">
    <cfRule type="cellIs" dxfId="163" priority="50" stopIfTrue="1" operator="equal">
      <formula>0</formula>
    </cfRule>
  </conditionalFormatting>
  <conditionalFormatting sqref="BH71">
    <cfRule type="cellIs" dxfId="162" priority="49" stopIfTrue="1" operator="equal">
      <formula>0</formula>
    </cfRule>
  </conditionalFormatting>
  <conditionalFormatting sqref="BH78">
    <cfRule type="cellIs" dxfId="161" priority="48" stopIfTrue="1" operator="equal">
      <formula>0</formula>
    </cfRule>
  </conditionalFormatting>
  <conditionalFormatting sqref="BH93">
    <cfRule type="cellIs" dxfId="160" priority="47" stopIfTrue="1" operator="equal">
      <formula>0</formula>
    </cfRule>
  </conditionalFormatting>
  <conditionalFormatting sqref="BH97">
    <cfRule type="cellIs" dxfId="159" priority="46" stopIfTrue="1" operator="equal">
      <formula>0</formula>
    </cfRule>
  </conditionalFormatting>
  <conditionalFormatting sqref="AE22:AF22">
    <cfRule type="expression" dxfId="158" priority="44" stopIfTrue="1">
      <formula>$AW$4=0</formula>
    </cfRule>
  </conditionalFormatting>
  <conditionalFormatting sqref="AY44">
    <cfRule type="cellIs" dxfId="157" priority="41" stopIfTrue="1" operator="equal">
      <formula>0</formula>
    </cfRule>
  </conditionalFormatting>
  <conditionalFormatting sqref="AY30">
    <cfRule type="cellIs" dxfId="156" priority="43" stopIfTrue="1" operator="equal">
      <formula>0</formula>
    </cfRule>
  </conditionalFormatting>
  <conditionalFormatting sqref="BH48">
    <cfRule type="cellIs" dxfId="155" priority="42" stopIfTrue="1" operator="equal">
      <formula>0</formula>
    </cfRule>
  </conditionalFormatting>
  <conditionalFormatting sqref="AZ5">
    <cfRule type="cellIs" dxfId="154" priority="40" stopIfTrue="1" operator="equal">
      <formula>0</formula>
    </cfRule>
  </conditionalFormatting>
  <conditionalFormatting sqref="BI5">
    <cfRule type="cellIs" dxfId="153" priority="39" stopIfTrue="1" operator="equal">
      <formula>0</formula>
    </cfRule>
  </conditionalFormatting>
  <conditionalFormatting sqref="AY83:AY84">
    <cfRule type="cellIs" dxfId="152" priority="19" stopIfTrue="1" operator="equal">
      <formula>0</formula>
    </cfRule>
  </conditionalFormatting>
  <conditionalFormatting sqref="AY85:AY89">
    <cfRule type="cellIs" dxfId="151" priority="18" stopIfTrue="1" operator="equal">
      <formula>0</formula>
    </cfRule>
  </conditionalFormatting>
  <conditionalFormatting sqref="AY90:AY92">
    <cfRule type="cellIs" dxfId="150" priority="17" stopIfTrue="1" operator="equal">
      <formula>0</formula>
    </cfRule>
  </conditionalFormatting>
  <conditionalFormatting sqref="AZ83:AZ104">
    <cfRule type="cellIs" dxfId="149" priority="16" stopIfTrue="1" operator="equal">
      <formula>0</formula>
    </cfRule>
  </conditionalFormatting>
  <conditionalFormatting sqref="BH102">
    <cfRule type="cellIs" dxfId="148" priority="15" stopIfTrue="1" operator="equal">
      <formula>0</formula>
    </cfRule>
  </conditionalFormatting>
  <conditionalFormatting sqref="AY103:AY104">
    <cfRule type="cellIs" dxfId="147" priority="22" stopIfTrue="1" operator="equal">
      <formula>0</formula>
    </cfRule>
  </conditionalFormatting>
  <conditionalFormatting sqref="AY102">
    <cfRule type="cellIs" dxfId="146" priority="21" stopIfTrue="1" operator="equal">
      <formula>0</formula>
    </cfRule>
  </conditionalFormatting>
  <conditionalFormatting sqref="AY96:AY101">
    <cfRule type="cellIs" dxfId="145" priority="20" stopIfTrue="1" operator="equal">
      <formula>0</formula>
    </cfRule>
  </conditionalFormatting>
  <conditionalFormatting sqref="AR87">
    <cfRule type="expression" dxfId="144" priority="25" stopIfTrue="1">
      <formula>$AU$95=AU97</formula>
    </cfRule>
  </conditionalFormatting>
  <conditionalFormatting sqref="V87:AC92">
    <cfRule type="expression" dxfId="143" priority="24" stopIfTrue="1">
      <formula>OR($AU$97=0,$AU$97=$AU$95)</formula>
    </cfRule>
  </conditionalFormatting>
  <conditionalFormatting sqref="AY93:AY95">
    <cfRule type="cellIs" dxfId="142" priority="23" stopIfTrue="1" operator="equal">
      <formula>0</formula>
    </cfRule>
  </conditionalFormatting>
  <conditionalFormatting sqref="BH103:BH111">
    <cfRule type="cellIs" dxfId="141" priority="9" stopIfTrue="1" operator="equal">
      <formula>0</formula>
    </cfRule>
  </conditionalFormatting>
  <conditionalFormatting sqref="AZ113:AZ117">
    <cfRule type="cellIs" dxfId="140" priority="7" stopIfTrue="1" operator="equal">
      <formula>0</formula>
    </cfRule>
  </conditionalFormatting>
  <conditionalFormatting sqref="AY113:AY117">
    <cfRule type="cellIs" dxfId="139" priority="6" stopIfTrue="1" operator="equal">
      <formula>0</formula>
    </cfRule>
  </conditionalFormatting>
  <conditionalFormatting sqref="BH113 BH116:BH117">
    <cfRule type="cellIs" dxfId="138" priority="5" stopIfTrue="1" operator="equal">
      <formula>0</formula>
    </cfRule>
  </conditionalFormatting>
  <conditionalFormatting sqref="BI113:BI117">
    <cfRule type="cellIs" dxfId="137" priority="4" stopIfTrue="1" operator="equal">
      <formula>0</formula>
    </cfRule>
  </conditionalFormatting>
  <conditionalFormatting sqref="BH114:BH115">
    <cfRule type="cellIs" dxfId="136" priority="3" stopIfTrue="1" operator="equal">
      <formula>0</formula>
    </cfRule>
  </conditionalFormatting>
  <conditionalFormatting sqref="AI17:AO17">
    <cfRule type="expression" dxfId="135" priority="2" stopIfTrue="1">
      <formula>$AW$4=0</formula>
    </cfRule>
  </conditionalFormatting>
  <conditionalFormatting sqref="AI25:AO25">
    <cfRule type="expression" dxfId="134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  <hyperlink ref="AK9:AO10" location="'IT70(vn100)'!A66" display="'IT70(vn100)'!A66"/>
    <hyperlink ref="AK9:AP10" location="'AVT187In(vn-S)'!A66" display="'AVT187In(vn-S)'!A66"/>
    <hyperlink ref="M69" location="MENU!A1" display="MENU!A1"/>
    <hyperlink ref="B67:E67" location="'AVT187In(vn-S)'!A1" display="'AVT187In(vn-S)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9" tint="-0.249977111117893"/>
  </sheetPr>
  <dimension ref="A1:BK117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SUM(BB5:BB974)</f>
        <v>0</v>
      </c>
      <c r="BD4" s="105" t="s">
        <v>40</v>
      </c>
      <c r="BK4" s="444">
        <f>SUM(BK5:BK967)</f>
        <v>0</v>
      </c>
    </row>
    <row r="5" spans="1:63" ht="14.4" customHeight="1">
      <c r="AU5" s="441">
        <f>OBJ!B39</f>
        <v>9255244</v>
      </c>
      <c r="AV5" s="23" t="str">
        <f>VLOOKUP(AU5,CENY!$B$11:$G$1034,2,FALSE)</f>
        <v>AVANTECH YOU BOKY V SADĚ V101 MM NL270 MM STŘÍBRNÁ</v>
      </c>
      <c r="AW5" s="24">
        <f>VLOOKUP(AU5,CENY!$B$11:$G$1034,3,FALSE)</f>
        <v>1</v>
      </c>
      <c r="AX5" s="499">
        <v>4</v>
      </c>
      <c r="AY5" s="25">
        <f>O19+O25</f>
        <v>0</v>
      </c>
      <c r="AZ5" s="451">
        <f>IF(AY5="","",IF($AW$4=1,AY5,0))</f>
        <v>0</v>
      </c>
      <c r="BA5" s="107">
        <f>VLOOKUP(AU5,CENY!$B$11:$M$2005,12,FALSE)</f>
        <v>561.98</v>
      </c>
      <c r="BB5" s="107">
        <f t="shared" ref="BB5:BB58" si="0">IF(BA5="","",BA5*AY5)</f>
        <v>0</v>
      </c>
      <c r="BD5" s="441">
        <f>OBJ!B50</f>
        <v>9255008</v>
      </c>
      <c r="BE5" s="23" t="str">
        <f>VLOOKUP(BD5,CENY!$B$11:$G$1034,2,FALSE)</f>
        <v>AVANTECH YOU BOK V101 MM NL270 MM STŘÍBRNÝ LEVÝ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177.84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497</v>
      </c>
      <c r="G6" s="554"/>
      <c r="H6" s="554"/>
      <c r="I6" s="554"/>
      <c r="J6" s="554"/>
      <c r="K6" s="554"/>
      <c r="AU6" s="441">
        <f>OBJ!B40</f>
        <v>9255245</v>
      </c>
      <c r="AV6" s="23" t="str">
        <f>VLOOKUP(AU6,CENY!$B$11:$G$1034,2,FALSE)</f>
        <v>AVANTECH YOU BOKY V SADĚ V101 MM NL300 MM STŘÍBRNÁ</v>
      </c>
      <c r="AW6" s="24">
        <f>VLOOKUP(AU6,CENY!$B$11:$G$1034,3,FALSE)</f>
        <v>1</v>
      </c>
      <c r="AX6" s="499">
        <v>4</v>
      </c>
      <c r="AY6" s="25">
        <f>Q19+Q25</f>
        <v>0</v>
      </c>
      <c r="AZ6" s="451">
        <f t="shared" ref="AZ6:AZ55" si="1">IF(AY6="","",IF($AW$4=1,AY6,0))</f>
        <v>0</v>
      </c>
      <c r="BA6" s="107">
        <f>VLOOKUP(AU6,CENY!$B$11:$M$2005,12,FALSE)</f>
        <v>566.15</v>
      </c>
      <c r="BB6" s="107">
        <f t="shared" si="0"/>
        <v>0</v>
      </c>
      <c r="BD6" s="441">
        <f>OBJ!B51</f>
        <v>9255009</v>
      </c>
      <c r="BE6" s="23" t="str">
        <f>VLOOKUP(BD6,CENY!$B$11:$G$1034,2,FALSE)</f>
        <v>AVANTECH YOU BOK V101 MM NL270 MM STŘÍBRNÝ PRAVÝ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82" si="2">IF(BH6="","",IF($AW$4=0,BH6,0))</f>
        <v>0</v>
      </c>
      <c r="BJ6" s="107">
        <f>VLOOKUP(BD6,CENY!$B$11:$M$2005,12,FALSE)</f>
        <v>177.84</v>
      </c>
      <c r="BK6" s="107">
        <f t="shared" ref="BK6:BK82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OBJ!B41</f>
        <v>9255246</v>
      </c>
      <c r="AV7" s="23" t="str">
        <f>VLOOKUP(AU7,CENY!$B$11:$G$1034,2,FALSE)</f>
        <v>AVANTECH YOU BOKY V SADĚ V101 MM NL350 MM STŘÍBRNÁ</v>
      </c>
      <c r="AW7" s="24">
        <f>VLOOKUP(AU7,CENY!$B$11:$G$1034,3,FALSE)</f>
        <v>1</v>
      </c>
      <c r="AX7" s="499">
        <v>6</v>
      </c>
      <c r="AY7" s="25">
        <f>S19+S25</f>
        <v>0</v>
      </c>
      <c r="AZ7" s="451">
        <f t="shared" si="1"/>
        <v>0</v>
      </c>
      <c r="BA7" s="107">
        <f>VLOOKUP(AU7,CENY!$B$11:$M$2005,12,FALSE)</f>
        <v>573.11</v>
      </c>
      <c r="BB7" s="107">
        <f t="shared" si="0"/>
        <v>0</v>
      </c>
      <c r="BD7" s="441">
        <f>OBJ!B52</f>
        <v>9255010</v>
      </c>
      <c r="BE7" s="23" t="str">
        <f>VLOOKUP(BD7,CENY!$B$11:$G$1034,2,FALSE)</f>
        <v>AVANTECH YOU BOK V101 MM NL300 MM STŘÍBRNÝ LEVÝ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179.82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OBJ!B42</f>
        <v>9255247</v>
      </c>
      <c r="AV8" s="23" t="str">
        <f>VLOOKUP(AU8,CENY!$B$11:$G$1034,2,FALSE)</f>
        <v>AVANTECH YOU BOKY V SADĚ V101 MM NL400 MM STŘÍBRNÁ</v>
      </c>
      <c r="AW8" s="24">
        <f>VLOOKUP(AU8,CENY!$B$11:$G$1034,3,FALSE)</f>
        <v>1</v>
      </c>
      <c r="AX8" s="499">
        <v>6</v>
      </c>
      <c r="AY8" s="25">
        <f>U19+U25</f>
        <v>0</v>
      </c>
      <c r="AZ8" s="451">
        <f t="shared" si="1"/>
        <v>0</v>
      </c>
      <c r="BA8" s="107">
        <f>VLOOKUP(AU8,CENY!$B$11:$M$2005,12,FALSE)</f>
        <v>580.07000000000005</v>
      </c>
      <c r="BB8" s="107">
        <f t="shared" si="0"/>
        <v>0</v>
      </c>
      <c r="BD8" s="441">
        <f>OBJ!B53</f>
        <v>9255011</v>
      </c>
      <c r="BE8" s="23" t="str">
        <f>VLOOKUP(BD8,CENY!$B$11:$G$1034,2,FALSE)</f>
        <v>AVANTECH YOU BOK V101 MM NL300 MM STŘÍBRNÝ PRAVÝ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179.82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OBJ!B43</f>
        <v>9255248</v>
      </c>
      <c r="AV9" s="23" t="str">
        <f>VLOOKUP(AU9,CENY!$B$11:$G$1034,2,FALSE)</f>
        <v>AVANTECH YOU BOKY V SADĚ V101 MM NL450 MM STŘÍBRNÁ</v>
      </c>
      <c r="AW9" s="24">
        <f>VLOOKUP(AU9,CENY!$B$11:$G$1034,3,FALSE)</f>
        <v>1</v>
      </c>
      <c r="AX9" s="499">
        <v>6</v>
      </c>
      <c r="AY9" s="25">
        <f>W19+W20+W25</f>
        <v>0</v>
      </c>
      <c r="AZ9" s="451">
        <f t="shared" si="1"/>
        <v>0</v>
      </c>
      <c r="BA9" s="107">
        <f>VLOOKUP(AU9,CENY!$B$11:$M$2005,12,FALSE)</f>
        <v>587.04</v>
      </c>
      <c r="BB9" s="107">
        <f t="shared" si="0"/>
        <v>0</v>
      </c>
      <c r="BD9" s="441">
        <f>OBJ!B54</f>
        <v>9255012</v>
      </c>
      <c r="BE9" s="23" t="str">
        <f>VLOOKUP(BD9,CENY!$B$11:$G$1034,2,FALSE)</f>
        <v>AVANTECH YOU BOK V101 MM NL350 MM STŘÍBRNÝ LEVÝ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183.13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OBJ!B44</f>
        <v>9255249</v>
      </c>
      <c r="AV10" s="23" t="str">
        <f>VLOOKUP(AU10,CENY!$B$11:$G$1034,2,FALSE)</f>
        <v>AVANTECH YOU BOKY V SADĚ V101 MM NL500 MM STŘÍBRNÁ</v>
      </c>
      <c r="AW10" s="24">
        <f>VLOOKUP(AU10,CENY!$B$11:$G$1034,3,FALSE)</f>
        <v>1</v>
      </c>
      <c r="AX10" s="499">
        <v>8</v>
      </c>
      <c r="AY10" s="25">
        <f>Y19+Y20+Y25</f>
        <v>0</v>
      </c>
      <c r="AZ10" s="451">
        <f t="shared" si="1"/>
        <v>0</v>
      </c>
      <c r="BA10" s="107">
        <f>VLOOKUP(AU10,CENY!$B$11:$M$2005,12,FALSE)</f>
        <v>594</v>
      </c>
      <c r="BB10" s="107">
        <f t="shared" si="0"/>
        <v>0</v>
      </c>
      <c r="BD10" s="441">
        <f>OBJ!B55</f>
        <v>9255013</v>
      </c>
      <c r="BE10" s="23" t="str">
        <f>VLOOKUP(BD10,CENY!$B$11:$G$1034,2,FALSE)</f>
        <v>AVANTECH YOU BOK V101 MM NL350 MM STŘÍBRNÝ PRAVÝ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183.13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OBJ!B45</f>
        <v>9255250</v>
      </c>
      <c r="AV11" s="23" t="str">
        <f>VLOOKUP(AU11,CENY!$B$11:$G$1034,2,FALSE)</f>
        <v>AVANTECH YOU BOKY V SADĚ V101 MM NL550 MM STŘÍBRNÁ</v>
      </c>
      <c r="AW11" s="24">
        <f>VLOOKUP(AU11,CENY!$B$11:$G$1034,3,FALSE)</f>
        <v>1</v>
      </c>
      <c r="AX11" s="499">
        <v>8</v>
      </c>
      <c r="AY11" s="25">
        <f>AA19+AA20+AA25</f>
        <v>0</v>
      </c>
      <c r="AZ11" s="451">
        <f t="shared" si="1"/>
        <v>0</v>
      </c>
      <c r="BA11" s="107">
        <f>VLOOKUP(AU11,CENY!$B$11:$M$2005,12,FALSE)</f>
        <v>600.96</v>
      </c>
      <c r="BB11" s="107">
        <f t="shared" si="0"/>
        <v>0</v>
      </c>
      <c r="BD11" s="441">
        <f>OBJ!B56</f>
        <v>9255014</v>
      </c>
      <c r="BE11" s="23" t="str">
        <f>VLOOKUP(BD11,CENY!$B$11:$G$1034,2,FALSE)</f>
        <v>AVANTECH YOU BOK V101 MM NL400 MM STŘÍBRNÝ LEVÝ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186.44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OBJ!B46</f>
        <v>9255251</v>
      </c>
      <c r="AV12" s="23" t="str">
        <f>VLOOKUP(AU12,CENY!$B$11:$G$1034,2,FALSE)</f>
        <v>AVANTECH YOU BOKY V SADĚ V101 MM NL600 MM STŘÍBRNÁ</v>
      </c>
      <c r="AW12" s="24">
        <f>VLOOKUP(AU12,CENY!$B$11:$G$1034,3,FALSE)</f>
        <v>1</v>
      </c>
      <c r="AX12" s="499">
        <v>8</v>
      </c>
      <c r="AY12" s="25">
        <f>AC19+AC20+AC25</f>
        <v>0</v>
      </c>
      <c r="AZ12" s="451">
        <f t="shared" si="1"/>
        <v>0</v>
      </c>
      <c r="BA12" s="107">
        <f>VLOOKUP(AU12,CENY!$B$11:$M$2005,12,FALSE)</f>
        <v>611.46</v>
      </c>
      <c r="BB12" s="107">
        <f t="shared" si="0"/>
        <v>0</v>
      </c>
      <c r="BD12" s="441">
        <f>OBJ!B57</f>
        <v>9255015</v>
      </c>
      <c r="BE12" s="23" t="str">
        <f>VLOOKUP(BD12,CENY!$B$11:$G$1034,2,FALSE)</f>
        <v>AVANTECH YOU BOK V101 MM NL400 MM STŘÍBRNÝ PRAVÝ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186.44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OBJ!B47</f>
        <v>9255252</v>
      </c>
      <c r="AV13" s="23" t="str">
        <f>VLOOKUP(AU13,CENY!$B$11:$G$1034,2,FALSE)</f>
        <v>AVANTECH YOU BOKY V SADĚ V101 MM NL650 MM STŘÍBRNÁ</v>
      </c>
      <c r="AW13" s="24">
        <f>VLOOKUP(AU13,CENY!$B$11:$G$1034,3,FALSE)</f>
        <v>1</v>
      </c>
      <c r="AX13" s="499">
        <v>10</v>
      </c>
      <c r="AY13" s="25">
        <f>AE20</f>
        <v>0</v>
      </c>
      <c r="AZ13" s="451">
        <f t="shared" si="1"/>
        <v>0</v>
      </c>
      <c r="BA13" s="107">
        <f>VLOOKUP(AU13,CENY!$B$11:$M$2005,12,FALSE)</f>
        <v>625.73</v>
      </c>
      <c r="BB13" s="107">
        <f t="shared" si="0"/>
        <v>0</v>
      </c>
      <c r="BD13" s="441">
        <f>OBJ!B58</f>
        <v>9255016</v>
      </c>
      <c r="BE13" s="23" t="str">
        <f>VLOOKUP(BD13,CENY!$B$11:$G$1034,2,FALSE)</f>
        <v>AVANTECH YOU BOK V101 MM NL450 MM STŘÍBRNÝ LEVÝ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189.75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OBJ!B59</f>
        <v>9255017</v>
      </c>
      <c r="BE14" s="23" t="str">
        <f>VLOOKUP(BD14,CENY!$B$11:$G$1034,2,FALSE)</f>
        <v>AVANTECH YOU BOK V101 MM NL450 MM STŘÍBRNÝ PRAVÝ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189.75</v>
      </c>
      <c r="BK14" s="107">
        <f t="shared" si="3"/>
        <v>0</v>
      </c>
    </row>
    <row r="15" spans="1:63" ht="14.4" customHeight="1">
      <c r="AU15" s="441">
        <f>OBJ!B106</f>
        <v>9255262</v>
      </c>
      <c r="AV15" s="23" t="str">
        <f>VLOOKUP(AU15,CENY!$B$11:$G$1034,2,FALSE)</f>
        <v>AVANTECH YOU BOKY V SADĚ V187 MM NL270 MM STŘÍBRNÁ</v>
      </c>
      <c r="AW15" s="24">
        <f>VLOOKUP(AU15,CENY!$B$11:$G$1034,3,FALSE)</f>
        <v>1</v>
      </c>
      <c r="AX15" s="499">
        <v>4</v>
      </c>
      <c r="AY15" s="25">
        <f t="shared" ref="AY15:AY23" si="4">AY5</f>
        <v>0</v>
      </c>
      <c r="AZ15" s="451">
        <f t="shared" si="1"/>
        <v>0</v>
      </c>
      <c r="BA15" s="107">
        <f>VLOOKUP(AU15,CENY!$B$11:$M$2005,12,FALSE)</f>
        <v>847.2</v>
      </c>
      <c r="BB15" s="107">
        <f t="shared" si="0"/>
        <v>0</v>
      </c>
      <c r="BD15" s="441">
        <f>OBJ!B60</f>
        <v>9255018</v>
      </c>
      <c r="BE15" s="23" t="str">
        <f>VLOOKUP(BD15,CENY!$B$11:$G$1034,2,FALSE)</f>
        <v>AVANTECH YOU BOK V101 MM NL500 MM STŘÍBRNÝ LEVÝ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193.06</v>
      </c>
      <c r="BK15" s="107">
        <f t="shared" si="3"/>
        <v>0</v>
      </c>
    </row>
    <row r="16" spans="1:63" ht="14.4" customHeight="1">
      <c r="AU16" s="441">
        <f>OBJ!B107</f>
        <v>9255263</v>
      </c>
      <c r="AV16" s="23" t="str">
        <f>VLOOKUP(AU16,CENY!$B$11:$G$1034,2,FALSE)</f>
        <v>AVANTECH YOU BOKY V SADĚ V187 MM NL300 MM STŘÍBRNÁ</v>
      </c>
      <c r="AW16" s="24">
        <f>VLOOKUP(AU16,CENY!$B$11:$G$1034,3,FALSE)</f>
        <v>1</v>
      </c>
      <c r="AX16" s="499">
        <v>4</v>
      </c>
      <c r="AY16" s="25">
        <f t="shared" si="4"/>
        <v>0</v>
      </c>
      <c r="AZ16" s="451">
        <f t="shared" si="1"/>
        <v>0</v>
      </c>
      <c r="BA16" s="107">
        <f>VLOOKUP(AU16,CENY!$B$11:$M$2005,12,FALSE)</f>
        <v>853.97</v>
      </c>
      <c r="BB16" s="107">
        <f t="shared" si="0"/>
        <v>0</v>
      </c>
      <c r="BD16" s="441">
        <f>OBJ!B61</f>
        <v>9255019</v>
      </c>
      <c r="BE16" s="23" t="str">
        <f>VLOOKUP(BD16,CENY!$B$11:$G$1034,2,FALSE)</f>
        <v>AVANTECH YOU BOK V101 MM NL500 MM STŘÍBRNÝ PRAVÝ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193.06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OBJ!B108</f>
        <v>9255264</v>
      </c>
      <c r="AV17" s="23" t="str">
        <f>VLOOKUP(AU17,CENY!$B$11:$G$1034,2,FALSE)</f>
        <v>AVANTECH YOU BOKY V SADĚ V187 MM NL350 MM STŘÍBRNÁ</v>
      </c>
      <c r="AW17" s="24">
        <f>VLOOKUP(AU17,CENY!$B$11:$G$1034,3,FALSE)</f>
        <v>1</v>
      </c>
      <c r="AX17" s="499">
        <v>6</v>
      </c>
      <c r="AY17" s="25">
        <f t="shared" si="4"/>
        <v>0</v>
      </c>
      <c r="AZ17" s="451">
        <f t="shared" si="1"/>
        <v>0</v>
      </c>
      <c r="BA17" s="107">
        <f>VLOOKUP(AU17,CENY!$B$11:$M$2005,12,FALSE)</f>
        <v>865.25</v>
      </c>
      <c r="BB17" s="107">
        <f t="shared" si="0"/>
        <v>0</v>
      </c>
      <c r="BD17" s="441">
        <f>OBJ!B62</f>
        <v>9255020</v>
      </c>
      <c r="BE17" s="23" t="str">
        <f>VLOOKUP(BD17,CENY!$B$11:$G$1034,2,FALSE)</f>
        <v>AVANTECH YOU BOK V101 MM NL550 MM STŘÍBRNÝ LEVÝ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196.37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OBJ!B109</f>
        <v>9255265</v>
      </c>
      <c r="AV18" s="23" t="str">
        <f>VLOOKUP(AU18,CENY!$B$11:$G$1034,2,FALSE)</f>
        <v>AVANTECH YOU BOKY V SADĚ V187 MM NL400 MM STŘÍBRNÁ</v>
      </c>
      <c r="AW18" s="24">
        <f>VLOOKUP(AU18,CENY!$B$11:$G$1034,3,FALSE)</f>
        <v>1</v>
      </c>
      <c r="AX18" s="499">
        <v>6</v>
      </c>
      <c r="AY18" s="25">
        <f t="shared" si="4"/>
        <v>0</v>
      </c>
      <c r="AZ18" s="451">
        <f t="shared" si="1"/>
        <v>0</v>
      </c>
      <c r="BA18" s="107">
        <f>VLOOKUP(AU18,CENY!$B$11:$M$2005,12,FALSE)</f>
        <v>876.53</v>
      </c>
      <c r="BB18" s="107">
        <f t="shared" si="0"/>
        <v>0</v>
      </c>
      <c r="BD18" s="441">
        <f>OBJ!B63</f>
        <v>9255021</v>
      </c>
      <c r="BE18" s="23" t="str">
        <f>VLOOKUP(BD18,CENY!$B$11:$G$1034,2,FALSE)</f>
        <v>AVANTECH YOU BOK V101 MM NL550 MM STŘÍBRNÝ PRAVÝ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196.37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617"/>
      <c r="P19" s="672"/>
      <c r="Q19" s="673"/>
      <c r="R19" s="618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OBJ!B110</f>
        <v>9255266</v>
      </c>
      <c r="AV19" s="23" t="str">
        <f>VLOOKUP(AU19,CENY!$B$11:$G$1034,2,FALSE)</f>
        <v>AVANTECH YOU BOKY V SADĚ V187 MM NL450 MM STŘÍBRNÁ</v>
      </c>
      <c r="AW19" s="24">
        <f>VLOOKUP(AU19,CENY!$B$11:$G$1034,3,FALSE)</f>
        <v>1</v>
      </c>
      <c r="AX19" s="499">
        <v>6</v>
      </c>
      <c r="AY19" s="25">
        <f t="shared" si="4"/>
        <v>0</v>
      </c>
      <c r="AZ19" s="451">
        <f t="shared" si="1"/>
        <v>0</v>
      </c>
      <c r="BA19" s="107">
        <f>VLOOKUP(AU19,CENY!$B$11:$M$2005,12,FALSE)</f>
        <v>887.81</v>
      </c>
      <c r="BB19" s="107">
        <f t="shared" si="0"/>
        <v>0</v>
      </c>
      <c r="BD19" s="441">
        <f>OBJ!B64</f>
        <v>9255022</v>
      </c>
      <c r="BE19" s="23" t="str">
        <f>VLOOKUP(BD19,CENY!$B$11:$G$1034,2,FALSE)</f>
        <v>AVANTECH YOU BOK V101 MM NL600 MM STŘÍBRNÝ LEVÝ</v>
      </c>
      <c r="BF19" s="24">
        <f>VLOOKUP(BD19,CENY!$B$11:$G$1034,3,FALSE)</f>
        <v>20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201.36</v>
      </c>
      <c r="BK19" s="107">
        <f t="shared" si="3"/>
        <v>0</v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43"/>
      <c r="AF20" s="674"/>
      <c r="AU20" s="441">
        <f>OBJ!B111</f>
        <v>9255267</v>
      </c>
      <c r="AV20" s="23" t="str">
        <f>VLOOKUP(AU20,CENY!$B$11:$G$1034,2,FALSE)</f>
        <v>AVANTECH YOU BOKY V SADĚ V187 MM NL500 MM STŘÍBRNÁ</v>
      </c>
      <c r="AW20" s="24">
        <f>VLOOKUP(AU20,CENY!$B$11:$G$1034,3,FALSE)</f>
        <v>1</v>
      </c>
      <c r="AX20" s="499">
        <v>8</v>
      </c>
      <c r="AY20" s="25">
        <f t="shared" si="4"/>
        <v>0</v>
      </c>
      <c r="AZ20" s="451">
        <f t="shared" si="1"/>
        <v>0</v>
      </c>
      <c r="BA20" s="107">
        <f>VLOOKUP(AU20,CENY!$B$11:$M$2005,12,FALSE)</f>
        <v>899.09</v>
      </c>
      <c r="BB20" s="107">
        <f t="shared" si="0"/>
        <v>0</v>
      </c>
      <c r="BD20" s="441">
        <f>OBJ!B65</f>
        <v>9255023</v>
      </c>
      <c r="BE20" s="23" t="str">
        <f>VLOOKUP(BD20,CENY!$B$11:$G$1034,2,FALSE)</f>
        <v>AVANTECH YOU BOK V101 MM NL600 MM STŘÍBRNÝ PRAVÝ</v>
      </c>
      <c r="BF20" s="24">
        <f>VLOOKUP(BD20,CENY!$B$11:$G$1034,3,FALSE)</f>
        <v>20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201.36</v>
      </c>
      <c r="BK20" s="107">
        <f t="shared" si="3"/>
        <v>0</v>
      </c>
    </row>
    <row r="21" spans="2:63" ht="14.4" customHeight="1">
      <c r="O21" s="4"/>
      <c r="P21" s="4"/>
      <c r="AU21" s="441">
        <f>OBJ!B112</f>
        <v>9255268</v>
      </c>
      <c r="AV21" s="23" t="str">
        <f>VLOOKUP(AU21,CENY!$B$11:$G$1034,2,FALSE)</f>
        <v>AVANTECH YOU BOKY V SADĚ V187 MM NL550 MM STŘÍBRNÁ</v>
      </c>
      <c r="AW21" s="24">
        <f>VLOOKUP(AU21,CENY!$B$11:$G$1034,3,FALSE)</f>
        <v>1</v>
      </c>
      <c r="AX21" s="499">
        <v>8</v>
      </c>
      <c r="AY21" s="25">
        <f t="shared" si="4"/>
        <v>0</v>
      </c>
      <c r="AZ21" s="451">
        <f t="shared" si="1"/>
        <v>0</v>
      </c>
      <c r="BA21" s="107">
        <f>VLOOKUP(AU21,CENY!$B$11:$M$2005,12,FALSE)</f>
        <v>910.37</v>
      </c>
      <c r="BB21" s="107">
        <f t="shared" si="0"/>
        <v>0</v>
      </c>
      <c r="BD21" s="441">
        <f>OBJ!B66</f>
        <v>9255024</v>
      </c>
      <c r="BE21" s="23" t="str">
        <f>VLOOKUP(BD21,CENY!$B$11:$G$1034,2,FALSE)</f>
        <v>AVANTECH YOU BOK V101 MM NL650 MM STŘÍBRNÝ LEVÝ</v>
      </c>
      <c r="BF21" s="24">
        <f>VLOOKUP(BD21,CENY!$B$11:$G$1034,3,FALSE)</f>
        <v>20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208.15</v>
      </c>
      <c r="BK21" s="107">
        <f t="shared" si="3"/>
        <v>0</v>
      </c>
    </row>
    <row r="22" spans="2:63" ht="14.4" customHeight="1">
      <c r="AU22" s="441">
        <f>OBJ!B113</f>
        <v>9255269</v>
      </c>
      <c r="AV22" s="23" t="str">
        <f>VLOOKUP(AU22,CENY!$B$11:$G$1034,2,FALSE)</f>
        <v>AVANTECH YOU BOKY V SADĚ V187 MM NL600 MM STŘÍBRNÁ</v>
      </c>
      <c r="AW22" s="24">
        <f>VLOOKUP(AU22,CENY!$B$11:$G$1034,3,FALSE)</f>
        <v>1</v>
      </c>
      <c r="AX22" s="499">
        <v>8</v>
      </c>
      <c r="AY22" s="25">
        <f t="shared" si="4"/>
        <v>0</v>
      </c>
      <c r="AZ22" s="451">
        <f t="shared" si="1"/>
        <v>0</v>
      </c>
      <c r="BA22" s="107">
        <f>VLOOKUP(AU22,CENY!$B$11:$M$2005,12,FALSE)</f>
        <v>927.39</v>
      </c>
      <c r="BB22" s="107">
        <f t="shared" si="0"/>
        <v>0</v>
      </c>
      <c r="BD22" s="441">
        <f>OBJ!B67</f>
        <v>9255025</v>
      </c>
      <c r="BE22" s="23" t="str">
        <f>VLOOKUP(BD22,CENY!$B$11:$G$1034,2,FALSE)</f>
        <v>AVANTECH YOU BOK V101 MM NL650 MM STŘÍBRNÝ PRAVÝ</v>
      </c>
      <c r="BF22" s="24">
        <f>VLOOKUP(BD22,CENY!$B$11:$G$1034,3,FALSE)</f>
        <v>20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208.15</v>
      </c>
      <c r="BK22" s="107">
        <f t="shared" si="3"/>
        <v>0</v>
      </c>
    </row>
    <row r="23" spans="2:63" ht="14.4" customHeight="1" thickBot="1">
      <c r="B23" s="2" t="s">
        <v>391</v>
      </c>
      <c r="AU23" s="441">
        <f>OBJ!B114</f>
        <v>9255270</v>
      </c>
      <c r="AV23" s="23" t="str">
        <f>VLOOKUP(AU23,CENY!$B$11:$G$1034,2,FALSE)</f>
        <v>AVANTECH YOU BOKY V SADĚ V187 MM NL650 MM STŘÍBRNÁ</v>
      </c>
      <c r="AW23" s="24">
        <f>VLOOKUP(AU23,CENY!$B$11:$G$1034,3,FALSE)</f>
        <v>1</v>
      </c>
      <c r="AX23" s="499">
        <v>10</v>
      </c>
      <c r="AY23" s="25">
        <f t="shared" si="4"/>
        <v>0</v>
      </c>
      <c r="AZ23" s="451">
        <f t="shared" si="1"/>
        <v>0</v>
      </c>
      <c r="BA23" s="107">
        <f>VLOOKUP(AU23,CENY!$B$11:$M$2005,12,FALSE)</f>
        <v>950.52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ref="BI23:BI42" si="5">IF(BH23="","",IF($AW$4=0,BH23,0))</f>
        <v/>
      </c>
      <c r="BJ23" s="107"/>
      <c r="BK23" s="107" t="str">
        <f t="shared" ref="BK23:BK42" si="6">IF(BJ23="","",BJ23*BH23)</f>
        <v/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Jmenovitá délka: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OBJ!B116</f>
        <v>9255044</v>
      </c>
      <c r="BE24" s="23" t="str">
        <f>VLOOKUP(BD24,CENY!$B$11:$G$1034,2,FALSE)</f>
        <v>AVANTECH YOU BOK V187 MM NL270 MM STŘÍBRNÝ LEVÝ</v>
      </c>
      <c r="BF24" s="24">
        <f>VLOOKUP(BD24,CENY!$B$11:$G$1034,3,FALSE)</f>
        <v>10</v>
      </c>
      <c r="BG24" s="24"/>
      <c r="BH24" s="25">
        <f>BH5</f>
        <v>0</v>
      </c>
      <c r="BI24" s="451">
        <f t="shared" si="5"/>
        <v>0</v>
      </c>
      <c r="BJ24" s="107">
        <f>VLOOKUP(BD24,CENY!$B$11:$M$2005,12,FALSE)</f>
        <v>293.88</v>
      </c>
      <c r="BK24" s="107">
        <f t="shared" si="6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617"/>
      <c r="P25" s="672"/>
      <c r="Q25" s="673"/>
      <c r="R25" s="672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OBJ!B71</f>
        <v>9255804</v>
      </c>
      <c r="AV25" s="23" t="str">
        <f>VLOOKUP(AU25,CENY!$B$11:$G$1034,2,FALSE)</f>
        <v>AVANTECH YOU DEKORATIVNÍ PROFIL NL270 MM STŘÍBRNÝ</v>
      </c>
      <c r="AW25" s="24">
        <f>VLOOKUP(AU25,CENY!$B$11:$G$1034,3,FALSE)</f>
        <v>200</v>
      </c>
      <c r="AX25" s="24"/>
      <c r="AY25" s="25">
        <f>IF(FORM!AM18=FORM!AU16,0,4*(O19+O25))</f>
        <v>0</v>
      </c>
      <c r="AZ25" s="451">
        <f t="shared" si="1"/>
        <v>0</v>
      </c>
      <c r="BA25" s="107">
        <f>VLOOKUP(AU25,CENY!$B$11:$M$2005,12,FALSE)</f>
        <v>9.18</v>
      </c>
      <c r="BB25" s="107">
        <f t="shared" si="0"/>
        <v>0</v>
      </c>
      <c r="BD25" s="441">
        <f>OBJ!B117</f>
        <v>9255045</v>
      </c>
      <c r="BE25" s="23" t="str">
        <f>VLOOKUP(BD25,CENY!$B$11:$G$1034,2,FALSE)</f>
        <v>AVANTECH YOU BOK V187 MM NL270 MM STŘÍBRNÝ PRAVÝ</v>
      </c>
      <c r="BF25" s="24">
        <f>VLOOKUP(BD25,CENY!$B$11:$G$1034,3,FALSE)</f>
        <v>10</v>
      </c>
      <c r="BG25" s="24"/>
      <c r="BH25" s="25">
        <f t="shared" ref="BH25:BH41" si="7">BH6</f>
        <v>0</v>
      </c>
      <c r="BI25" s="451">
        <f t="shared" si="5"/>
        <v>0</v>
      </c>
      <c r="BJ25" s="107">
        <f>VLOOKUP(BD25,CENY!$B$11:$M$2005,12,FALSE)</f>
        <v>293.88</v>
      </c>
      <c r="BK25" s="107">
        <f t="shared" si="6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OBJ!B72</f>
        <v>9255805</v>
      </c>
      <c r="AV26" s="23" t="str">
        <f>VLOOKUP(AU26,CENY!$B$11:$G$1034,2,FALSE)</f>
        <v>AVANTECH YOU DEKORATIVNÍ PROFIL NL300 MM STŘÍBRNÝ</v>
      </c>
      <c r="AW26" s="24">
        <f>VLOOKUP(AU26,CENY!$B$11:$G$1034,3,FALSE)</f>
        <v>200</v>
      </c>
      <c r="AX26" s="24"/>
      <c r="AY26" s="25">
        <f>IF(FORM!AM18=FORM!AU16,0,4*(Q19+Q25))</f>
        <v>0</v>
      </c>
      <c r="AZ26" s="451">
        <f t="shared" si="1"/>
        <v>0</v>
      </c>
      <c r="BA26" s="107">
        <f>VLOOKUP(AU26,CENY!$B$11:$M$2005,12,FALSE)</f>
        <v>9.2799999999999994</v>
      </c>
      <c r="BB26" s="107">
        <f t="shared" si="0"/>
        <v>0</v>
      </c>
      <c r="BD26" s="441">
        <f>OBJ!B118</f>
        <v>9255046</v>
      </c>
      <c r="BE26" s="23" t="str">
        <f>VLOOKUP(BD26,CENY!$B$11:$G$1034,2,FALSE)</f>
        <v>AVANTECH YOU BOK V187 MM NL300 MM STŘÍBRNÝ LEVÝ</v>
      </c>
      <c r="BF26" s="24">
        <f>VLOOKUP(BD26,CENY!$B$11:$G$1034,3,FALSE)</f>
        <v>10</v>
      </c>
      <c r="BG26" s="24"/>
      <c r="BH26" s="25">
        <f t="shared" si="7"/>
        <v>0</v>
      </c>
      <c r="BI26" s="451">
        <f t="shared" si="5"/>
        <v>0</v>
      </c>
      <c r="BJ26" s="107">
        <f>VLOOKUP(BD26,CENY!$B$11:$M$2005,12,FALSE)</f>
        <v>297.16000000000003</v>
      </c>
      <c r="BK26" s="107">
        <f t="shared" si="6"/>
        <v>0</v>
      </c>
    </row>
    <row r="27" spans="2:63" ht="14.4" customHeight="1">
      <c r="B27" s="505" t="str">
        <f>verze!E201</f>
        <v>SiSy = tlumení Silent System</v>
      </c>
      <c r="AU27" s="441">
        <f>OBJ!B73</f>
        <v>9255806</v>
      </c>
      <c r="AV27" s="23" t="str">
        <f>VLOOKUP(AU27,CENY!$B$11:$G$1034,2,FALSE)</f>
        <v>AVANTECH YOU DEKORATIVNÍ PROFIL NL350 MM STŘÍBRNÝ</v>
      </c>
      <c r="AW27" s="24">
        <f>VLOOKUP(AU27,CENY!$B$11:$G$1034,3,FALSE)</f>
        <v>200</v>
      </c>
      <c r="AX27" s="24"/>
      <c r="AY27" s="25">
        <f>IF(FORM!AM18=FORM!AU16,0,4*(S19+S25))</f>
        <v>0</v>
      </c>
      <c r="AZ27" s="451">
        <f t="shared" si="1"/>
        <v>0</v>
      </c>
      <c r="BA27" s="107">
        <f>VLOOKUP(AU27,CENY!$B$11:$M$2005,12,FALSE)</f>
        <v>9.4499999999999993</v>
      </c>
      <c r="BB27" s="107">
        <f t="shared" si="0"/>
        <v>0</v>
      </c>
      <c r="BD27" s="441">
        <f>OBJ!B119</f>
        <v>9255047</v>
      </c>
      <c r="BE27" s="23" t="str">
        <f>VLOOKUP(BD27,CENY!$B$11:$G$1034,2,FALSE)</f>
        <v>AVANTECH YOU BOK V187 MM NL300 MM STŘÍBRNÝ PRAVÝ</v>
      </c>
      <c r="BF27" s="24">
        <f>VLOOKUP(BD27,CENY!$B$11:$G$1034,3,FALSE)</f>
        <v>10</v>
      </c>
      <c r="BG27" s="24"/>
      <c r="BH27" s="25">
        <f t="shared" si="7"/>
        <v>0</v>
      </c>
      <c r="BI27" s="451">
        <f t="shared" si="5"/>
        <v>0</v>
      </c>
      <c r="BJ27" s="107">
        <f>VLOOKUP(BD27,CENY!$B$11:$M$2005,12,FALSE)</f>
        <v>297.16000000000003</v>
      </c>
      <c r="BK27" s="107">
        <f t="shared" si="6"/>
        <v>0</v>
      </c>
    </row>
    <row r="28" spans="2:63" ht="14.4" customHeight="1">
      <c r="B28" s="505"/>
      <c r="O28" s="476" t="str">
        <f>verze!E189</f>
        <v>Maximální výška korpusu skříňky = 750mm.   Maximální šířka korpusu skříňky = 300mm.</v>
      </c>
      <c r="AU28" s="441">
        <f>OBJ!B74</f>
        <v>9255807</v>
      </c>
      <c r="AV28" s="23" t="str">
        <f>VLOOKUP(AU28,CENY!$B$11:$G$1034,2,FALSE)</f>
        <v>AVANTECH YOU DEKORATIVNÍ PROFIL NL400 MM STŘÍBRNÝ</v>
      </c>
      <c r="AW28" s="24">
        <f>VLOOKUP(AU28,CENY!$B$11:$G$1034,3,FALSE)</f>
        <v>200</v>
      </c>
      <c r="AX28" s="24"/>
      <c r="AY28" s="25">
        <f>IF(FORM!AM18=FORM!AU16,0,4*(U19+U25))</f>
        <v>0</v>
      </c>
      <c r="AZ28" s="451">
        <f t="shared" si="1"/>
        <v>0</v>
      </c>
      <c r="BA28" s="107">
        <f>VLOOKUP(AU28,CENY!$B$11:$M$2005,12,FALSE)</f>
        <v>9.6199999999999992</v>
      </c>
      <c r="BB28" s="107">
        <f t="shared" si="0"/>
        <v>0</v>
      </c>
      <c r="BD28" s="441">
        <f>OBJ!B120</f>
        <v>9255048</v>
      </c>
      <c r="BE28" s="23" t="str">
        <f>VLOOKUP(BD28,CENY!$B$11:$G$1034,2,FALSE)</f>
        <v>AVANTECH YOU BOK V187 MM NL350 MM STŘÍBRNÝ LEVÝ</v>
      </c>
      <c r="BF28" s="24">
        <f>VLOOKUP(BD28,CENY!$B$11:$G$1034,3,FALSE)</f>
        <v>10</v>
      </c>
      <c r="BG28" s="24"/>
      <c r="BH28" s="25">
        <f t="shared" si="7"/>
        <v>0</v>
      </c>
      <c r="BI28" s="451">
        <f t="shared" si="5"/>
        <v>0</v>
      </c>
      <c r="BJ28" s="107">
        <f>VLOOKUP(BD28,CENY!$B$11:$M$2005,12,FALSE)</f>
        <v>302.63</v>
      </c>
      <c r="BK28" s="107">
        <f t="shared" si="6"/>
        <v>0</v>
      </c>
    </row>
    <row r="29" spans="2:63" ht="14.4" customHeight="1">
      <c r="B29" s="505"/>
      <c r="Q29" s="476"/>
      <c r="AU29" s="441">
        <f>OBJ!B75</f>
        <v>9255808</v>
      </c>
      <c r="AV29" s="23" t="str">
        <f>VLOOKUP(AU29,CENY!$B$11:$G$1034,2,FALSE)</f>
        <v>AVANTECH YOU DEKORATIVNÍ PROFIL NL450 MM STŘÍBRNÝ</v>
      </c>
      <c r="AW29" s="24">
        <f>VLOOKUP(AU29,CENY!$B$11:$G$1034,3,FALSE)</f>
        <v>200</v>
      </c>
      <c r="AX29" s="24"/>
      <c r="AY29" s="25">
        <f>IF(FORM!AM18=FORM!AU16,0,4*(W19+W20+W25))</f>
        <v>0</v>
      </c>
      <c r="AZ29" s="451">
        <f t="shared" si="1"/>
        <v>0</v>
      </c>
      <c r="BA29" s="107">
        <f>VLOOKUP(AU29,CENY!$B$11:$M$2005,12,FALSE)</f>
        <v>9.8000000000000007</v>
      </c>
      <c r="BB29" s="107">
        <f t="shared" si="0"/>
        <v>0</v>
      </c>
      <c r="BD29" s="441">
        <f>OBJ!B121</f>
        <v>9255049</v>
      </c>
      <c r="BE29" s="23" t="str">
        <f>VLOOKUP(BD29,CENY!$B$11:$G$1034,2,FALSE)</f>
        <v>AVANTECH YOU BOK V187 MM NL350 MM STŘÍBRNÝ PRAVÝ</v>
      </c>
      <c r="BF29" s="24">
        <f>VLOOKUP(BD29,CENY!$B$11:$G$1034,3,FALSE)</f>
        <v>10</v>
      </c>
      <c r="BG29" s="24"/>
      <c r="BH29" s="25">
        <f t="shared" si="7"/>
        <v>0</v>
      </c>
      <c r="BI29" s="451">
        <f t="shared" si="5"/>
        <v>0</v>
      </c>
      <c r="BJ29" s="107">
        <f>VLOOKUP(BD29,CENY!$B$11:$M$2005,12,FALSE)</f>
        <v>302.63</v>
      </c>
      <c r="BK29" s="107">
        <f t="shared" si="6"/>
        <v>0</v>
      </c>
    </row>
    <row r="30" spans="2:63" ht="14.4" customHeight="1">
      <c r="AU30" s="441">
        <f>OBJ!B76</f>
        <v>9255809</v>
      </c>
      <c r="AV30" s="23" t="str">
        <f>VLOOKUP(AU30,CENY!$B$11:$G$1034,2,FALSE)</f>
        <v>AVANTECH YOU DEKORATIVNÍ PROFIL NL500 MM STŘÍBRNÝ</v>
      </c>
      <c r="AW30" s="24">
        <f>VLOOKUP(AU30,CENY!$B$11:$G$1034,3,FALSE)</f>
        <v>200</v>
      </c>
      <c r="AX30" s="24"/>
      <c r="AY30" s="25">
        <f>IF(FORM!AM18=FORM!AU16,0,4*(Y19+Y20+Y25))</f>
        <v>0</v>
      </c>
      <c r="AZ30" s="451">
        <f t="shared" si="1"/>
        <v>0</v>
      </c>
      <c r="BA30" s="107">
        <f>VLOOKUP(AU30,CENY!$B$11:$M$2005,12,FALSE)</f>
        <v>9.9700000000000006</v>
      </c>
      <c r="BB30" s="107">
        <f t="shared" si="0"/>
        <v>0</v>
      </c>
      <c r="BD30" s="441">
        <f>OBJ!B122</f>
        <v>9255050</v>
      </c>
      <c r="BE30" s="23" t="str">
        <f>VLOOKUP(BD30,CENY!$B$11:$G$1034,2,FALSE)</f>
        <v>AVANTECH YOU BOK V187 MM NL400 MM STŘÍBRNÝ LEVÝ</v>
      </c>
      <c r="BF30" s="24">
        <f>VLOOKUP(BD30,CENY!$B$11:$G$1034,3,FALSE)</f>
        <v>10</v>
      </c>
      <c r="BG30" s="24"/>
      <c r="BH30" s="25">
        <f t="shared" si="7"/>
        <v>0</v>
      </c>
      <c r="BI30" s="451">
        <f t="shared" si="5"/>
        <v>0</v>
      </c>
      <c r="BJ30" s="107">
        <f>VLOOKUP(BD30,CENY!$B$11:$M$2005,12,FALSE)</f>
        <v>308.10000000000002</v>
      </c>
      <c r="BK30" s="107">
        <f t="shared" si="6"/>
        <v>0</v>
      </c>
    </row>
    <row r="31" spans="2:63" ht="14.4" customHeight="1">
      <c r="AU31" s="441">
        <f>OBJ!B77</f>
        <v>9255810</v>
      </c>
      <c r="AV31" s="23" t="str">
        <f>VLOOKUP(AU31,CENY!$B$11:$G$1034,2,FALSE)</f>
        <v>AVANTECH YOU DEKORATIVNÍ PROFIL NL550 MM STŘÍBRNÝ</v>
      </c>
      <c r="AW31" s="24">
        <f>VLOOKUP(AU31,CENY!$B$11:$G$1034,3,FALSE)</f>
        <v>200</v>
      </c>
      <c r="AX31" s="24"/>
      <c r="AY31" s="25">
        <f>IF(FORM!AM18=FORM!AU16,0,4*(AA19+AA20+AA25))</f>
        <v>0</v>
      </c>
      <c r="AZ31" s="451">
        <f t="shared" si="1"/>
        <v>0</v>
      </c>
      <c r="BA31" s="107">
        <f>VLOOKUP(AU31,CENY!$B$11:$M$2005,12,FALSE)</f>
        <v>10.14</v>
      </c>
      <c r="BB31" s="107">
        <f t="shared" si="0"/>
        <v>0</v>
      </c>
      <c r="BD31" s="441">
        <f>OBJ!B123</f>
        <v>9255051</v>
      </c>
      <c r="BE31" s="23" t="str">
        <f>VLOOKUP(BD31,CENY!$B$11:$G$1034,2,FALSE)</f>
        <v>AVANTECH YOU BOK V187 MM NL400 MM STŘÍBRNÝ PRAVÝ</v>
      </c>
      <c r="BF31" s="24">
        <f>VLOOKUP(BD31,CENY!$B$11:$G$1034,3,FALSE)</f>
        <v>10</v>
      </c>
      <c r="BG31" s="24"/>
      <c r="BH31" s="25">
        <f t="shared" si="7"/>
        <v>0</v>
      </c>
      <c r="BI31" s="451">
        <f t="shared" si="5"/>
        <v>0</v>
      </c>
      <c r="BJ31" s="107">
        <f>VLOOKUP(BD31,CENY!$B$11:$M$2005,12,FALSE)</f>
        <v>308.10000000000002</v>
      </c>
      <c r="BK31" s="107">
        <f t="shared" si="6"/>
        <v>0</v>
      </c>
    </row>
    <row r="32" spans="2:63" ht="14.4" customHeight="1">
      <c r="AU32" s="441">
        <f>OBJ!B78</f>
        <v>9255811</v>
      </c>
      <c r="AV32" s="23" t="str">
        <f>VLOOKUP(AU32,CENY!$B$11:$G$1034,2,FALSE)</f>
        <v>AVANTECH YOU DEKORATIVNÍ PROFIL NL600 MM STŘÍBRNÝ</v>
      </c>
      <c r="AW32" s="24">
        <f>VLOOKUP(AU32,CENY!$B$11:$G$1034,3,FALSE)</f>
        <v>200</v>
      </c>
      <c r="AX32" s="24"/>
      <c r="AY32" s="25">
        <f>IF(FORM!AM18=FORM!AU16,0,4*(AC19+AC20+AC25))</f>
        <v>0</v>
      </c>
      <c r="AZ32" s="451">
        <f t="shared" si="1"/>
        <v>0</v>
      </c>
      <c r="BA32" s="107">
        <f>VLOOKUP(AU32,CENY!$B$11:$M$2005,12,FALSE)</f>
        <v>10.39</v>
      </c>
      <c r="BB32" s="107">
        <f t="shared" si="0"/>
        <v>0</v>
      </c>
      <c r="BD32" s="441">
        <f>OBJ!B124</f>
        <v>9255052</v>
      </c>
      <c r="BE32" s="23" t="str">
        <f>VLOOKUP(BD32,CENY!$B$11:$G$1034,2,FALSE)</f>
        <v>AVANTECH YOU BOK V187 MM NL450 MM STŘÍBRNÝ LEVÝ</v>
      </c>
      <c r="BF32" s="24">
        <f>VLOOKUP(BD32,CENY!$B$11:$G$1034,3,FALSE)</f>
        <v>10</v>
      </c>
      <c r="BG32" s="24"/>
      <c r="BH32" s="25">
        <f t="shared" si="7"/>
        <v>0</v>
      </c>
      <c r="BI32" s="451">
        <f t="shared" si="5"/>
        <v>0</v>
      </c>
      <c r="BJ32" s="107">
        <f>VLOOKUP(BD32,CENY!$B$11:$M$2005,12,FALSE)</f>
        <v>313.57</v>
      </c>
      <c r="BK32" s="107">
        <f t="shared" si="6"/>
        <v>0</v>
      </c>
    </row>
    <row r="33" spans="47:63" ht="14.4" customHeight="1">
      <c r="AU33" s="441">
        <f>OBJ!B79</f>
        <v>9255812</v>
      </c>
      <c r="AV33" s="23" t="str">
        <f>VLOOKUP(AU33,CENY!$B$11:$G$1034,2,FALSE)</f>
        <v>AVANTECH YOU DEKORATIVNÍ PROFIL NL650 MM STŘÍBRNÝ</v>
      </c>
      <c r="AW33" s="24">
        <f>VLOOKUP(AU33,CENY!$B$11:$G$1034,3,FALSE)</f>
        <v>200</v>
      </c>
      <c r="AX33" s="24"/>
      <c r="AY33" s="25">
        <f>IF(FORM!AM18=FORM!AU16,0,4*AE20)</f>
        <v>0</v>
      </c>
      <c r="AZ33" s="451">
        <f t="shared" si="1"/>
        <v>0</v>
      </c>
      <c r="BA33" s="107">
        <f>VLOOKUP(AU33,CENY!$B$11:$M$2005,12,FALSE)</f>
        <v>10.74</v>
      </c>
      <c r="BB33" s="107">
        <f t="shared" si="0"/>
        <v>0</v>
      </c>
      <c r="BD33" s="441">
        <f>OBJ!B125</f>
        <v>9255053</v>
      </c>
      <c r="BE33" s="23" t="str">
        <f>VLOOKUP(BD33,CENY!$B$11:$G$1034,2,FALSE)</f>
        <v>AVANTECH YOU BOK V187 MM NL450 MM STŘÍBRNÝ PRAVÝ</v>
      </c>
      <c r="BF33" s="24">
        <f>VLOOKUP(BD33,CENY!$B$11:$G$1034,3,FALSE)</f>
        <v>10</v>
      </c>
      <c r="BG33" s="24"/>
      <c r="BH33" s="25">
        <f t="shared" si="7"/>
        <v>0</v>
      </c>
      <c r="BI33" s="451">
        <f t="shared" si="5"/>
        <v>0</v>
      </c>
      <c r="BJ33" s="107">
        <f>VLOOKUP(BD33,CENY!$B$11:$M$2005,12,FALSE)</f>
        <v>313.57</v>
      </c>
      <c r="BK33" s="107">
        <f t="shared" si="6"/>
        <v>0</v>
      </c>
    </row>
    <row r="34" spans="47:63" ht="14.4" customHeight="1">
      <c r="AU34" s="441"/>
      <c r="AV34" s="23"/>
      <c r="AW34" s="24"/>
      <c r="AX34" s="24"/>
      <c r="AY34" s="25"/>
      <c r="AZ34" s="451" t="str">
        <f t="shared" si="1"/>
        <v/>
      </c>
      <c r="BA34" s="107"/>
      <c r="BB34" s="107" t="str">
        <f t="shared" si="0"/>
        <v/>
      </c>
      <c r="BD34" s="441">
        <f>OBJ!B126</f>
        <v>9255054</v>
      </c>
      <c r="BE34" s="23" t="str">
        <f>VLOOKUP(BD34,CENY!$B$11:$G$1034,2,FALSE)</f>
        <v>AVANTECH YOU BOK V187 MM NL500 MM STŘÍBRNÝ LEVÝ</v>
      </c>
      <c r="BF34" s="24">
        <f>VLOOKUP(BD34,CENY!$B$11:$G$1034,3,FALSE)</f>
        <v>10</v>
      </c>
      <c r="BG34" s="24"/>
      <c r="BH34" s="25">
        <f t="shared" si="7"/>
        <v>0</v>
      </c>
      <c r="BI34" s="451">
        <f t="shared" si="5"/>
        <v>0</v>
      </c>
      <c r="BJ34" s="107">
        <f>VLOOKUP(BD34,CENY!$B$11:$M$2005,12,FALSE)</f>
        <v>319.02999999999997</v>
      </c>
      <c r="BK34" s="107">
        <f t="shared" si="6"/>
        <v>0</v>
      </c>
    </row>
    <row r="35" spans="47:63" ht="14.4" customHeight="1">
      <c r="AU35" s="441">
        <f>OBJ!B236</f>
        <v>9256999</v>
      </c>
      <c r="AV35" s="23" t="str">
        <f>VLOOKUP(AU35,CENY!$B$11:$G$1034,2,FALSE)</f>
        <v>ACTRO YOU 40KG PLNOVÝSUV 270 MM EB21 SILENT SYSTEM SADA</v>
      </c>
      <c r="AW35" s="24">
        <f>VLOOKUP(AU35,CENY!$B$11:$G$1034,3,FALSE)</f>
        <v>1</v>
      </c>
      <c r="AX35" s="499">
        <v>8</v>
      </c>
      <c r="AY35" s="25">
        <f>O19</f>
        <v>0</v>
      </c>
      <c r="AZ35" s="451">
        <f t="shared" si="1"/>
        <v>0</v>
      </c>
      <c r="BA35" s="107">
        <f>VLOOKUP(AU35,CENY!$B$11:$M$2005,12,FALSE)</f>
        <v>561.63</v>
      </c>
      <c r="BB35" s="107">
        <f t="shared" si="0"/>
        <v>0</v>
      </c>
      <c r="BD35" s="441">
        <f>OBJ!B127</f>
        <v>9255055</v>
      </c>
      <c r="BE35" s="23" t="str">
        <f>VLOOKUP(BD35,CENY!$B$11:$G$1034,2,FALSE)</f>
        <v>AVANTECH YOU BOK V187 MM NL500 MM STŘÍBRNÝ PRAVÝ</v>
      </c>
      <c r="BF35" s="24">
        <f>VLOOKUP(BD35,CENY!$B$11:$G$1034,3,FALSE)</f>
        <v>10</v>
      </c>
      <c r="BG35" s="24"/>
      <c r="BH35" s="25">
        <f t="shared" si="7"/>
        <v>0</v>
      </c>
      <c r="BI35" s="451">
        <f t="shared" si="5"/>
        <v>0</v>
      </c>
      <c r="BJ35" s="107">
        <f>VLOOKUP(BD35,CENY!$B$11:$M$2005,12,FALSE)</f>
        <v>319.02999999999997</v>
      </c>
      <c r="BK35" s="107">
        <f t="shared" si="6"/>
        <v>0</v>
      </c>
    </row>
    <row r="36" spans="47:63" ht="14.4" customHeight="1">
      <c r="AU36" s="441">
        <f>OBJ!B237</f>
        <v>9257000</v>
      </c>
      <c r="AV36" s="23" t="str">
        <f>VLOOKUP(AU36,CENY!$B$11:$G$1034,2,FALSE)</f>
        <v>ACTRO YOU 40KG PLNOVÝSUV 300 MM EB21 SILENT SYSTEM SADA</v>
      </c>
      <c r="AW36" s="24">
        <f>VLOOKUP(AU36,CENY!$B$11:$G$1034,3,FALSE)</f>
        <v>1</v>
      </c>
      <c r="AX36" s="499">
        <v>8</v>
      </c>
      <c r="AY36" s="25">
        <f>Q19</f>
        <v>0</v>
      </c>
      <c r="AZ36" s="451">
        <f t="shared" si="1"/>
        <v>0</v>
      </c>
      <c r="BA36" s="107">
        <f>VLOOKUP(AU36,CENY!$B$11:$M$2005,12,FALSE)</f>
        <v>561.63</v>
      </c>
      <c r="BB36" s="107">
        <f t="shared" si="0"/>
        <v>0</v>
      </c>
      <c r="BD36" s="441">
        <f>OBJ!B128</f>
        <v>9255056</v>
      </c>
      <c r="BE36" s="23" t="str">
        <f>VLOOKUP(BD36,CENY!$B$11:$G$1034,2,FALSE)</f>
        <v>AVANTECH YOU BOK V187 MM NL550 MM STŘÍBRNÝ LEVÝ</v>
      </c>
      <c r="BF36" s="24">
        <f>VLOOKUP(BD36,CENY!$B$11:$G$1034,3,FALSE)</f>
        <v>10</v>
      </c>
      <c r="BG36" s="24"/>
      <c r="BH36" s="25">
        <f t="shared" si="7"/>
        <v>0</v>
      </c>
      <c r="BI36" s="451">
        <f t="shared" si="5"/>
        <v>0</v>
      </c>
      <c r="BJ36" s="107">
        <f>VLOOKUP(BD36,CENY!$B$11:$M$2005,12,FALSE)</f>
        <v>324.5</v>
      </c>
      <c r="BK36" s="107">
        <f t="shared" si="6"/>
        <v>0</v>
      </c>
    </row>
    <row r="37" spans="47:63" ht="14.4" customHeight="1">
      <c r="AU37" s="441">
        <f>OBJ!B238</f>
        <v>9257002</v>
      </c>
      <c r="AV37" s="23" t="str">
        <f>VLOOKUP(AU37,CENY!$B$11:$G$1034,2,FALSE)</f>
        <v>ACTRO YOU 40KG PLNOVÝSUV 350 MM EB21 SILENT SYSTEM SADA</v>
      </c>
      <c r="AW37" s="24">
        <f>VLOOKUP(AU37,CENY!$B$11:$G$1034,3,FALSE)</f>
        <v>1</v>
      </c>
      <c r="AX37" s="499">
        <v>8</v>
      </c>
      <c r="AY37" s="25">
        <f>S19</f>
        <v>0</v>
      </c>
      <c r="AZ37" s="451">
        <f t="shared" si="1"/>
        <v>0</v>
      </c>
      <c r="BA37" s="107">
        <f>VLOOKUP(AU37,CENY!$B$11:$M$2005,12,FALSE)</f>
        <v>561.63</v>
      </c>
      <c r="BB37" s="107">
        <f t="shared" si="0"/>
        <v>0</v>
      </c>
      <c r="BD37" s="441">
        <f>OBJ!B129</f>
        <v>9255057</v>
      </c>
      <c r="BE37" s="23" t="str">
        <f>VLOOKUP(BD37,CENY!$B$11:$G$1034,2,FALSE)</f>
        <v>AVANTECH YOU BOK V187 MM NL550 MM STŘÍBRNÝ PRAVÝ</v>
      </c>
      <c r="BF37" s="24">
        <f>VLOOKUP(BD37,CENY!$B$11:$G$1034,3,FALSE)</f>
        <v>10</v>
      </c>
      <c r="BG37" s="24"/>
      <c r="BH37" s="25">
        <f t="shared" si="7"/>
        <v>0</v>
      </c>
      <c r="BI37" s="451">
        <f t="shared" si="5"/>
        <v>0</v>
      </c>
      <c r="BJ37" s="107">
        <f>VLOOKUP(BD37,CENY!$B$11:$M$2005,12,FALSE)</f>
        <v>324.5</v>
      </c>
      <c r="BK37" s="107">
        <f t="shared" si="6"/>
        <v>0</v>
      </c>
    </row>
    <row r="38" spans="47:63" ht="14.4" customHeight="1">
      <c r="AU38" s="441">
        <f>OBJ!B239</f>
        <v>9257004</v>
      </c>
      <c r="AV38" s="23" t="str">
        <f>VLOOKUP(AU38,CENY!$B$11:$G$1034,2,FALSE)</f>
        <v>ACTRO YOU 40KG PLNOVÝSUV 400 MM EB21 SILENT SYSTEM SADA</v>
      </c>
      <c r="AW38" s="24">
        <f>VLOOKUP(AU38,CENY!$B$11:$G$1034,3,FALSE)</f>
        <v>1</v>
      </c>
      <c r="AX38" s="499">
        <v>8</v>
      </c>
      <c r="AY38" s="25">
        <f>U19</f>
        <v>0</v>
      </c>
      <c r="AZ38" s="451">
        <f t="shared" si="1"/>
        <v>0</v>
      </c>
      <c r="BA38" s="107">
        <f>VLOOKUP(AU38,CENY!$B$11:$M$2005,12,FALSE)</f>
        <v>567.85</v>
      </c>
      <c r="BB38" s="107">
        <f t="shared" si="0"/>
        <v>0</v>
      </c>
      <c r="BD38" s="441">
        <f>OBJ!B130</f>
        <v>9255058</v>
      </c>
      <c r="BE38" s="23" t="str">
        <f>VLOOKUP(BD38,CENY!$B$11:$G$1034,2,FALSE)</f>
        <v>AVANTECH YOU BOK V187 MM NL600 MM STŘÍBRNÝ LEVÝ</v>
      </c>
      <c r="BF38" s="24">
        <f>VLOOKUP(BD38,CENY!$B$11:$G$1034,3,FALSE)</f>
        <v>10</v>
      </c>
      <c r="BG38" s="24"/>
      <c r="BH38" s="25">
        <f t="shared" si="7"/>
        <v>0</v>
      </c>
      <c r="BI38" s="451">
        <f t="shared" si="5"/>
        <v>0</v>
      </c>
      <c r="BJ38" s="107">
        <f>VLOOKUP(BD38,CENY!$B$11:$M$2005,12,FALSE)</f>
        <v>332.75</v>
      </c>
      <c r="BK38" s="107">
        <f t="shared" si="6"/>
        <v>0</v>
      </c>
    </row>
    <row r="39" spans="47:63" ht="14.4" customHeight="1">
      <c r="AU39" s="441">
        <f>OBJ!B240</f>
        <v>9257006</v>
      </c>
      <c r="AV39" s="23" t="str">
        <f>VLOOKUP(AU39,CENY!$B$11:$G$1034,2,FALSE)</f>
        <v>ACTRO YOU 40KG PLNOVÝSUV 450 MM EB21 SILENT SYSTEM SADA</v>
      </c>
      <c r="AW39" s="24">
        <f>VLOOKUP(AU39,CENY!$B$11:$G$1034,3,FALSE)</f>
        <v>1</v>
      </c>
      <c r="AX39" s="499">
        <v>10</v>
      </c>
      <c r="AY39" s="25">
        <f>W19</f>
        <v>0</v>
      </c>
      <c r="AZ39" s="451">
        <f t="shared" si="1"/>
        <v>0</v>
      </c>
      <c r="BA39" s="107">
        <f>VLOOKUP(AU39,CENY!$B$11:$M$2005,12,FALSE)</f>
        <v>574.04</v>
      </c>
      <c r="BB39" s="107">
        <f t="shared" si="0"/>
        <v>0</v>
      </c>
      <c r="BD39" s="441">
        <f>OBJ!B131</f>
        <v>9255059</v>
      </c>
      <c r="BE39" s="23" t="str">
        <f>VLOOKUP(BD39,CENY!$B$11:$G$1034,2,FALSE)</f>
        <v>AVANTECH YOU BOK V187 MM NL600 MM STŘÍBRNÝ PRAVÝ</v>
      </c>
      <c r="BF39" s="24">
        <f>VLOOKUP(BD39,CENY!$B$11:$G$1034,3,FALSE)</f>
        <v>10</v>
      </c>
      <c r="BG39" s="24"/>
      <c r="BH39" s="25">
        <f t="shared" si="7"/>
        <v>0</v>
      </c>
      <c r="BI39" s="451">
        <f t="shared" si="5"/>
        <v>0</v>
      </c>
      <c r="BJ39" s="107">
        <f>VLOOKUP(BD39,CENY!$B$11:$M$2005,12,FALSE)</f>
        <v>332.75</v>
      </c>
      <c r="BK39" s="107">
        <f t="shared" si="6"/>
        <v>0</v>
      </c>
    </row>
    <row r="40" spans="47:63" ht="14.4" customHeight="1">
      <c r="AU40" s="441">
        <f>OBJ!B241</f>
        <v>9257008</v>
      </c>
      <c r="AV40" s="23" t="str">
        <f>VLOOKUP(AU40,CENY!$B$11:$G$1034,2,FALSE)</f>
        <v>ACTRO YOU 40KG PLNOVÝSUV 500 MM EB21 SILENT SYSTEM SADA</v>
      </c>
      <c r="AW40" s="24">
        <f>VLOOKUP(AU40,CENY!$B$11:$G$1034,3,FALSE)</f>
        <v>1</v>
      </c>
      <c r="AX40" s="499">
        <v>10</v>
      </c>
      <c r="AY40" s="25">
        <f>Y19</f>
        <v>0</v>
      </c>
      <c r="AZ40" s="451">
        <f t="shared" si="1"/>
        <v>0</v>
      </c>
      <c r="BA40" s="107">
        <f>VLOOKUP(AU40,CENY!$B$11:$M$2005,12,FALSE)</f>
        <v>580.26</v>
      </c>
      <c r="BB40" s="107">
        <f t="shared" si="0"/>
        <v>0</v>
      </c>
      <c r="BD40" s="441">
        <f>OBJ!B132</f>
        <v>9255060</v>
      </c>
      <c r="BE40" s="23" t="str">
        <f>VLOOKUP(BD40,CENY!$B$11:$G$1034,2,FALSE)</f>
        <v>AVANTECH YOU BOK V187 MM NL650 MM STŘÍBRNÝ LEVÝ</v>
      </c>
      <c r="BF40" s="24">
        <f>VLOOKUP(BD40,CENY!$B$11:$G$1034,3,FALSE)</f>
        <v>10</v>
      </c>
      <c r="BG40" s="24"/>
      <c r="BH40" s="25">
        <f t="shared" si="7"/>
        <v>0</v>
      </c>
      <c r="BI40" s="451">
        <f t="shared" si="5"/>
        <v>0</v>
      </c>
      <c r="BJ40" s="107">
        <f>VLOOKUP(BD40,CENY!$B$11:$M$2005,12,FALSE)</f>
        <v>343.97</v>
      </c>
      <c r="BK40" s="107">
        <f t="shared" si="6"/>
        <v>0</v>
      </c>
    </row>
    <row r="41" spans="47:63" ht="14.4" customHeight="1">
      <c r="AU41" s="441">
        <f>OBJ!B242</f>
        <v>9257010</v>
      </c>
      <c r="AV41" s="23" t="str">
        <f>VLOOKUP(AU41,CENY!$B$11:$G$1034,2,FALSE)</f>
        <v>ACTRO YOU 40KG PLNOVÝSUV 550 MM EB21 SILENT SYSTEM SADA</v>
      </c>
      <c r="AW41" s="24">
        <f>VLOOKUP(AU41,CENY!$B$11:$G$1034,3,FALSE)</f>
        <v>1</v>
      </c>
      <c r="AX41" s="499">
        <v>10</v>
      </c>
      <c r="AY41" s="25">
        <f>AA19</f>
        <v>0</v>
      </c>
      <c r="AZ41" s="451">
        <f t="shared" si="1"/>
        <v>0</v>
      </c>
      <c r="BA41" s="107">
        <f>VLOOKUP(AU41,CENY!$B$11:$M$2005,12,FALSE)</f>
        <v>613.44000000000005</v>
      </c>
      <c r="BB41" s="107">
        <f t="shared" si="0"/>
        <v>0</v>
      </c>
      <c r="BD41" s="441">
        <f>OBJ!B133</f>
        <v>9255061</v>
      </c>
      <c r="BE41" s="23" t="str">
        <f>VLOOKUP(BD41,CENY!$B$11:$G$1034,2,FALSE)</f>
        <v>AVANTECH YOU BOK V187 MM NL650 MM STŘÍBRNÝ PRAVÝ</v>
      </c>
      <c r="BF41" s="24">
        <f>VLOOKUP(BD41,CENY!$B$11:$G$1034,3,FALSE)</f>
        <v>10</v>
      </c>
      <c r="BG41" s="24"/>
      <c r="BH41" s="25">
        <f t="shared" si="7"/>
        <v>0</v>
      </c>
      <c r="BI41" s="451">
        <f t="shared" si="5"/>
        <v>0</v>
      </c>
      <c r="BJ41" s="107">
        <f>VLOOKUP(BD41,CENY!$B$11:$M$2005,12,FALSE)</f>
        <v>343.97</v>
      </c>
      <c r="BK41" s="107">
        <f t="shared" si="6"/>
        <v>0</v>
      </c>
    </row>
    <row r="42" spans="47:63" ht="14.4" customHeight="1">
      <c r="AU42" s="441">
        <f>OBJ!B243</f>
        <v>9268681</v>
      </c>
      <c r="AV42" s="23" t="str">
        <f>VLOOKUP(AU42,CENY!$B$11:$G$1034,2,FALSE)</f>
        <v>ACTRO YOU 40KG PLNOVÝSUV 600 MM EB21 SILENT SYSTÉM SADA</v>
      </c>
      <c r="AW42" s="24">
        <f>VLOOKUP(AU42,CENY!$B$11:$G$1034,3,FALSE)</f>
        <v>1</v>
      </c>
      <c r="AX42" s="499">
        <v>10</v>
      </c>
      <c r="AY42" s="25">
        <f>AC19</f>
        <v>0</v>
      </c>
      <c r="AZ42" s="451">
        <f t="shared" si="1"/>
        <v>0</v>
      </c>
      <c r="BA42" s="107">
        <f>VLOOKUP(AU42,CENY!$B$11:$M$2005,12,FALSE)</f>
        <v>620.78</v>
      </c>
      <c r="BB42" s="107">
        <f t="shared" si="0"/>
        <v>0</v>
      </c>
      <c r="BD42" s="441"/>
      <c r="BE42" s="23"/>
      <c r="BF42" s="24"/>
      <c r="BG42" s="24"/>
      <c r="BH42" s="25"/>
      <c r="BI42" s="451" t="str">
        <f t="shared" si="5"/>
        <v/>
      </c>
      <c r="BJ42" s="107"/>
      <c r="BK42" s="107" t="str">
        <f t="shared" si="6"/>
        <v/>
      </c>
    </row>
    <row r="43" spans="47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>
        <f>OBJ!B69</f>
        <v>9255835</v>
      </c>
      <c r="BE43" s="23" t="str">
        <f>VLOOKUP(BD43,CENY!$B$11:$G$1034,2,FALSE)</f>
        <v>AVANTECH YOU PŘÍCHYTKA ČELA V101 MM K NAŠROUBOVÁNÍ</v>
      </c>
      <c r="BF43" s="24">
        <f>VLOOKUP(BD43,CENY!$B$11:$G$1034,3,FALSE)</f>
        <v>200</v>
      </c>
      <c r="BG43" s="24"/>
      <c r="BH43" s="25">
        <f>2*(SUM(O19:AD19)+SUM(W20:AF20)+SUM(O25:AD25))</f>
        <v>0</v>
      </c>
      <c r="BI43" s="451">
        <f t="shared" si="2"/>
        <v>0</v>
      </c>
      <c r="BJ43" s="107">
        <f>VLOOKUP(BD43,CENY!$B$11:$M$2005,12,FALSE)</f>
        <v>26.57</v>
      </c>
      <c r="BK43" s="107">
        <f t="shared" si="3"/>
        <v>0</v>
      </c>
    </row>
    <row r="44" spans="47:63" ht="14.4" customHeight="1">
      <c r="AU44" s="441">
        <f>OBJ!B261</f>
        <v>9257034</v>
      </c>
      <c r="AV44" s="23" t="str">
        <f>VLOOKUP(AU44,CENY!$B$11:$G$1034,2,FALSE)</f>
        <v>ACTRO YOU 70KG PLNOVÝSUV 450 MM EB21 SILENT SYSTEM SADA</v>
      </c>
      <c r="AW44" s="24">
        <f>VLOOKUP(AU44,CENY!$B$11:$G$1034,3,FALSE)</f>
        <v>1</v>
      </c>
      <c r="AX44" s="499">
        <v>10</v>
      </c>
      <c r="AY44" s="25">
        <f>W20</f>
        <v>0</v>
      </c>
      <c r="AZ44" s="451">
        <f t="shared" si="1"/>
        <v>0</v>
      </c>
      <c r="BA44" s="107">
        <f>VLOOKUP(AU44,CENY!$B$11:$M$2005,12,FALSE)</f>
        <v>691.9</v>
      </c>
      <c r="BB44" s="107">
        <f t="shared" si="0"/>
        <v>0</v>
      </c>
      <c r="BD44" s="441">
        <f>OBJ!B135</f>
        <v>9255838</v>
      </c>
      <c r="BE44" s="23" t="str">
        <f>VLOOKUP(BD44,CENY!$B$11:$G$1034,2,FALSE)</f>
        <v>AVANTECH YOU PŘÍCHYTKA ČELA V187 / 251 MM K NAŠROUBOVÁNÍ</v>
      </c>
      <c r="BF44" s="24">
        <f>VLOOKUP(BD44,CENY!$B$11:$G$1034,3,FALSE)</f>
        <v>200</v>
      </c>
      <c r="BG44" s="24"/>
      <c r="BH44" s="25">
        <f>BH43</f>
        <v>0</v>
      </c>
      <c r="BI44" s="451">
        <f>IF(BH44="","",IF($AW$4=0,BH44,0))</f>
        <v>0</v>
      </c>
      <c r="BJ44" s="107">
        <f>VLOOKUP(BD44,CENY!$B$11:$M$2005,12,FALSE)</f>
        <v>53.15</v>
      </c>
      <c r="BK44" s="107">
        <f>IF(BJ44="","",BJ44*BH44)</f>
        <v>0</v>
      </c>
    </row>
    <row r="45" spans="47:63" ht="14.4" customHeight="1">
      <c r="AU45" s="441">
        <f>OBJ!B262</f>
        <v>9257036</v>
      </c>
      <c r="AV45" s="23" t="str">
        <f>VLOOKUP(AU45,CENY!$B$11:$G$1034,2,FALSE)</f>
        <v>ACTRO YOU 70KG PLNOVÝSUV 500 MM EB21 SILENT SYSTEM SADA</v>
      </c>
      <c r="AW45" s="24">
        <f>VLOOKUP(AU45,CENY!$B$11:$G$1034,3,FALSE)</f>
        <v>1</v>
      </c>
      <c r="AX45" s="499">
        <v>10</v>
      </c>
      <c r="AY45" s="25">
        <f>Y20</f>
        <v>0</v>
      </c>
      <c r="AZ45" s="451">
        <f t="shared" si="1"/>
        <v>0</v>
      </c>
      <c r="BA45" s="107">
        <f>VLOOKUP(AU45,CENY!$B$11:$M$2005,12,FALSE)</f>
        <v>698.13</v>
      </c>
      <c r="BB45" s="107">
        <f t="shared" si="0"/>
        <v>0</v>
      </c>
      <c r="BD45" s="441">
        <f>OBJ!B48</f>
        <v>9257702</v>
      </c>
      <c r="BE45" s="23" t="str">
        <f>VLOOKUP(BD45,CENY!$B$11:$G$1034,2,FALSE)</f>
        <v>AVANTECH YOU STABILIZÁTOR ZAD V101/139/187/251 MM</v>
      </c>
      <c r="BF45" s="24">
        <f>VLOOKUP(BD45,CENY!$B$11:$G$1034,3,FALSE)</f>
        <v>200</v>
      </c>
      <c r="BG45" s="24"/>
      <c r="BH45" s="25">
        <f>0*(SUM(O19:AD19)+SUM(W20:AF20)+SUM(O25:AD25))</f>
        <v>0</v>
      </c>
      <c r="BI45" s="451">
        <f t="shared" si="2"/>
        <v>0</v>
      </c>
      <c r="BJ45" s="107">
        <f>VLOOKUP(BD45,CENY!$B$11:$M$2005,12,FALSE)</f>
        <v>13.29</v>
      </c>
      <c r="BK45" s="107">
        <f t="shared" si="3"/>
        <v>0</v>
      </c>
    </row>
    <row r="46" spans="47:63" ht="14.4" customHeight="1">
      <c r="AU46" s="441">
        <f>OBJ!B263</f>
        <v>9257038</v>
      </c>
      <c r="AV46" s="23" t="str">
        <f>VLOOKUP(AU46,CENY!$B$11:$G$1034,2,FALSE)</f>
        <v>ACTRO YOU 70KG PLNOVÝSUV 550 MM EB21 SILENT SYSTEM SADA</v>
      </c>
      <c r="AW46" s="24">
        <f>VLOOKUP(AU46,CENY!$B$11:$G$1034,3,FALSE)</f>
        <v>1</v>
      </c>
      <c r="AX46" s="499">
        <v>10</v>
      </c>
      <c r="AY46" s="25">
        <f>AA20</f>
        <v>0</v>
      </c>
      <c r="AZ46" s="451">
        <f t="shared" si="1"/>
        <v>0</v>
      </c>
      <c r="BA46" s="107">
        <f>VLOOKUP(AU46,CENY!$B$11:$M$2005,12,FALSE)</f>
        <v>731.3</v>
      </c>
      <c r="BB46" s="107">
        <f t="shared" si="0"/>
        <v>0</v>
      </c>
      <c r="BD46" s="22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47:63" ht="14.4" customHeight="1">
      <c r="AU47" s="441">
        <f>OBJ!B264</f>
        <v>9257040</v>
      </c>
      <c r="AV47" s="23" t="str">
        <f>VLOOKUP(AU47,CENY!$B$11:$G$1034,2,FALSE)</f>
        <v>ACTRO YOU 70KG PLNOVÝSUV 600 MM EB21 SILENT SYSTEM SADA</v>
      </c>
      <c r="AW47" s="24">
        <f>VLOOKUP(AU47,CENY!$B$11:$G$1034,3,FALSE)</f>
        <v>1</v>
      </c>
      <c r="AX47" s="499">
        <v>10</v>
      </c>
      <c r="AY47" s="25">
        <f>AC20</f>
        <v>0</v>
      </c>
      <c r="AZ47" s="451">
        <f t="shared" si="1"/>
        <v>0</v>
      </c>
      <c r="BA47" s="107">
        <f>VLOOKUP(AU47,CENY!$B$11:$M$2005,12,FALSE)</f>
        <v>798.31</v>
      </c>
      <c r="BB47" s="107">
        <f t="shared" si="0"/>
        <v>0</v>
      </c>
      <c r="BD47" s="441">
        <f>OBJ!B71</f>
        <v>9255804</v>
      </c>
      <c r="BE47" s="23" t="str">
        <f>VLOOKUP(BD47,CENY!$B$11:$G$1034,2,FALSE)</f>
        <v>AVANTECH YOU DEKORATIVNÍ PROFIL NL270 MM STŘÍBRNÝ</v>
      </c>
      <c r="BF47" s="24">
        <f>VLOOKUP(BD47,CENY!$B$11:$G$1034,3,FALSE)</f>
        <v>200</v>
      </c>
      <c r="BG47" s="24"/>
      <c r="BH47" s="25">
        <f>4*(O19+O25)</f>
        <v>0</v>
      </c>
      <c r="BI47" s="451">
        <f t="shared" si="2"/>
        <v>0</v>
      </c>
      <c r="BJ47" s="107">
        <f>VLOOKUP(BD47,CENY!$B$11:$M$2005,12,FALSE)</f>
        <v>9.18</v>
      </c>
      <c r="BK47" s="107">
        <f t="shared" si="3"/>
        <v>0</v>
      </c>
    </row>
    <row r="48" spans="47:63" ht="14.4" customHeight="1">
      <c r="AU48" s="441">
        <f>OBJ!B265</f>
        <v>9257041</v>
      </c>
      <c r="AV48" s="23" t="str">
        <f>VLOOKUP(AU48,CENY!$B$11:$G$1034,2,FALSE)</f>
        <v>ACTRO YOU 70KG PLNOVÝSUV 650 MM EB21 SILENT SYSTEM SADA</v>
      </c>
      <c r="AW48" s="24">
        <f>VLOOKUP(AU48,CENY!$B$11:$G$1034,3,FALSE)</f>
        <v>1</v>
      </c>
      <c r="AX48" s="499">
        <v>10</v>
      </c>
      <c r="AY48" s="25">
        <f>AE20</f>
        <v>0</v>
      </c>
      <c r="AZ48" s="451">
        <f t="shared" si="1"/>
        <v>0</v>
      </c>
      <c r="BA48" s="107">
        <f>VLOOKUP(AU48,CENY!$B$11:$M$2005,12,FALSE)</f>
        <v>828.55</v>
      </c>
      <c r="BB48" s="107">
        <f t="shared" si="0"/>
        <v>0</v>
      </c>
      <c r="BD48" s="441">
        <f>OBJ!B72</f>
        <v>9255805</v>
      </c>
      <c r="BE48" s="23" t="str">
        <f>VLOOKUP(BD48,CENY!$B$11:$G$1034,2,FALSE)</f>
        <v>AVANTECH YOU DEKORATIVNÍ PROFIL NL300 MM STŘÍBRNÝ</v>
      </c>
      <c r="BF48" s="24">
        <f>VLOOKUP(BD48,CENY!$B$11:$G$1034,3,FALSE)</f>
        <v>200</v>
      </c>
      <c r="BG48" s="24"/>
      <c r="BH48" s="25">
        <f>4*(Q19+Q25)</f>
        <v>0</v>
      </c>
      <c r="BI48" s="451">
        <f t="shared" si="2"/>
        <v>0</v>
      </c>
      <c r="BJ48" s="107">
        <f>VLOOKUP(BD48,CENY!$B$11:$M$2005,12,FALSE)</f>
        <v>9.2799999999999994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OBJ!B73</f>
        <v>9255806</v>
      </c>
      <c r="BE49" s="23" t="str">
        <f>VLOOKUP(BD49,CENY!$B$11:$G$1034,2,FALSE)</f>
        <v>AVANTECH YOU DEKORATIVNÍ PROFIL NL350 MM STŘÍBRNÝ</v>
      </c>
      <c r="BF49" s="24">
        <f>VLOOKUP(BD49,CENY!$B$11:$G$1034,3,FALSE)</f>
        <v>200</v>
      </c>
      <c r="BG49" s="24"/>
      <c r="BH49" s="25">
        <f>4*(S19+S25)</f>
        <v>0</v>
      </c>
      <c r="BI49" s="451">
        <f t="shared" si="2"/>
        <v>0</v>
      </c>
      <c r="BJ49" s="107">
        <f>VLOOKUP(BD49,CENY!$B$11:$M$2005,12,FALSE)</f>
        <v>9.4499999999999993</v>
      </c>
      <c r="BK49" s="107">
        <f t="shared" si="3"/>
        <v>0</v>
      </c>
    </row>
    <row r="50" spans="47:63" ht="14.4" customHeight="1">
      <c r="AU50" s="441">
        <f>OBJ!B297</f>
        <v>9256883</v>
      </c>
      <c r="AV50" s="23" t="str">
        <f>VLOOKUP(AU50,CENY!$B$11:$G$1034,2,FALSE)</f>
        <v>QUADRO YOU PLNOVÝSUV 270 MM EB21 SILENT SYSTEM SADA</v>
      </c>
      <c r="AW50" s="24">
        <f>VLOOKUP(AU50,CENY!$B$11:$G$1034,3,FALSE)</f>
        <v>1</v>
      </c>
      <c r="AX50" s="499">
        <v>8</v>
      </c>
      <c r="AY50" s="25">
        <f>O25</f>
        <v>0</v>
      </c>
      <c r="AZ50" s="451">
        <f t="shared" si="1"/>
        <v>0</v>
      </c>
      <c r="BA50" s="107">
        <f>VLOOKUP(AU50,CENY!$B$11:$M$2005,12,FALSE)</f>
        <v>372.29</v>
      </c>
      <c r="BB50" s="107">
        <f t="shared" si="0"/>
        <v>0</v>
      </c>
      <c r="BD50" s="441">
        <f>OBJ!B74</f>
        <v>9255807</v>
      </c>
      <c r="BE50" s="23" t="str">
        <f>VLOOKUP(BD50,CENY!$B$11:$G$1034,2,FALSE)</f>
        <v>AVANTECH YOU DEKORATIVNÍ PROFIL NL400 MM STŘÍBRNÝ</v>
      </c>
      <c r="BF50" s="24">
        <f>VLOOKUP(BD50,CENY!$B$11:$G$1034,3,FALSE)</f>
        <v>200</v>
      </c>
      <c r="BG50" s="24"/>
      <c r="BH50" s="25">
        <f>4*(U19+U25)</f>
        <v>0</v>
      </c>
      <c r="BI50" s="451">
        <f t="shared" si="2"/>
        <v>0</v>
      </c>
      <c r="BJ50" s="107">
        <f>VLOOKUP(BD50,CENY!$B$11:$M$2005,12,FALSE)</f>
        <v>9.6199999999999992</v>
      </c>
      <c r="BK50" s="107">
        <f t="shared" si="3"/>
        <v>0</v>
      </c>
    </row>
    <row r="51" spans="47:63" ht="14.4" customHeight="1">
      <c r="AU51" s="441">
        <f>OBJ!B298</f>
        <v>9256884</v>
      </c>
      <c r="AV51" s="23" t="str">
        <f>VLOOKUP(AU51,CENY!$B$11:$G$1034,2,FALSE)</f>
        <v>QUADRO YOU PLNOVÝSUV 300 MM EB21 SILENT SYSTEM SADA</v>
      </c>
      <c r="AW51" s="24">
        <f>VLOOKUP(AU51,CENY!$B$11:$G$1034,3,FALSE)</f>
        <v>1</v>
      </c>
      <c r="AX51" s="499">
        <v>8</v>
      </c>
      <c r="AY51" s="25">
        <f>Q25</f>
        <v>0</v>
      </c>
      <c r="AZ51" s="451">
        <f t="shared" si="1"/>
        <v>0</v>
      </c>
      <c r="BA51" s="107">
        <f>VLOOKUP(AU51,CENY!$B$11:$M$2005,12,FALSE)</f>
        <v>369.3</v>
      </c>
      <c r="BB51" s="107">
        <f t="shared" si="0"/>
        <v>0</v>
      </c>
      <c r="BD51" s="441">
        <f>OBJ!B75</f>
        <v>9255808</v>
      </c>
      <c r="BE51" s="23" t="str">
        <f>VLOOKUP(BD51,CENY!$B$11:$G$1034,2,FALSE)</f>
        <v>AVANTECH YOU DEKORATIVNÍ PROFIL NL450 MM STŘÍBRNÝ</v>
      </c>
      <c r="BF51" s="24">
        <f>VLOOKUP(BD51,CENY!$B$11:$G$1034,3,FALSE)</f>
        <v>200</v>
      </c>
      <c r="BG51" s="24"/>
      <c r="BH51" s="25">
        <f>4*(W19+W20+W25)</f>
        <v>0</v>
      </c>
      <c r="BI51" s="451">
        <f t="shared" si="2"/>
        <v>0</v>
      </c>
      <c r="BJ51" s="107">
        <f>VLOOKUP(BD51,CENY!$B$11:$M$2005,12,FALSE)</f>
        <v>9.8000000000000007</v>
      </c>
      <c r="BK51" s="107">
        <f t="shared" si="3"/>
        <v>0</v>
      </c>
    </row>
    <row r="52" spans="47:63" ht="14.4" customHeight="1">
      <c r="AU52" s="441">
        <f>OBJ!B299</f>
        <v>9256886</v>
      </c>
      <c r="AV52" s="23" t="str">
        <f>VLOOKUP(AU52,CENY!$B$11:$G$1034,2,FALSE)</f>
        <v>QUADRO YOU PLNOVÝSUV 350 MM EB21 SILENT SYSTEM SADA</v>
      </c>
      <c r="AW52" s="24">
        <f>VLOOKUP(AU52,CENY!$B$11:$G$1034,3,FALSE)</f>
        <v>1</v>
      </c>
      <c r="AX52" s="499">
        <v>8</v>
      </c>
      <c r="AY52" s="25">
        <f>S25</f>
        <v>0</v>
      </c>
      <c r="AZ52" s="451">
        <f t="shared" si="1"/>
        <v>0</v>
      </c>
      <c r="BA52" s="107">
        <f>VLOOKUP(AU52,CENY!$B$11:$M$2005,12,FALSE)</f>
        <v>376.77</v>
      </c>
      <c r="BB52" s="107">
        <f t="shared" si="0"/>
        <v>0</v>
      </c>
      <c r="BD52" s="441">
        <f>OBJ!B76</f>
        <v>9255809</v>
      </c>
      <c r="BE52" s="23" t="str">
        <f>VLOOKUP(BD52,CENY!$B$11:$G$1034,2,FALSE)</f>
        <v>AVANTECH YOU DEKORATIVNÍ PROFIL NL500 MM STŘÍBRNÝ</v>
      </c>
      <c r="BF52" s="24">
        <f>VLOOKUP(BD52,CENY!$B$11:$G$1034,3,FALSE)</f>
        <v>200</v>
      </c>
      <c r="BG52" s="24"/>
      <c r="BH52" s="25">
        <f>4*(Y19+Y20+Y25)</f>
        <v>0</v>
      </c>
      <c r="BI52" s="451">
        <f t="shared" si="2"/>
        <v>0</v>
      </c>
      <c r="BJ52" s="107">
        <f>VLOOKUP(BD52,CENY!$B$11:$M$2005,12,FALSE)</f>
        <v>9.9700000000000006</v>
      </c>
      <c r="BK52" s="107">
        <f t="shared" si="3"/>
        <v>0</v>
      </c>
    </row>
    <row r="53" spans="47:63" ht="14.4" customHeight="1">
      <c r="AU53" s="441">
        <f>OBJ!B300</f>
        <v>9256888</v>
      </c>
      <c r="AV53" s="23" t="str">
        <f>VLOOKUP(AU53,CENY!$B$11:$G$1034,2,FALSE)</f>
        <v>QUADRO YOU PLNOVÝSUV 400 MM EB21 SILENT SYSTEM SADA</v>
      </c>
      <c r="AW53" s="24">
        <f>VLOOKUP(AU53,CENY!$B$11:$G$1034,3,FALSE)</f>
        <v>1</v>
      </c>
      <c r="AX53" s="499">
        <v>8</v>
      </c>
      <c r="AY53" s="25">
        <f>U25</f>
        <v>0</v>
      </c>
      <c r="AZ53" s="451">
        <f t="shared" si="1"/>
        <v>0</v>
      </c>
      <c r="BA53" s="107">
        <f>VLOOKUP(AU53,CENY!$B$11:$M$2005,12,FALSE)</f>
        <v>384.24</v>
      </c>
      <c r="BB53" s="107">
        <f t="shared" si="0"/>
        <v>0</v>
      </c>
      <c r="BD53" s="441">
        <f>OBJ!B77</f>
        <v>9255810</v>
      </c>
      <c r="BE53" s="23" t="str">
        <f>VLOOKUP(BD53,CENY!$B$11:$G$1034,2,FALSE)</f>
        <v>AVANTECH YOU DEKORATIVNÍ PROFIL NL550 MM STŘÍBRNÝ</v>
      </c>
      <c r="BF53" s="24">
        <f>VLOOKUP(BD53,CENY!$B$11:$G$1034,3,FALSE)</f>
        <v>200</v>
      </c>
      <c r="BG53" s="24"/>
      <c r="BH53" s="25">
        <f>4*(AA19+AA20+AA25)</f>
        <v>0</v>
      </c>
      <c r="BI53" s="451">
        <f t="shared" si="2"/>
        <v>0</v>
      </c>
      <c r="BJ53" s="107">
        <f>VLOOKUP(BD53,CENY!$B$11:$M$2005,12,FALSE)</f>
        <v>10.14</v>
      </c>
      <c r="BK53" s="107">
        <f t="shared" si="3"/>
        <v>0</v>
      </c>
    </row>
    <row r="54" spans="47:63" ht="14.4" customHeight="1">
      <c r="AU54" s="441">
        <f>OBJ!B301</f>
        <v>9256890</v>
      </c>
      <c r="AV54" s="23" t="str">
        <f>VLOOKUP(AU54,CENY!$B$11:$G$1034,2,FALSE)</f>
        <v>QUADRO YOU PLNOVÝSUV 450 MM EB21 SILENT SYSTEM SADA</v>
      </c>
      <c r="AW54" s="24">
        <f>VLOOKUP(AU54,CENY!$B$11:$G$1034,3,FALSE)</f>
        <v>1</v>
      </c>
      <c r="AX54" s="499">
        <v>8</v>
      </c>
      <c r="AY54" s="25">
        <f>W25</f>
        <v>0</v>
      </c>
      <c r="AZ54" s="451">
        <f t="shared" si="1"/>
        <v>0</v>
      </c>
      <c r="BA54" s="107">
        <f>VLOOKUP(AU54,CENY!$B$11:$M$2005,12,FALSE)</f>
        <v>391.72</v>
      </c>
      <c r="BB54" s="107">
        <f t="shared" si="0"/>
        <v>0</v>
      </c>
      <c r="BD54" s="441">
        <f>OBJ!B78</f>
        <v>9255811</v>
      </c>
      <c r="BE54" s="23" t="str">
        <f>VLOOKUP(BD54,CENY!$B$11:$G$1034,2,FALSE)</f>
        <v>AVANTECH YOU DEKORATIVNÍ PROFIL NL600 MM STŘÍBRNÝ</v>
      </c>
      <c r="BF54" s="24">
        <f>VLOOKUP(BD54,CENY!$B$11:$G$1034,3,FALSE)</f>
        <v>200</v>
      </c>
      <c r="BG54" s="24"/>
      <c r="BH54" s="25">
        <f>4*(AC19+AC20+AC25)</f>
        <v>0</v>
      </c>
      <c r="BI54" s="451">
        <f t="shared" si="2"/>
        <v>0</v>
      </c>
      <c r="BJ54" s="107">
        <f>VLOOKUP(BD54,CENY!$B$11:$M$2005,12,FALSE)</f>
        <v>10.39</v>
      </c>
      <c r="BK54" s="107">
        <f t="shared" si="3"/>
        <v>0</v>
      </c>
    </row>
    <row r="55" spans="47:63" ht="14.4" customHeight="1">
      <c r="AU55" s="441">
        <f>OBJ!B302</f>
        <v>9256892</v>
      </c>
      <c r="AV55" s="23" t="str">
        <f>VLOOKUP(AU55,CENY!$B$11:$G$1034,2,FALSE)</f>
        <v>QUADRO YOU PLNOVÝSUV 500 MM EB21 SILENT SYSTEM SADA</v>
      </c>
      <c r="AW55" s="24">
        <f>VLOOKUP(AU55,CENY!$B$11:$G$1034,3,FALSE)</f>
        <v>1</v>
      </c>
      <c r="AX55" s="499">
        <v>8</v>
      </c>
      <c r="AY55" s="25">
        <f>Y25</f>
        <v>0</v>
      </c>
      <c r="AZ55" s="451">
        <f t="shared" si="1"/>
        <v>0</v>
      </c>
      <c r="BA55" s="107">
        <f>VLOOKUP(AU55,CENY!$B$11:$M$2005,12,FALSE)</f>
        <v>399.19</v>
      </c>
      <c r="BB55" s="107">
        <f t="shared" si="0"/>
        <v>0</v>
      </c>
      <c r="BD55" s="441">
        <f>OBJ!B79</f>
        <v>9255812</v>
      </c>
      <c r="BE55" s="23" t="str">
        <f>VLOOKUP(BD55,CENY!$B$11:$G$1034,2,FALSE)</f>
        <v>AVANTECH YOU DEKORATIVNÍ PROFIL NL650 MM STŘÍBRNÝ</v>
      </c>
      <c r="BF55" s="24">
        <f>VLOOKUP(BD55,CENY!$B$11:$G$1034,3,FALSE)</f>
        <v>200</v>
      </c>
      <c r="BG55" s="24"/>
      <c r="BH55" s="25">
        <f>4*AE20</f>
        <v>0</v>
      </c>
      <c r="BI55" s="451">
        <f t="shared" si="2"/>
        <v>0</v>
      </c>
      <c r="BJ55" s="107">
        <f>VLOOKUP(BD55,CENY!$B$11:$M$2005,12,FALSE)</f>
        <v>10.74</v>
      </c>
      <c r="BK55" s="107">
        <f t="shared" si="3"/>
        <v>0</v>
      </c>
    </row>
    <row r="56" spans="47:63" ht="14.4" customHeight="1">
      <c r="AU56" s="441">
        <f>OBJ!B303</f>
        <v>9256894</v>
      </c>
      <c r="AV56" s="23" t="str">
        <f>VLOOKUP(AU56,CENY!$B$11:$G$1034,2,FALSE)</f>
        <v>QUADRO YOU PLNOVÝSUV 550 MM EB21 SILENT SYSTEM SADA</v>
      </c>
      <c r="AW56" s="24">
        <f>VLOOKUP(AU56,CENY!$B$11:$G$1034,3,FALSE)</f>
        <v>1</v>
      </c>
      <c r="AX56" s="499">
        <v>8</v>
      </c>
      <c r="AY56" s="25">
        <f>AA25</f>
        <v>0</v>
      </c>
      <c r="AZ56" s="451">
        <f t="shared" ref="AZ56:AZ103" si="8">IF(AY56="","",IF($AW$4=1,AY56,0))</f>
        <v>0</v>
      </c>
      <c r="BA56" s="107">
        <f>VLOOKUP(AU56,CENY!$B$11:$M$2005,12,FALSE)</f>
        <v>412.64</v>
      </c>
      <c r="BB56" s="107">
        <f t="shared" si="0"/>
        <v>0</v>
      </c>
      <c r="BD56" s="441"/>
      <c r="BE56" s="23"/>
      <c r="BF56" s="24"/>
      <c r="BG56" s="24"/>
      <c r="BH56" s="25"/>
      <c r="BI56" s="451" t="str">
        <f t="shared" si="2"/>
        <v/>
      </c>
      <c r="BJ56" s="107"/>
      <c r="BK56" s="107" t="str">
        <f t="shared" si="3"/>
        <v/>
      </c>
    </row>
    <row r="57" spans="47:63" ht="14.4" customHeight="1">
      <c r="AU57" s="441">
        <f>OBJ!B304</f>
        <v>9256896</v>
      </c>
      <c r="AV57" s="23" t="str">
        <f>VLOOKUP(AU57,CENY!$B$11:$G$1034,2,FALSE)</f>
        <v>QUADRO YOU PLNOVÝSUV 600 MM EB21 SILENT SYSTEM SADA</v>
      </c>
      <c r="AW57" s="24">
        <f>VLOOKUP(AU57,CENY!$B$11:$G$1034,3,FALSE)</f>
        <v>1</v>
      </c>
      <c r="AX57" s="499">
        <v>8</v>
      </c>
      <c r="AY57" s="25">
        <f>AC25</f>
        <v>0</v>
      </c>
      <c r="AZ57" s="451">
        <f t="shared" si="8"/>
        <v>0</v>
      </c>
      <c r="BA57" s="107">
        <f>VLOOKUP(AU57,CENY!$B$11:$M$2005,12,FALSE)</f>
        <v>420.11</v>
      </c>
      <c r="BB57" s="107">
        <f t="shared" si="0"/>
        <v>0</v>
      </c>
      <c r="BD57" s="441">
        <f>OBJ!B244</f>
        <v>9256974</v>
      </c>
      <c r="BE57" s="23" t="str">
        <f>VLOOKUP(BD57,CENY!$B$11:$G$1034,2,FALSE)</f>
        <v>ACTRO YOU 40KG PLNOVÝSUV 270 MM EB21 SILENT SYSTEM LEVÝ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243.93</v>
      </c>
      <c r="BK57" s="107">
        <f t="shared" si="3"/>
        <v>0</v>
      </c>
    </row>
    <row r="58" spans="47:63" ht="14.4" customHeight="1">
      <c r="AU58" s="441"/>
      <c r="AV58" s="23"/>
      <c r="AW58" s="24"/>
      <c r="AX58" s="24"/>
      <c r="AY58" s="25"/>
      <c r="AZ58" s="451" t="str">
        <f t="shared" si="8"/>
        <v/>
      </c>
      <c r="BA58" s="107"/>
      <c r="BB58" s="107" t="str">
        <f t="shared" si="0"/>
        <v/>
      </c>
      <c r="BD58" s="441">
        <f>OBJ!B245</f>
        <v>9256975</v>
      </c>
      <c r="BE58" s="23" t="str">
        <f>VLOOKUP(BD58,CENY!$B$11:$G$1034,2,FALSE)</f>
        <v>ACTRO YOU 40KG PLNOVÝSUV 270 MM EB21 SILENT SYSTEM PRAVÝ</v>
      </c>
      <c r="BF58" s="24">
        <f>VLOOKUP(BD58,CENY!$B$11:$G$1034,3,FALSE)</f>
        <v>10</v>
      </c>
      <c r="BG58" s="24"/>
      <c r="BH58" s="25">
        <f>AY35</f>
        <v>0</v>
      </c>
      <c r="BI58" s="451">
        <f t="shared" si="2"/>
        <v>0</v>
      </c>
      <c r="BJ58" s="107">
        <f>VLOOKUP(BD58,CENY!$B$11:$M$2005,12,FALSE)</f>
        <v>243.93</v>
      </c>
      <c r="BK58" s="107">
        <f t="shared" si="3"/>
        <v>0</v>
      </c>
    </row>
    <row r="59" spans="47:63" ht="14.4" customHeight="1">
      <c r="AU59" s="442">
        <v>9255836</v>
      </c>
      <c r="AV59" s="443" t="str">
        <f>VLOOKUP(AU59,CENY!$B$11:$G$1034,2,FALSE)</f>
        <v>AVANTECH YOU PŘÍCHYTKA ČELA V101 MM K ZALISOVÁNÍ</v>
      </c>
      <c r="AW59" s="24">
        <f>VLOOKUP(AU59,CENY!$B$11:$G$1034,3,FALSE)</f>
        <v>200</v>
      </c>
      <c r="AX59" s="24"/>
      <c r="AY59" s="77">
        <f>IF(FORM!AM8=FORM!AU11,(2*(SUM(O19:AD19)+SUM(W20:AF20)+SUM(O25:AD25))),0)</f>
        <v>0</v>
      </c>
      <c r="AZ59" s="451">
        <f t="shared" si="8"/>
        <v>0</v>
      </c>
      <c r="BA59" s="107">
        <f>VLOOKUP(AU59,CENY!$B$11:$M$2005,12,FALSE)</f>
        <v>27.23</v>
      </c>
      <c r="BB59" s="107">
        <f t="shared" ref="BB59:BB116" si="9">IF(BA59="","",BA59*AY59)</f>
        <v>0</v>
      </c>
      <c r="BD59" s="441">
        <f>OBJ!B246</f>
        <v>9256976</v>
      </c>
      <c r="BE59" s="23" t="str">
        <f>VLOOKUP(BD59,CENY!$B$11:$G$1034,2,FALSE)</f>
        <v>ACTRO YOU 40KG PLNOVÝSUV 300 MM EB21 SILENT SYSTEM LEVÝ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243.93</v>
      </c>
      <c r="BK59" s="107">
        <f t="shared" si="3"/>
        <v>0</v>
      </c>
    </row>
    <row r="60" spans="47:63" ht="14.4" customHeight="1">
      <c r="AU60" s="442">
        <v>9255839</v>
      </c>
      <c r="AV60" s="443" t="str">
        <f>VLOOKUP(AU60,CENY!$B$11:$G$1034,2,FALSE)</f>
        <v>AVANTECH YOU PŘÍCHYTKA ČELA V187 / 251 MM K ZALISOVÁNÍ</v>
      </c>
      <c r="AW60" s="24">
        <f>VLOOKUP(AU60,CENY!$B$11:$G$1034,3,FALSE)</f>
        <v>200</v>
      </c>
      <c r="AX60" s="24"/>
      <c r="AY60" s="77">
        <f>AY59</f>
        <v>0</v>
      </c>
      <c r="AZ60" s="451">
        <f>IF(AY60="","",IF($AW$4=1,AY60,0))</f>
        <v>0</v>
      </c>
      <c r="BA60" s="107">
        <f>VLOOKUP(AU60,CENY!$B$11:$M$2005,12,FALSE)</f>
        <v>53.8</v>
      </c>
      <c r="BB60" s="107">
        <f>IF(BA60="","",BA60*AY60)</f>
        <v>0</v>
      </c>
      <c r="BD60" s="441">
        <f>OBJ!B247</f>
        <v>9256977</v>
      </c>
      <c r="BE60" s="23" t="str">
        <f>VLOOKUP(BD60,CENY!$B$11:$G$1034,2,FALSE)</f>
        <v>ACTRO YOU 40KG PLNOVÝSUV 300 MM EB21 SILENT SYSTEM PRAVÝ</v>
      </c>
      <c r="BF60" s="24">
        <f>VLOOKUP(BD60,CENY!$B$11:$G$1034,3,FALSE)</f>
        <v>10</v>
      </c>
      <c r="BG60" s="24"/>
      <c r="BH60" s="25">
        <f>AY36</f>
        <v>0</v>
      </c>
      <c r="BI60" s="451">
        <f t="shared" si="2"/>
        <v>0</v>
      </c>
      <c r="BJ60" s="107">
        <f>VLOOKUP(BD60,CENY!$B$11:$M$2005,12,FALSE)</f>
        <v>243.93</v>
      </c>
      <c r="BK60" s="107">
        <f t="shared" si="3"/>
        <v>0</v>
      </c>
    </row>
    <row r="61" spans="47:63" ht="14.4" customHeight="1">
      <c r="AU61" s="441"/>
      <c r="AV61" s="23"/>
      <c r="AW61" s="24"/>
      <c r="AX61" s="24"/>
      <c r="AY61" s="25"/>
      <c r="AZ61" s="451" t="str">
        <f t="shared" si="8"/>
        <v/>
      </c>
      <c r="BA61" s="107"/>
      <c r="BB61" s="107" t="str">
        <f t="shared" si="9"/>
        <v/>
      </c>
      <c r="BD61" s="441">
        <f>OBJ!B248</f>
        <v>9256980</v>
      </c>
      <c r="BE61" s="23" t="str">
        <f>VLOOKUP(BD61,CENY!$B$11:$G$1034,2,FALSE)</f>
        <v>ACTRO YOU 40KG PLNOVÝSUV 350 MM EB21 SILENT SYSTEM LEVÝ</v>
      </c>
      <c r="BF61" s="24">
        <f>VLOOKUP(BD61,CENY!$B$11:$G$1034,3,FALSE)</f>
        <v>10</v>
      </c>
      <c r="BG61" s="24"/>
      <c r="BH61" s="25">
        <f>AY37</f>
        <v>0</v>
      </c>
      <c r="BI61" s="451">
        <f t="shared" si="2"/>
        <v>0</v>
      </c>
      <c r="BJ61" s="107">
        <f>VLOOKUP(BD61,CENY!$B$11:$M$2005,12,FALSE)</f>
        <v>243.93</v>
      </c>
      <c r="BK61" s="107">
        <f t="shared" si="3"/>
        <v>0</v>
      </c>
    </row>
    <row r="62" spans="47:63" ht="14.4" customHeight="1">
      <c r="AU62" s="441">
        <f>OBJ!B207</f>
        <v>0</v>
      </c>
      <c r="AV62" s="23" t="e">
        <f>VLOOKUP(AU62,CENY!$B$11:$G$1034,2,FALSE)</f>
        <v>#N/A</v>
      </c>
      <c r="AW62" s="24" t="e">
        <f>VLOOKUP(AU62,CENY!$B$11:$G$1034,3,FALSE)</f>
        <v>#N/A</v>
      </c>
      <c r="AX62" s="24"/>
      <c r="AY62" s="77">
        <f>IF(FORM!AM21&lt;&gt;FORM!AW16,(4*(SUM(O19:AD19)+SUM(W20:AF20)+SUM(O25:AD25))),0)</f>
        <v>0</v>
      </c>
      <c r="AZ62" s="451">
        <f t="shared" si="8"/>
        <v>0</v>
      </c>
      <c r="BA62" s="449" t="str">
        <f>IF(AU62=0,"",VLOOKUP(AU62,CENY!$B$11:$M$2005,12,FALSE))</f>
        <v/>
      </c>
      <c r="BB62" s="107" t="str">
        <f t="shared" si="9"/>
        <v/>
      </c>
      <c r="BD62" s="441">
        <f>OBJ!B249</f>
        <v>9256981</v>
      </c>
      <c r="BE62" s="23" t="str">
        <f>VLOOKUP(BD62,CENY!$B$11:$G$1034,2,FALSE)</f>
        <v>ACTRO YOU 40KG PLNOVÝSUV 350 MM EB21 SILENT SYSTEM PRAVÝ</v>
      </c>
      <c r="BF62" s="24">
        <f>VLOOKUP(BD62,CENY!$B$11:$G$1034,3,FALSE)</f>
        <v>10</v>
      </c>
      <c r="BG62" s="24"/>
      <c r="BH62" s="25">
        <f>AY37</f>
        <v>0</v>
      </c>
      <c r="BI62" s="451">
        <f t="shared" si="2"/>
        <v>0</v>
      </c>
      <c r="BJ62" s="107">
        <f>VLOOKUP(BD62,CENY!$B$11:$M$2005,12,FALSE)</f>
        <v>243.93</v>
      </c>
      <c r="BK62" s="107">
        <f t="shared" si="3"/>
        <v>0</v>
      </c>
    </row>
    <row r="63" spans="47:63" ht="14.4" customHeight="1">
      <c r="AU63" s="441"/>
      <c r="AV63" s="23"/>
      <c r="AW63" s="24"/>
      <c r="AX63" s="24"/>
      <c r="AY63" s="25"/>
      <c r="AZ63" s="451" t="str">
        <f t="shared" si="8"/>
        <v/>
      </c>
      <c r="BA63" s="107"/>
      <c r="BB63" s="107" t="str">
        <f t="shared" si="9"/>
        <v/>
      </c>
      <c r="BD63" s="441">
        <f>OBJ!B250</f>
        <v>9256984</v>
      </c>
      <c r="BE63" s="23" t="str">
        <f>VLOOKUP(BD63,CENY!$B$11:$G$1034,2,FALSE)</f>
        <v>ACTRO YOU 40KG PLNOVÝSUV 400 MM EB21 SILENT SYSTEM LEVÝ</v>
      </c>
      <c r="BF63" s="24">
        <f>VLOOKUP(BD63,CENY!$B$11:$G$1034,3,FALSE)</f>
        <v>10</v>
      </c>
      <c r="BG63" s="24"/>
      <c r="BH63" s="25">
        <f>AY38</f>
        <v>0</v>
      </c>
      <c r="BI63" s="451">
        <f t="shared" si="2"/>
        <v>0</v>
      </c>
      <c r="BJ63" s="107">
        <f>VLOOKUP(BD63,CENY!$B$11:$M$2005,12,FALSE)</f>
        <v>247.05</v>
      </c>
      <c r="BK63" s="107">
        <f t="shared" si="3"/>
        <v>0</v>
      </c>
    </row>
    <row r="64" spans="47:63" ht="14.4" customHeight="1">
      <c r="AU64" s="441"/>
      <c r="AV64" s="23"/>
      <c r="AW64" s="24"/>
      <c r="AX64" s="24"/>
      <c r="AY64" s="25"/>
      <c r="AZ64" s="451" t="str">
        <f t="shared" si="8"/>
        <v/>
      </c>
      <c r="BA64" s="107"/>
      <c r="BB64" s="107" t="str">
        <f t="shared" si="9"/>
        <v/>
      </c>
      <c r="BD64" s="441">
        <f>OBJ!B251</f>
        <v>9256985</v>
      </c>
      <c r="BE64" s="23" t="str">
        <f>VLOOKUP(BD64,CENY!$B$11:$G$1034,2,FALSE)</f>
        <v>ACTRO YOU 40KG PLNOVÝSUV 400 MM EB21 SILENT SYSTEM PRAVÝ</v>
      </c>
      <c r="BF64" s="24">
        <f>VLOOKUP(BD64,CENY!$B$11:$G$1034,3,FALSE)</f>
        <v>10</v>
      </c>
      <c r="BG64" s="24"/>
      <c r="BH64" s="25">
        <f>AY38</f>
        <v>0</v>
      </c>
      <c r="BI64" s="451">
        <f t="shared" si="2"/>
        <v>0</v>
      </c>
      <c r="BJ64" s="107">
        <f>VLOOKUP(BD64,CENY!$B$11:$M$2005,12,FALSE)</f>
        <v>247.05</v>
      </c>
      <c r="BK64" s="107">
        <f t="shared" si="3"/>
        <v>0</v>
      </c>
    </row>
    <row r="65" spans="47:63" ht="14.4" customHeight="1">
      <c r="AU65" s="441"/>
      <c r="AV65" s="23"/>
      <c r="AW65" s="24"/>
      <c r="AX65" s="24"/>
      <c r="AY65" s="25"/>
      <c r="AZ65" s="451" t="str">
        <f t="shared" si="8"/>
        <v/>
      </c>
      <c r="BA65" s="107"/>
      <c r="BB65" s="107" t="str">
        <f t="shared" si="9"/>
        <v/>
      </c>
      <c r="BD65" s="441">
        <f>OBJ!B252</f>
        <v>9256988</v>
      </c>
      <c r="BE65" s="23" t="str">
        <f>VLOOKUP(BD65,CENY!$B$11:$G$1034,2,FALSE)</f>
        <v>ACTRO YOU 40KG PLNOVÝSUV 450 MM EB21 SILENT SYSTEM LEVÝ</v>
      </c>
      <c r="BF65" s="24">
        <f>VLOOKUP(BD65,CENY!$B$11:$G$1034,3,FALSE)</f>
        <v>10</v>
      </c>
      <c r="BG65" s="24"/>
      <c r="BH65" s="25">
        <f>AY39</f>
        <v>0</v>
      </c>
      <c r="BI65" s="451">
        <f t="shared" si="2"/>
        <v>0</v>
      </c>
      <c r="BJ65" s="107">
        <f>VLOOKUP(BD65,CENY!$B$11:$M$2005,12,FALSE)</f>
        <v>250.14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8"/>
        <v/>
      </c>
      <c r="BA66" s="107"/>
      <c r="BB66" s="107" t="str">
        <f t="shared" si="9"/>
        <v/>
      </c>
      <c r="BD66" s="441">
        <f>OBJ!B253</f>
        <v>9256989</v>
      </c>
      <c r="BE66" s="23" t="str">
        <f>VLOOKUP(BD66,CENY!$B$11:$G$1034,2,FALSE)</f>
        <v>ACTRO YOU 40KG PLNOVÝSUV 450 MM EB21 SILENT SYSTEM PRAVÝ</v>
      </c>
      <c r="BF66" s="24">
        <f>VLOOKUP(BD66,CENY!$B$11:$G$1034,3,FALSE)</f>
        <v>10</v>
      </c>
      <c r="BG66" s="24"/>
      <c r="BH66" s="25">
        <f>AY39</f>
        <v>0</v>
      </c>
      <c r="BI66" s="451">
        <f t="shared" si="2"/>
        <v>0</v>
      </c>
      <c r="BJ66" s="107">
        <f>VLOOKUP(BD66,CENY!$B$11:$M$2005,12,FALSE)</f>
        <v>250.14</v>
      </c>
      <c r="BK66" s="107">
        <f t="shared" si="3"/>
        <v>0</v>
      </c>
    </row>
    <row r="67" spans="47:63" ht="14.4" customHeight="1">
      <c r="AU67" s="441"/>
      <c r="AV67" s="23"/>
      <c r="AW67" s="24"/>
      <c r="AX67" s="24"/>
      <c r="AY67" s="25"/>
      <c r="AZ67" s="451" t="str">
        <f t="shared" si="8"/>
        <v/>
      </c>
      <c r="BA67" s="107"/>
      <c r="BB67" s="107" t="str">
        <f t="shared" si="9"/>
        <v/>
      </c>
      <c r="BD67" s="441">
        <f>OBJ!B254</f>
        <v>9256992</v>
      </c>
      <c r="BE67" s="23" t="str">
        <f>VLOOKUP(BD67,CENY!$B$11:$G$1034,2,FALSE)</f>
        <v>ACTRO YOU 40KG PLNOVÝSUV 500 MM EB21 SILENT SYSTEM LEVÝ</v>
      </c>
      <c r="BF67" s="24">
        <f>VLOOKUP(BD67,CENY!$B$11:$G$1034,3,FALSE)</f>
        <v>10</v>
      </c>
      <c r="BG67" s="24"/>
      <c r="BH67" s="25">
        <f>AY40</f>
        <v>0</v>
      </c>
      <c r="BI67" s="451">
        <f t="shared" si="2"/>
        <v>0</v>
      </c>
      <c r="BJ67" s="107">
        <f>VLOOKUP(BD67,CENY!$B$11:$M$2005,12,FALSE)</f>
        <v>253.25</v>
      </c>
      <c r="BK67" s="107">
        <f t="shared" si="3"/>
        <v>0</v>
      </c>
    </row>
    <row r="68" spans="47:63" ht="14.4" customHeight="1">
      <c r="AU68" s="441"/>
      <c r="AV68" s="23"/>
      <c r="AW68" s="24"/>
      <c r="AX68" s="24"/>
      <c r="AY68" s="25"/>
      <c r="AZ68" s="451" t="str">
        <f t="shared" si="8"/>
        <v/>
      </c>
      <c r="BA68" s="107"/>
      <c r="BB68" s="107" t="str">
        <f t="shared" si="9"/>
        <v/>
      </c>
      <c r="BD68" s="441">
        <f>OBJ!B255</f>
        <v>9256993</v>
      </c>
      <c r="BE68" s="23" t="str">
        <f>VLOOKUP(BD68,CENY!$B$11:$G$1034,2,FALSE)</f>
        <v>ACTRO YOU 40KG PLNOVÝSUV 500 MM EB21 SILENT SYSTEM PRAVÝ</v>
      </c>
      <c r="BF68" s="24">
        <f>VLOOKUP(BD68,CENY!$B$11:$G$1034,3,FALSE)</f>
        <v>10</v>
      </c>
      <c r="BG68" s="24"/>
      <c r="BH68" s="25">
        <f>AY40</f>
        <v>0</v>
      </c>
      <c r="BI68" s="451">
        <f t="shared" si="2"/>
        <v>0</v>
      </c>
      <c r="BJ68" s="107">
        <f>VLOOKUP(BD68,CENY!$B$11:$M$2005,12,FALSE)</f>
        <v>253.25</v>
      </c>
      <c r="BK68" s="107">
        <f t="shared" si="3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si="8"/>
        <v/>
      </c>
      <c r="BA69" s="107"/>
      <c r="BB69" s="107" t="str">
        <f t="shared" si="9"/>
        <v/>
      </c>
      <c r="BD69" s="441">
        <f>OBJ!B256</f>
        <v>9256996</v>
      </c>
      <c r="BE69" s="23" t="str">
        <f>VLOOKUP(BD69,CENY!$B$11:$G$1034,2,FALSE)</f>
        <v>ACTRO YOU 40KG PLNOVÝSUV 550 MM EB21 SILENT SYSTEM LEVÝ</v>
      </c>
      <c r="BF69" s="24">
        <f>VLOOKUP(BD69,CENY!$B$11:$G$1034,3,FALSE)</f>
        <v>10</v>
      </c>
      <c r="BG69" s="24"/>
      <c r="BH69" s="25">
        <f>AY41</f>
        <v>0</v>
      </c>
      <c r="BI69" s="451">
        <f t="shared" si="2"/>
        <v>0</v>
      </c>
      <c r="BJ69" s="107">
        <f>VLOOKUP(BD69,CENY!$B$11:$M$2005,12,FALSE)</f>
        <v>269.83999999999997</v>
      </c>
      <c r="BK69" s="107">
        <f t="shared" si="3"/>
        <v>0</v>
      </c>
    </row>
    <row r="70" spans="47:63" ht="14.4" customHeight="1">
      <c r="AU70" s="22"/>
      <c r="AV70" s="23"/>
      <c r="AW70" s="24"/>
      <c r="AX70" s="24"/>
      <c r="AY70" s="25"/>
      <c r="AZ70" s="451" t="str">
        <f t="shared" si="8"/>
        <v/>
      </c>
      <c r="BA70" s="107"/>
      <c r="BB70" s="107" t="str">
        <f t="shared" si="9"/>
        <v/>
      </c>
      <c r="BD70" s="441">
        <f>OBJ!B257</f>
        <v>9256997</v>
      </c>
      <c r="BE70" s="23" t="str">
        <f>VLOOKUP(BD70,CENY!$B$11:$G$1034,2,FALSE)</f>
        <v>ACTRO YOU 40KG PLNOVÝSUV 550 MM EB21 SILENT SYSTEM PRAVÝ</v>
      </c>
      <c r="BF70" s="24">
        <f>VLOOKUP(BD70,CENY!$B$11:$G$1034,3,FALSE)</f>
        <v>10</v>
      </c>
      <c r="BG70" s="24"/>
      <c r="BH70" s="25">
        <f>AY41</f>
        <v>0</v>
      </c>
      <c r="BI70" s="451">
        <f t="shared" si="2"/>
        <v>0</v>
      </c>
      <c r="BJ70" s="107">
        <f>VLOOKUP(BD70,CENY!$B$11:$M$2005,12,FALSE)</f>
        <v>269.83999999999997</v>
      </c>
      <c r="BK70" s="107">
        <f t="shared" si="3"/>
        <v>0</v>
      </c>
    </row>
    <row r="71" spans="47:63" ht="14.4" customHeight="1">
      <c r="AU71" s="22"/>
      <c r="AV71" s="23"/>
      <c r="AW71" s="24"/>
      <c r="AX71" s="24"/>
      <c r="AY71" s="25"/>
      <c r="AZ71" s="451" t="str">
        <f t="shared" si="8"/>
        <v/>
      </c>
      <c r="BA71" s="107"/>
      <c r="BB71" s="107" t="str">
        <f t="shared" si="9"/>
        <v/>
      </c>
      <c r="BD71" s="441">
        <f>OBJ!B258</f>
        <v>9268679</v>
      </c>
      <c r="BE71" s="23" t="str">
        <f>VLOOKUP(BD71,CENY!$B$11:$G$1034,2,FALSE)</f>
        <v>ACTRO YOU 40KG PLNOVÝSUV 600 MM EB21 SILENT SYSTÉM LEVÝ</v>
      </c>
      <c r="BF71" s="24">
        <f>VLOOKUP(BD71,CENY!$B$11:$G$1034,3,FALSE)</f>
        <v>10</v>
      </c>
      <c r="BG71" s="24"/>
      <c r="BH71" s="25">
        <f>AY42</f>
        <v>0</v>
      </c>
      <c r="BI71" s="451">
        <f t="shared" si="2"/>
        <v>0</v>
      </c>
      <c r="BJ71" s="107">
        <f>VLOOKUP(BD71,CENY!$B$11:$M$2005,12,FALSE)</f>
        <v>273.51</v>
      </c>
      <c r="BK71" s="107">
        <f t="shared" si="3"/>
        <v>0</v>
      </c>
    </row>
    <row r="72" spans="47:63" ht="14.4" customHeight="1">
      <c r="AU72" s="22"/>
      <c r="AV72" s="23"/>
      <c r="AW72" s="24"/>
      <c r="AX72" s="24"/>
      <c r="AY72" s="25"/>
      <c r="AZ72" s="451" t="str">
        <f t="shared" si="8"/>
        <v/>
      </c>
      <c r="BA72" s="107"/>
      <c r="BB72" s="107" t="str">
        <f t="shared" si="9"/>
        <v/>
      </c>
      <c r="BD72" s="441">
        <f>OBJ!B259</f>
        <v>9268680</v>
      </c>
      <c r="BE72" s="23" t="str">
        <f>VLOOKUP(BD72,CENY!$B$11:$G$1034,2,FALSE)</f>
        <v>ACTRO YOU 40KG PLNOVÝSUV 600 MM EB21 SILENT SYSTÉM PRAVÝ</v>
      </c>
      <c r="BF72" s="24">
        <f>VLOOKUP(BD72,CENY!$B$11:$G$1034,3,FALSE)</f>
        <v>10</v>
      </c>
      <c r="BG72" s="24"/>
      <c r="BH72" s="25">
        <f>AY42</f>
        <v>0</v>
      </c>
      <c r="BI72" s="451">
        <f t="shared" si="2"/>
        <v>0</v>
      </c>
      <c r="BJ72" s="107">
        <f>VLOOKUP(BD72,CENY!$B$11:$M$2005,12,FALSE)</f>
        <v>273.51</v>
      </c>
      <c r="BK72" s="107">
        <f t="shared" si="3"/>
        <v>0</v>
      </c>
    </row>
    <row r="73" spans="47:63" ht="14.4" customHeight="1">
      <c r="AU73" s="22"/>
      <c r="AV73" s="23"/>
      <c r="AW73" s="24"/>
      <c r="AX73" s="24"/>
      <c r="AY73" s="25"/>
      <c r="AZ73" s="451" t="str">
        <f t="shared" si="8"/>
        <v/>
      </c>
      <c r="BA73" s="107"/>
      <c r="BB73" s="107" t="str">
        <f t="shared" si="9"/>
        <v/>
      </c>
      <c r="BD73" s="441"/>
      <c r="BE73" s="23"/>
      <c r="BF73" s="24"/>
      <c r="BG73" s="24"/>
      <c r="BH73" s="25"/>
      <c r="BI73" s="451" t="str">
        <f t="shared" si="2"/>
        <v/>
      </c>
      <c r="BJ73" s="107"/>
      <c r="BK73" s="107" t="str">
        <f t="shared" si="3"/>
        <v/>
      </c>
    </row>
    <row r="74" spans="47:63" ht="14.4" customHeight="1">
      <c r="AU74" s="22"/>
      <c r="AV74" s="23"/>
      <c r="AW74" s="24"/>
      <c r="AX74" s="24"/>
      <c r="AY74" s="25"/>
      <c r="AZ74" s="451" t="str">
        <f t="shared" si="8"/>
        <v/>
      </c>
      <c r="BA74" s="107"/>
      <c r="BB74" s="107" t="str">
        <f t="shared" si="9"/>
        <v/>
      </c>
      <c r="BD74" s="441">
        <f>OBJ!B266</f>
        <v>9257013</v>
      </c>
      <c r="BE74" s="23" t="str">
        <f>VLOOKUP(BD74,CENY!$B$11:$G$1034,2,FALSE)</f>
        <v>ACTRO YOU 70KG PLNOVÝSUV 450 MM EB21 SILENT SYSTEM LEVÝ</v>
      </c>
      <c r="BF74" s="24">
        <f>VLOOKUP(BD74,CENY!$B$11:$G$1034,3,FALSE)</f>
        <v>10</v>
      </c>
      <c r="BG74" s="24"/>
      <c r="BH74" s="25">
        <f>AY44</f>
        <v>0</v>
      </c>
      <c r="BI74" s="451">
        <f t="shared" si="2"/>
        <v>0</v>
      </c>
      <c r="BJ74" s="107">
        <f>VLOOKUP(BD74,CENY!$B$11:$M$2005,12,FALSE)</f>
        <v>309.07</v>
      </c>
      <c r="BK74" s="107">
        <f t="shared" si="3"/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8"/>
        <v/>
      </c>
      <c r="BA75" s="107"/>
      <c r="BB75" s="107" t="str">
        <f t="shared" si="9"/>
        <v/>
      </c>
      <c r="BD75" s="441">
        <f>OBJ!B267</f>
        <v>9257014</v>
      </c>
      <c r="BE75" s="23" t="str">
        <f>VLOOKUP(BD75,CENY!$B$11:$G$1034,2,FALSE)</f>
        <v>ACTRO YOU 70KG PLNOVÝSUV 450 MM EB21 SILENT SYSTEM PRAVÝ</v>
      </c>
      <c r="BF75" s="24">
        <f>VLOOKUP(BD75,CENY!$B$11:$G$1034,3,FALSE)</f>
        <v>10</v>
      </c>
      <c r="BG75" s="24"/>
      <c r="BH75" s="25">
        <f>AY44</f>
        <v>0</v>
      </c>
      <c r="BI75" s="451">
        <f t="shared" si="2"/>
        <v>0</v>
      </c>
      <c r="BJ75" s="107">
        <f>VLOOKUP(BD75,CENY!$B$11:$M$2005,12,FALSE)</f>
        <v>309.07</v>
      </c>
      <c r="BK75" s="107">
        <f t="shared" si="3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 t="shared" si="8"/>
        <v/>
      </c>
      <c r="BA76" s="107"/>
      <c r="BB76" s="107" t="str">
        <f t="shared" si="9"/>
        <v/>
      </c>
      <c r="BD76" s="441">
        <f>OBJ!B268</f>
        <v>9257017</v>
      </c>
      <c r="BE76" s="23" t="str">
        <f>VLOOKUP(BD76,CENY!$B$11:$G$1034,2,FALSE)</f>
        <v>ACTRO YOU 70KG PLNOVÝSUV 500 MM EB21 SILENT SYSTEM LEVÝ</v>
      </c>
      <c r="BF76" s="24">
        <f>VLOOKUP(BD76,CENY!$B$11:$G$1034,3,FALSE)</f>
        <v>10</v>
      </c>
      <c r="BG76" s="24"/>
      <c r="BH76" s="25">
        <f>AY45</f>
        <v>0</v>
      </c>
      <c r="BI76" s="451">
        <f t="shared" si="2"/>
        <v>0</v>
      </c>
      <c r="BJ76" s="107">
        <f>VLOOKUP(BD76,CENY!$B$11:$M$2005,12,FALSE)</f>
        <v>312.18</v>
      </c>
      <c r="BK76" s="107">
        <f t="shared" si="3"/>
        <v>0</v>
      </c>
    </row>
    <row r="77" spans="47:63" ht="14.4" customHeight="1">
      <c r="AU77" s="22"/>
      <c r="AV77" s="23"/>
      <c r="AW77" s="24"/>
      <c r="AX77" s="24"/>
      <c r="AY77" s="25"/>
      <c r="AZ77" s="451" t="str">
        <f t="shared" si="8"/>
        <v/>
      </c>
      <c r="BA77" s="107"/>
      <c r="BB77" s="107" t="str">
        <f t="shared" si="9"/>
        <v/>
      </c>
      <c r="BD77" s="441">
        <f>OBJ!B269</f>
        <v>9257018</v>
      </c>
      <c r="BE77" s="23" t="str">
        <f>VLOOKUP(BD77,CENY!$B$11:$G$1034,2,FALSE)</f>
        <v>ACTRO YOU 70KG PLNOVÝSUV 500 MM EB21 SILENT SYSTEM PRAVÝ</v>
      </c>
      <c r="BF77" s="24">
        <f>VLOOKUP(BD77,CENY!$B$11:$G$1034,3,FALSE)</f>
        <v>10</v>
      </c>
      <c r="BG77" s="24"/>
      <c r="BH77" s="25">
        <f>AY45</f>
        <v>0</v>
      </c>
      <c r="BI77" s="451">
        <f t="shared" si="2"/>
        <v>0</v>
      </c>
      <c r="BJ77" s="107">
        <f>VLOOKUP(BD77,CENY!$B$11:$M$2005,12,FALSE)</f>
        <v>312.18</v>
      </c>
      <c r="BK77" s="107">
        <f t="shared" si="3"/>
        <v>0</v>
      </c>
    </row>
    <row r="78" spans="47:63" ht="14.4" customHeight="1">
      <c r="AU78" s="22"/>
      <c r="AV78" s="23"/>
      <c r="AW78" s="24"/>
      <c r="AX78" s="24"/>
      <c r="AY78" s="25"/>
      <c r="AZ78" s="451" t="str">
        <f t="shared" si="8"/>
        <v/>
      </c>
      <c r="BA78" s="107"/>
      <c r="BB78" s="107" t="str">
        <f t="shared" si="9"/>
        <v/>
      </c>
      <c r="BD78" s="441">
        <f>OBJ!B270</f>
        <v>9257021</v>
      </c>
      <c r="BE78" s="23" t="str">
        <f>VLOOKUP(BD78,CENY!$B$11:$G$1034,2,FALSE)</f>
        <v>ACTRO YOU 70KG PLNOVÝSUV 550 MM EB21 SILENT SYSTEM LEVÝ</v>
      </c>
      <c r="BF78" s="24">
        <f>VLOOKUP(BD78,CENY!$B$11:$G$1034,3,FALSE)</f>
        <v>10</v>
      </c>
      <c r="BG78" s="24"/>
      <c r="BH78" s="25">
        <f>AY46</f>
        <v>0</v>
      </c>
      <c r="BI78" s="451">
        <f t="shared" si="2"/>
        <v>0</v>
      </c>
      <c r="BJ78" s="107">
        <f>VLOOKUP(BD78,CENY!$B$11:$M$2005,12,FALSE)</f>
        <v>328.77</v>
      </c>
      <c r="BK78" s="107">
        <f t="shared" si="3"/>
        <v>0</v>
      </c>
    </row>
    <row r="79" spans="47:63" ht="14.4" customHeight="1">
      <c r="AU79" s="22"/>
      <c r="AV79" s="23"/>
      <c r="AW79" s="24"/>
      <c r="AX79" s="24"/>
      <c r="AY79" s="25"/>
      <c r="AZ79" s="451" t="str">
        <f t="shared" si="8"/>
        <v/>
      </c>
      <c r="BA79" s="107"/>
      <c r="BB79" s="107" t="str">
        <f t="shared" si="9"/>
        <v/>
      </c>
      <c r="BD79" s="441">
        <f>OBJ!B271</f>
        <v>9257022</v>
      </c>
      <c r="BE79" s="23" t="str">
        <f>VLOOKUP(BD79,CENY!$B$11:$G$1034,2,FALSE)</f>
        <v>ACTRO YOU 70KG PLNOVÝSUV 550 MM EB21 SILENT SYSTEM PRAVÝ</v>
      </c>
      <c r="BF79" s="24">
        <f>VLOOKUP(BD79,CENY!$B$11:$G$1034,3,FALSE)</f>
        <v>10</v>
      </c>
      <c r="BG79" s="24"/>
      <c r="BH79" s="25">
        <f>AY46</f>
        <v>0</v>
      </c>
      <c r="BI79" s="451">
        <f t="shared" si="2"/>
        <v>0</v>
      </c>
      <c r="BJ79" s="107">
        <f>VLOOKUP(BD79,CENY!$B$11:$M$2005,12,FALSE)</f>
        <v>328.77</v>
      </c>
      <c r="BK79" s="107">
        <f t="shared" si="3"/>
        <v>0</v>
      </c>
    </row>
    <row r="80" spans="47:63" ht="14.4" customHeight="1">
      <c r="AU80" s="22"/>
      <c r="AV80" s="23"/>
      <c r="AW80" s="24"/>
      <c r="AX80" s="24"/>
      <c r="AY80" s="25"/>
      <c r="AZ80" s="451" t="str">
        <f t="shared" si="8"/>
        <v/>
      </c>
      <c r="BA80" s="107"/>
      <c r="BB80" s="107" t="str">
        <f t="shared" si="9"/>
        <v/>
      </c>
      <c r="BD80" s="441">
        <f>OBJ!B272</f>
        <v>9257025</v>
      </c>
      <c r="BE80" s="23" t="str">
        <f>VLOOKUP(BD80,CENY!$B$11:$G$1034,2,FALSE)</f>
        <v>ACTRO YOU 70KG PLNOVÝSUV 600 MM EB21 SILENT SYSTEM LEVÝ</v>
      </c>
      <c r="BF80" s="24">
        <f>VLOOKUP(BD80,CENY!$B$11:$G$1034,3,FALSE)</f>
        <v>10</v>
      </c>
      <c r="BG80" s="24"/>
      <c r="BH80" s="25">
        <f>AY47</f>
        <v>0</v>
      </c>
      <c r="BI80" s="451">
        <f t="shared" si="2"/>
        <v>0</v>
      </c>
      <c r="BJ80" s="107">
        <f>VLOOKUP(BD80,CENY!$B$11:$M$2005,12,FALSE)</f>
        <v>362.28</v>
      </c>
      <c r="BK80" s="107">
        <f t="shared" si="3"/>
        <v>0</v>
      </c>
    </row>
    <row r="81" spans="47:63" ht="14.4" customHeight="1">
      <c r="AU81" s="22"/>
      <c r="AV81" s="23"/>
      <c r="AW81" s="24"/>
      <c r="AX81" s="24"/>
      <c r="AY81" s="25"/>
      <c r="AZ81" s="451" t="str">
        <f t="shared" si="8"/>
        <v/>
      </c>
      <c r="BA81" s="107"/>
      <c r="BB81" s="107" t="str">
        <f t="shared" si="9"/>
        <v/>
      </c>
      <c r="BD81" s="441">
        <f>OBJ!B273</f>
        <v>9257026</v>
      </c>
      <c r="BE81" s="23" t="str">
        <f>VLOOKUP(BD81,CENY!$B$11:$G$1034,2,FALSE)</f>
        <v>ACTRO YOU 70KG PLNOVÝSUV 600 MM EB21 SILENT SYSTEM PRAVÝ</v>
      </c>
      <c r="BF81" s="24">
        <f>VLOOKUP(BD81,CENY!$B$11:$G$1034,3,FALSE)</f>
        <v>10</v>
      </c>
      <c r="BG81" s="24"/>
      <c r="BH81" s="25">
        <f>AY47</f>
        <v>0</v>
      </c>
      <c r="BI81" s="451">
        <f t="shared" si="2"/>
        <v>0</v>
      </c>
      <c r="BJ81" s="107">
        <f>VLOOKUP(BD81,CENY!$B$11:$M$2005,12,FALSE)</f>
        <v>362.28</v>
      </c>
      <c r="BK81" s="107">
        <f t="shared" si="3"/>
        <v>0</v>
      </c>
    </row>
    <row r="82" spans="47:63" ht="14.4" customHeight="1">
      <c r="AU82" s="22"/>
      <c r="AV82" s="23"/>
      <c r="AW82" s="24"/>
      <c r="AX82" s="24"/>
      <c r="AY82" s="25"/>
      <c r="AZ82" s="451" t="str">
        <f t="shared" si="8"/>
        <v/>
      </c>
      <c r="BA82" s="107"/>
      <c r="BB82" s="107" t="str">
        <f t="shared" si="9"/>
        <v/>
      </c>
      <c r="BD82" s="441">
        <f>OBJ!B274</f>
        <v>9257027</v>
      </c>
      <c r="BE82" s="23" t="str">
        <f>VLOOKUP(BD82,CENY!$B$11:$G$1034,2,FALSE)</f>
        <v>ACTRO YOU 70KG PLNOVÝSUV 650 MM EB21 SILENT SYSTEM LEVÝ</v>
      </c>
      <c r="BF82" s="24">
        <f>VLOOKUP(BD82,CENY!$B$11:$G$1034,3,FALSE)</f>
        <v>5</v>
      </c>
      <c r="BG82" s="24"/>
      <c r="BH82" s="25">
        <f>AY48</f>
        <v>0</v>
      </c>
      <c r="BI82" s="451">
        <f t="shared" si="2"/>
        <v>0</v>
      </c>
      <c r="BJ82" s="107">
        <f>VLOOKUP(BD82,CENY!$B$11:$M$2005,12,FALSE)</f>
        <v>377.39</v>
      </c>
      <c r="BK82" s="107">
        <f t="shared" si="3"/>
        <v>0</v>
      </c>
    </row>
    <row r="83" spans="47:63" ht="14.4" customHeight="1">
      <c r="AU83" s="22"/>
      <c r="AV83" s="23"/>
      <c r="AW83" s="24"/>
      <c r="AX83" s="24"/>
      <c r="AY83" s="25"/>
      <c r="AZ83" s="451" t="str">
        <f t="shared" si="8"/>
        <v/>
      </c>
      <c r="BA83" s="107"/>
      <c r="BB83" s="107" t="str">
        <f t="shared" si="9"/>
        <v/>
      </c>
      <c r="BD83" s="441">
        <f>OBJ!B275</f>
        <v>9257028</v>
      </c>
      <c r="BE83" s="23" t="str">
        <f>VLOOKUP(BD83,CENY!$B$11:$G$1034,2,FALSE)</f>
        <v>ACTRO YOU 70KG PLNOVÝSUV 650 MM EB21 SILENT SYSTEM PRAVÝ</v>
      </c>
      <c r="BF83" s="24">
        <f>VLOOKUP(BD83,CENY!$B$11:$G$1034,3,FALSE)</f>
        <v>5</v>
      </c>
      <c r="BG83" s="24"/>
      <c r="BH83" s="25">
        <f>AY48</f>
        <v>0</v>
      </c>
      <c r="BI83" s="451">
        <f t="shared" ref="BI83:BI115" si="10">IF(BH83="","",IF($AW$4=0,BH83,0))</f>
        <v>0</v>
      </c>
      <c r="BJ83" s="107">
        <f>VLOOKUP(BD83,CENY!$B$11:$M$2005,12,FALSE)</f>
        <v>377.39</v>
      </c>
      <c r="BK83" s="107">
        <f t="shared" ref="BK83:BK115" si="11">IF(BJ83="","",BJ83*BH83)</f>
        <v>0</v>
      </c>
    </row>
    <row r="84" spans="47:63" ht="14.4" customHeight="1">
      <c r="AU84" s="22"/>
      <c r="AV84" s="23"/>
      <c r="AW84" s="24"/>
      <c r="AX84" s="24"/>
      <c r="AY84" s="25"/>
      <c r="AZ84" s="451" t="str">
        <f t="shared" si="8"/>
        <v/>
      </c>
      <c r="BA84" s="107"/>
      <c r="BB84" s="107" t="str">
        <f t="shared" si="9"/>
        <v/>
      </c>
      <c r="BD84" s="441"/>
      <c r="BE84" s="23"/>
      <c r="BF84" s="24"/>
      <c r="BG84" s="24"/>
      <c r="BH84" s="25"/>
      <c r="BI84" s="451" t="str">
        <f t="shared" si="10"/>
        <v/>
      </c>
      <c r="BJ84" s="107"/>
      <c r="BK84" s="107" t="str">
        <f t="shared" si="11"/>
        <v/>
      </c>
    </row>
    <row r="85" spans="47:63" ht="14.4" customHeight="1">
      <c r="AU85" s="22"/>
      <c r="AV85" s="23"/>
      <c r="AW85" s="24"/>
      <c r="AX85" s="24"/>
      <c r="AY85" s="25"/>
      <c r="AZ85" s="451" t="str">
        <f t="shared" si="8"/>
        <v/>
      </c>
      <c r="BA85" s="107"/>
      <c r="BB85" s="107" t="str">
        <f t="shared" si="9"/>
        <v/>
      </c>
      <c r="BD85" s="441">
        <f>OBJ!B305</f>
        <v>9256854</v>
      </c>
      <c r="BE85" s="23" t="str">
        <f>VLOOKUP(BD85,CENY!$B$11:$G$1034,2,FALSE)</f>
        <v>QUADRO YOU PLNOVÝSUV 270 MM EB21 SILENT SYSTEM LEVÝ</v>
      </c>
      <c r="BF85" s="24">
        <f>VLOOKUP(BD85,CENY!$B$11:$G$1034,3,FALSE)</f>
        <v>20</v>
      </c>
      <c r="BG85" s="24"/>
      <c r="BH85" s="25">
        <f>AY50</f>
        <v>0</v>
      </c>
      <c r="BI85" s="451">
        <f t="shared" si="10"/>
        <v>0</v>
      </c>
      <c r="BJ85" s="107">
        <f>VLOOKUP(BD85,CENY!$B$11:$M$2005,12,FALSE)</f>
        <v>174.19</v>
      </c>
      <c r="BK85" s="107">
        <f t="shared" si="11"/>
        <v>0</v>
      </c>
    </row>
    <row r="86" spans="47:63" ht="14.4" customHeight="1">
      <c r="AU86" s="22"/>
      <c r="AV86" s="23"/>
      <c r="AW86" s="24"/>
      <c r="AX86" s="24"/>
      <c r="AY86" s="25"/>
      <c r="AZ86" s="451" t="str">
        <f t="shared" si="8"/>
        <v/>
      </c>
      <c r="BA86" s="107"/>
      <c r="BB86" s="107" t="str">
        <f t="shared" si="9"/>
        <v/>
      </c>
      <c r="BD86" s="441">
        <f>OBJ!B306</f>
        <v>9256855</v>
      </c>
      <c r="BE86" s="23" t="str">
        <f>VLOOKUP(BD86,CENY!$B$11:$G$1034,2,FALSE)</f>
        <v>QUADRO YOU PLNOVÝSUV 270 MM EB21 SILENT SYSTEM PRAVÝ</v>
      </c>
      <c r="BF86" s="24">
        <f>VLOOKUP(BD86,CENY!$B$11:$G$1034,3,FALSE)</f>
        <v>20</v>
      </c>
      <c r="BG86" s="24"/>
      <c r="BH86" s="25">
        <f>AY50</f>
        <v>0</v>
      </c>
      <c r="BI86" s="451">
        <f t="shared" si="10"/>
        <v>0</v>
      </c>
      <c r="BJ86" s="107">
        <f>VLOOKUP(BD86,CENY!$B$11:$M$2005,12,FALSE)</f>
        <v>174.19</v>
      </c>
      <c r="BK86" s="107">
        <f t="shared" si="11"/>
        <v>0</v>
      </c>
    </row>
    <row r="87" spans="47:63" ht="14.4" customHeight="1">
      <c r="AU87" s="22"/>
      <c r="AV87" s="23"/>
      <c r="AW87" s="24"/>
      <c r="AX87" s="24"/>
      <c r="AY87" s="25"/>
      <c r="AZ87" s="451" t="str">
        <f t="shared" si="8"/>
        <v/>
      </c>
      <c r="BA87" s="107"/>
      <c r="BB87" s="107" t="str">
        <f t="shared" si="9"/>
        <v/>
      </c>
      <c r="BD87" s="441">
        <f>OBJ!B307</f>
        <v>9256856</v>
      </c>
      <c r="BE87" s="23" t="str">
        <f>VLOOKUP(BD87,CENY!$B$11:$G$1034,2,FALSE)</f>
        <v>QUADRO YOU PLNOVÝSUV 300 MM EB21 SILENT SYSTEM LEVÝ</v>
      </c>
      <c r="BF87" s="24">
        <f>VLOOKUP(BD87,CENY!$B$11:$G$1034,3,FALSE)</f>
        <v>20</v>
      </c>
      <c r="BG87" s="24"/>
      <c r="BH87" s="25">
        <f>AY51</f>
        <v>0</v>
      </c>
      <c r="BI87" s="451">
        <f t="shared" si="10"/>
        <v>0</v>
      </c>
      <c r="BJ87" s="107">
        <f>VLOOKUP(BD87,CENY!$B$11:$M$2005,12,FALSE)</f>
        <v>172.7</v>
      </c>
      <c r="BK87" s="107">
        <f t="shared" si="11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8"/>
        <v/>
      </c>
      <c r="BA88" s="107"/>
      <c r="BB88" s="107" t="str">
        <f t="shared" si="9"/>
        <v/>
      </c>
      <c r="BD88" s="441">
        <f>OBJ!B308</f>
        <v>9256857</v>
      </c>
      <c r="BE88" s="23" t="str">
        <f>VLOOKUP(BD88,CENY!$B$11:$G$1034,2,FALSE)</f>
        <v>QUADRO YOU PLNOVÝSUV 300 MM EB21 SILENT SYSTEM PRAVÝ</v>
      </c>
      <c r="BF88" s="24">
        <f>VLOOKUP(BD88,CENY!$B$11:$G$1034,3,FALSE)</f>
        <v>20</v>
      </c>
      <c r="BG88" s="24"/>
      <c r="BH88" s="25">
        <f>AY51</f>
        <v>0</v>
      </c>
      <c r="BI88" s="451">
        <f t="shared" si="10"/>
        <v>0</v>
      </c>
      <c r="BJ88" s="107">
        <f>VLOOKUP(BD88,CENY!$B$11:$M$2005,12,FALSE)</f>
        <v>172.7</v>
      </c>
      <c r="BK88" s="107">
        <f t="shared" si="11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8"/>
        <v/>
      </c>
      <c r="BA89" s="107"/>
      <c r="BB89" s="107" t="str">
        <f t="shared" si="9"/>
        <v/>
      </c>
      <c r="BD89" s="441">
        <f>OBJ!B309</f>
        <v>9256860</v>
      </c>
      <c r="BE89" s="23" t="str">
        <f>VLOOKUP(BD89,CENY!$B$11:$G$1034,2,FALSE)</f>
        <v>QUADRO YOU PLNOVÝSUV 350 MM EB21 SILENT SYSTEM LEVÝ</v>
      </c>
      <c r="BF89" s="24">
        <f>VLOOKUP(BD89,CENY!$B$11:$G$1034,3,FALSE)</f>
        <v>20</v>
      </c>
      <c r="BG89" s="24"/>
      <c r="BH89" s="25">
        <f>AY52</f>
        <v>0</v>
      </c>
      <c r="BI89" s="451">
        <f t="shared" si="10"/>
        <v>0</v>
      </c>
      <c r="BJ89" s="107">
        <f>VLOOKUP(BD89,CENY!$B$11:$M$2005,12,FALSE)</f>
        <v>176.43</v>
      </c>
      <c r="BK89" s="107">
        <f t="shared" si="11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8"/>
        <v/>
      </c>
      <c r="BA90" s="107"/>
      <c r="BB90" s="107" t="str">
        <f t="shared" si="9"/>
        <v/>
      </c>
      <c r="BD90" s="441">
        <f>OBJ!B310</f>
        <v>9256861</v>
      </c>
      <c r="BE90" s="23" t="str">
        <f>VLOOKUP(BD90,CENY!$B$11:$G$1034,2,FALSE)</f>
        <v>QUADRO YOU PLNOVÝSUV 350 MM EB21 SILENT SYSTEM PRAVÝ</v>
      </c>
      <c r="BF90" s="24">
        <f>VLOOKUP(BD90,CENY!$B$11:$G$1034,3,FALSE)</f>
        <v>20</v>
      </c>
      <c r="BG90" s="24"/>
      <c r="BH90" s="25">
        <f>AY52</f>
        <v>0</v>
      </c>
      <c r="BI90" s="451">
        <f t="shared" si="10"/>
        <v>0</v>
      </c>
      <c r="BJ90" s="107">
        <f>VLOOKUP(BD90,CENY!$B$11:$M$2005,12,FALSE)</f>
        <v>176.43</v>
      </c>
      <c r="BK90" s="107">
        <f t="shared" si="11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8"/>
        <v/>
      </c>
      <c r="BA91" s="107"/>
      <c r="BB91" s="107" t="str">
        <f t="shared" si="9"/>
        <v/>
      </c>
      <c r="BD91" s="441">
        <f>OBJ!B311</f>
        <v>9256864</v>
      </c>
      <c r="BE91" s="23" t="str">
        <f>VLOOKUP(BD91,CENY!$B$11:$G$1034,2,FALSE)</f>
        <v>QUADRO YOU PLNOVÝSUV 400 MM EB21 SILENT SYSTEM LEVÝ</v>
      </c>
      <c r="BF91" s="24">
        <f>VLOOKUP(BD91,CENY!$B$11:$G$1034,3,FALSE)</f>
        <v>20</v>
      </c>
      <c r="BG91" s="24"/>
      <c r="BH91" s="25">
        <f>AY53</f>
        <v>0</v>
      </c>
      <c r="BI91" s="451">
        <f t="shared" si="10"/>
        <v>0</v>
      </c>
      <c r="BJ91" s="107">
        <f>VLOOKUP(BD91,CENY!$B$11:$M$2005,12,FALSE)</f>
        <v>180.17</v>
      </c>
      <c r="BK91" s="107">
        <f t="shared" si="11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8"/>
        <v/>
      </c>
      <c r="BA92" s="107"/>
      <c r="BB92" s="107" t="str">
        <f t="shared" si="9"/>
        <v/>
      </c>
      <c r="BD92" s="441">
        <f>OBJ!B312</f>
        <v>9256865</v>
      </c>
      <c r="BE92" s="23" t="str">
        <f>VLOOKUP(BD92,CENY!$B$11:$G$1034,2,FALSE)</f>
        <v>QUADRO YOU PLNOVÝSUV 400 MM EB21 SILENT SYSTEM PRAVÝ</v>
      </c>
      <c r="BF92" s="24">
        <f>VLOOKUP(BD92,CENY!$B$11:$G$1034,3,FALSE)</f>
        <v>20</v>
      </c>
      <c r="BG92" s="24"/>
      <c r="BH92" s="25">
        <f>AY53</f>
        <v>0</v>
      </c>
      <c r="BI92" s="451">
        <f t="shared" si="10"/>
        <v>0</v>
      </c>
      <c r="BJ92" s="107">
        <f>VLOOKUP(BD92,CENY!$B$11:$M$2005,12,FALSE)</f>
        <v>180.17</v>
      </c>
      <c r="BK92" s="107">
        <f t="shared" si="11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8"/>
        <v/>
      </c>
      <c r="BA93" s="107"/>
      <c r="BB93" s="107" t="str">
        <f t="shared" si="9"/>
        <v/>
      </c>
      <c r="BD93" s="441">
        <f>OBJ!B313</f>
        <v>9256868</v>
      </c>
      <c r="BE93" s="23" t="str">
        <f>VLOOKUP(BD93,CENY!$B$11:$G$1034,2,FALSE)</f>
        <v>QUADRO YOU PLNOVÝSUV 450 MM EB21 SILENT SYSTEM LEVÝ</v>
      </c>
      <c r="BF93" s="24">
        <f>VLOOKUP(BD93,CENY!$B$11:$G$1034,3,FALSE)</f>
        <v>20</v>
      </c>
      <c r="BG93" s="24"/>
      <c r="BH93" s="25">
        <f>AY54</f>
        <v>0</v>
      </c>
      <c r="BI93" s="451">
        <f t="shared" si="10"/>
        <v>0</v>
      </c>
      <c r="BJ93" s="107">
        <f>VLOOKUP(BD93,CENY!$B$11:$M$2005,12,FALSE)</f>
        <v>183.9</v>
      </c>
      <c r="BK93" s="107">
        <f t="shared" si="11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8"/>
        <v/>
      </c>
      <c r="BA94" s="107"/>
      <c r="BB94" s="107" t="str">
        <f t="shared" si="9"/>
        <v/>
      </c>
      <c r="BD94" s="441">
        <f>OBJ!B314</f>
        <v>9256869</v>
      </c>
      <c r="BE94" s="23" t="str">
        <f>VLOOKUP(BD94,CENY!$B$11:$G$1034,2,FALSE)</f>
        <v>QUADRO YOU PLNOVÝSUV 450 MM EB21 SILENT SYSTEM PRAVÝ</v>
      </c>
      <c r="BF94" s="24">
        <f>VLOOKUP(BD94,CENY!$B$11:$G$1034,3,FALSE)</f>
        <v>20</v>
      </c>
      <c r="BG94" s="24"/>
      <c r="BH94" s="25">
        <f>AY54</f>
        <v>0</v>
      </c>
      <c r="BI94" s="451">
        <f t="shared" si="10"/>
        <v>0</v>
      </c>
      <c r="BJ94" s="107">
        <f>VLOOKUP(BD94,CENY!$B$11:$M$2005,12,FALSE)</f>
        <v>183.9</v>
      </c>
      <c r="BK94" s="107">
        <f t="shared" si="11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8"/>
        <v/>
      </c>
      <c r="BA95" s="107"/>
      <c r="BB95" s="107" t="str">
        <f t="shared" si="9"/>
        <v/>
      </c>
      <c r="BD95" s="441">
        <f>OBJ!B315</f>
        <v>9256872</v>
      </c>
      <c r="BE95" s="23" t="str">
        <f>VLOOKUP(BD95,CENY!$B$11:$G$1034,2,FALSE)</f>
        <v>QUADRO YOU PLNOVÝSUV 500 MM EB21 SILENT SYSTEM LEVÝ</v>
      </c>
      <c r="BF95" s="24">
        <f>VLOOKUP(BD95,CENY!$B$11:$G$1034,3,FALSE)</f>
        <v>20</v>
      </c>
      <c r="BG95" s="24"/>
      <c r="BH95" s="25">
        <f>AY55</f>
        <v>0</v>
      </c>
      <c r="BI95" s="451">
        <f t="shared" si="10"/>
        <v>0</v>
      </c>
      <c r="BJ95" s="107">
        <f>VLOOKUP(BD95,CENY!$B$11:$M$2005,12,FALSE)</f>
        <v>187.64</v>
      </c>
      <c r="BK95" s="107">
        <f t="shared" si="11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8"/>
        <v/>
      </c>
      <c r="BA96" s="107"/>
      <c r="BB96" s="107" t="str">
        <f t="shared" si="9"/>
        <v/>
      </c>
      <c r="BD96" s="441">
        <f>OBJ!B316</f>
        <v>9256873</v>
      </c>
      <c r="BE96" s="23" t="str">
        <f>VLOOKUP(BD96,CENY!$B$11:$G$1034,2,FALSE)</f>
        <v>QUADRO YOU PLNOVÝSUV 500 MM EB21 SILENT SYSTEM PRAVÝ</v>
      </c>
      <c r="BF96" s="24">
        <f>VLOOKUP(BD96,CENY!$B$11:$G$1034,3,FALSE)</f>
        <v>20</v>
      </c>
      <c r="BG96" s="24"/>
      <c r="BH96" s="25">
        <f>AY55</f>
        <v>0</v>
      </c>
      <c r="BI96" s="451">
        <f t="shared" si="10"/>
        <v>0</v>
      </c>
      <c r="BJ96" s="107">
        <f>VLOOKUP(BD96,CENY!$B$11:$M$2005,12,FALSE)</f>
        <v>187.64</v>
      </c>
      <c r="BK96" s="107">
        <f t="shared" si="11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8"/>
        <v/>
      </c>
      <c r="BA97" s="107"/>
      <c r="BB97" s="107" t="str">
        <f t="shared" si="9"/>
        <v/>
      </c>
      <c r="BD97" s="441">
        <f>OBJ!B317</f>
        <v>9256876</v>
      </c>
      <c r="BE97" s="23" t="str">
        <f>VLOOKUP(BD97,CENY!$B$11:$G$1034,2,FALSE)</f>
        <v>QUADRO YOU PLNOVÝSUV 550 MM EB21 SILENT SYSTEM LEVÝ</v>
      </c>
      <c r="BF97" s="24">
        <f>VLOOKUP(BD97,CENY!$B$11:$G$1034,3,FALSE)</f>
        <v>20</v>
      </c>
      <c r="BG97" s="24"/>
      <c r="BH97" s="25">
        <f>AY56</f>
        <v>0</v>
      </c>
      <c r="BI97" s="451">
        <f t="shared" si="10"/>
        <v>0</v>
      </c>
      <c r="BJ97" s="107">
        <f>VLOOKUP(BD97,CENY!$B$11:$M$2005,12,FALSE)</f>
        <v>194.36</v>
      </c>
      <c r="BK97" s="107">
        <f t="shared" si="11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8"/>
        <v/>
      </c>
      <c r="BA98" s="107"/>
      <c r="BB98" s="107" t="str">
        <f t="shared" si="9"/>
        <v/>
      </c>
      <c r="BD98" s="441">
        <f>OBJ!B318</f>
        <v>9256877</v>
      </c>
      <c r="BE98" s="23" t="str">
        <f>VLOOKUP(BD98,CENY!$B$11:$G$1034,2,FALSE)</f>
        <v>QUADRO YOU PLNOVÝSUV 550 MM EB21 SILENT SYSTEM PRAVÝ</v>
      </c>
      <c r="BF98" s="24">
        <f>VLOOKUP(BD98,CENY!$B$11:$G$1034,3,FALSE)</f>
        <v>20</v>
      </c>
      <c r="BG98" s="24"/>
      <c r="BH98" s="25">
        <f>AY56</f>
        <v>0</v>
      </c>
      <c r="BI98" s="451">
        <f t="shared" si="10"/>
        <v>0</v>
      </c>
      <c r="BJ98" s="107">
        <f>VLOOKUP(BD98,CENY!$B$11:$M$2005,12,FALSE)</f>
        <v>194.36</v>
      </c>
      <c r="BK98" s="107">
        <f t="shared" si="11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8"/>
        <v/>
      </c>
      <c r="BA99" s="107"/>
      <c r="BB99" s="107" t="str">
        <f t="shared" si="9"/>
        <v/>
      </c>
      <c r="BD99" s="441">
        <f>OBJ!B319</f>
        <v>9256880</v>
      </c>
      <c r="BE99" s="23" t="str">
        <f>VLOOKUP(BD99,CENY!$B$11:$G$1034,2,FALSE)</f>
        <v>QUADRO YOU PLNOVÝSUV 600 MM EB21 SILENT SYSTEM LEVÝ</v>
      </c>
      <c r="BF99" s="24">
        <f>VLOOKUP(BD99,CENY!$B$11:$G$1034,3,FALSE)</f>
        <v>20</v>
      </c>
      <c r="BG99" s="24"/>
      <c r="BH99" s="25">
        <f>AY57</f>
        <v>0</v>
      </c>
      <c r="BI99" s="451">
        <f t="shared" si="10"/>
        <v>0</v>
      </c>
      <c r="BJ99" s="107">
        <f>VLOOKUP(BD99,CENY!$B$11:$M$2005,12,FALSE)</f>
        <v>198.1</v>
      </c>
      <c r="BK99" s="107">
        <f t="shared" si="11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8"/>
        <v/>
      </c>
      <c r="BA100" s="107"/>
      <c r="BB100" s="107" t="str">
        <f t="shared" si="9"/>
        <v/>
      </c>
      <c r="BD100" s="441">
        <f>OBJ!B320</f>
        <v>9256881</v>
      </c>
      <c r="BE100" s="23" t="str">
        <f>VLOOKUP(BD100,CENY!$B$11:$G$1034,2,FALSE)</f>
        <v>QUADRO YOU PLNOVÝSUV 600 MM EB21 SILENT SYSTEM PRAVÝ</v>
      </c>
      <c r="BF100" s="24">
        <f>VLOOKUP(BD100,CENY!$B$11:$G$1034,3,FALSE)</f>
        <v>20</v>
      </c>
      <c r="BG100" s="24"/>
      <c r="BH100" s="25">
        <f>AY57</f>
        <v>0</v>
      </c>
      <c r="BI100" s="451">
        <f t="shared" si="10"/>
        <v>0</v>
      </c>
      <c r="BJ100" s="107">
        <f>VLOOKUP(BD100,CENY!$B$11:$M$2005,12,FALSE)</f>
        <v>198.1</v>
      </c>
      <c r="BK100" s="107">
        <f t="shared" si="11"/>
        <v>0</v>
      </c>
    </row>
    <row r="101" spans="47:63">
      <c r="AU101" s="22"/>
      <c r="AV101" s="23"/>
      <c r="AW101" s="24"/>
      <c r="AX101" s="24"/>
      <c r="AY101" s="25"/>
      <c r="AZ101" s="451" t="str">
        <f t="shared" si="8"/>
        <v/>
      </c>
      <c r="BA101" s="107"/>
      <c r="BB101" s="107" t="str">
        <f t="shared" si="9"/>
        <v/>
      </c>
      <c r="BD101" s="441"/>
      <c r="BE101" s="23"/>
      <c r="BF101" s="24"/>
      <c r="BG101" s="24"/>
      <c r="BH101" s="25"/>
      <c r="BI101" s="451" t="str">
        <f t="shared" si="10"/>
        <v/>
      </c>
      <c r="BJ101" s="107"/>
      <c r="BK101" s="107" t="str">
        <f t="shared" si="11"/>
        <v/>
      </c>
    </row>
    <row r="102" spans="47:63">
      <c r="AU102" s="22"/>
      <c r="AV102" s="23"/>
      <c r="AW102" s="24"/>
      <c r="AX102" s="24"/>
      <c r="AY102" s="25"/>
      <c r="AZ102" s="451" t="str">
        <f t="shared" si="8"/>
        <v/>
      </c>
      <c r="BA102" s="107"/>
      <c r="BB102" s="107" t="str">
        <f t="shared" si="9"/>
        <v/>
      </c>
      <c r="BD102" s="441">
        <f>OBJ!B207</f>
        <v>0</v>
      </c>
      <c r="BE102" s="23" t="e">
        <f>VLOOKUP(BD102,CENY!$B$11:$G$1034,2,FALSE)</f>
        <v>#N/A</v>
      </c>
      <c r="BF102" s="24" t="e">
        <f>VLOOKUP(BD102,CENY!$B$11:$G$1034,3,FALSE)</f>
        <v>#N/A</v>
      </c>
      <c r="BG102" s="24"/>
      <c r="BH102" s="25">
        <f>AY62</f>
        <v>0</v>
      </c>
      <c r="BI102" s="451">
        <f t="shared" si="10"/>
        <v>0</v>
      </c>
      <c r="BJ102" s="449" t="str">
        <f>IF(BD102=0,"",VLOOKUP(BD102,CENY!$B$11:$M$2005,12,FALSE))</f>
        <v/>
      </c>
      <c r="BK102" s="107" t="str">
        <f>IF(BJ102="","",BJ102*BH102)</f>
        <v/>
      </c>
    </row>
    <row r="103" spans="47:63">
      <c r="AU103" s="22"/>
      <c r="AV103" s="23"/>
      <c r="AW103" s="24"/>
      <c r="AX103" s="24"/>
      <c r="AY103" s="25"/>
      <c r="AZ103" s="451" t="str">
        <f t="shared" si="8"/>
        <v/>
      </c>
      <c r="BA103" s="107"/>
      <c r="BB103" s="107" t="str">
        <f t="shared" si="9"/>
        <v/>
      </c>
      <c r="BD103" s="441"/>
      <c r="BE103" s="23"/>
      <c r="BF103" s="24"/>
      <c r="BG103" s="24"/>
      <c r="BH103" s="25"/>
      <c r="BI103" s="451" t="str">
        <f t="shared" si="10"/>
        <v/>
      </c>
      <c r="BJ103" s="107"/>
      <c r="BK103" s="107" t="str">
        <f t="shared" si="11"/>
        <v/>
      </c>
    </row>
    <row r="104" spans="47:63">
      <c r="AU104" s="441">
        <f>OBJ!B354</f>
        <v>45167</v>
      </c>
      <c r="AV104" s="23" t="str">
        <f>VLOOKUP(AU104,CENY!$B$11:$G$1034,2,FALSE)</f>
        <v>VRUT PANHEAD 35X12</v>
      </c>
      <c r="AW104" s="24">
        <f>VLOOKUP(AU104,CENY!$B$11:$G$1034,3,FALSE)</f>
        <v>200</v>
      </c>
      <c r="AX104" s="24"/>
      <c r="AY104" s="25">
        <f>SUMPRODUCT(AX5:AX23,AY5:AY23)</f>
        <v>0</v>
      </c>
      <c r="AZ104" s="451">
        <f>IF(AY104="","",IF($AW$4=1,AY104,0))</f>
        <v>0</v>
      </c>
      <c r="BA104" s="107">
        <f>VLOOKUP(AU104,CENY!$B$11:$M$2005,12,FALSE)</f>
        <v>0.54</v>
      </c>
      <c r="BB104" s="107">
        <f>IF(BA104="","",BA104*AY104)</f>
        <v>0</v>
      </c>
      <c r="BC104" s="97" t="s">
        <v>506</v>
      </c>
      <c r="BD104" s="441">
        <f>OBJ!B354</f>
        <v>45167</v>
      </c>
      <c r="BE104" s="23" t="str">
        <f>VLOOKUP(BD104,CENY!$B$11:$G$1034,2,FALSE)</f>
        <v>VRUT PANHEAD 35X12</v>
      </c>
      <c r="BF104" s="24">
        <f>VLOOKUP(BD104,CENY!$B$11:$G$1034,3,FALSE)</f>
        <v>200</v>
      </c>
      <c r="BG104" s="24"/>
      <c r="BH104" s="25">
        <f>AY104</f>
        <v>0</v>
      </c>
      <c r="BI104" s="451">
        <f>IF(BH104="","",IF($AW$4=0,BH104,0))</f>
        <v>0</v>
      </c>
      <c r="BJ104" s="107">
        <f>VLOOKUP(BD104,CENY!$B$11:$M$2005,12,FALSE)</f>
        <v>0.54</v>
      </c>
      <c r="BK104" s="107">
        <f>IF(BJ104="","",BJ104*BH104)</f>
        <v>0</v>
      </c>
    </row>
    <row r="105" spans="47:63">
      <c r="AU105" s="441">
        <f>OBJ!B355</f>
        <v>45168</v>
      </c>
      <c r="AV105" s="23" t="str">
        <f>VLOOKUP(AU105,CENY!$B$11:$G$1034,2,FALSE)</f>
        <v>VRUT PANHEAD 35X20</v>
      </c>
      <c r="AW105" s="24">
        <f>VLOOKUP(AU105,CENY!$B$11:$G$1034,3,FALSE)</f>
        <v>200</v>
      </c>
      <c r="AX105" s="24"/>
      <c r="AY105" s="497">
        <v>0</v>
      </c>
      <c r="AZ105" s="451">
        <f>IF(AY105="","",IF($AW$4=1,AY105,0))</f>
        <v>0</v>
      </c>
      <c r="BA105" s="107">
        <f>VLOOKUP(AU105,CENY!$B$11:$M$2005,12,FALSE)</f>
        <v>0.78</v>
      </c>
      <c r="BB105" s="107">
        <f>IF(BA105="","",BA105*AY105)</f>
        <v>0</v>
      </c>
      <c r="BC105" s="97" t="s">
        <v>507</v>
      </c>
      <c r="BD105" s="441">
        <f>OBJ!B355</f>
        <v>45168</v>
      </c>
      <c r="BE105" s="23" t="str">
        <f>VLOOKUP(BD105,CENY!$B$11:$G$1034,2,FALSE)</f>
        <v>VRUT PANHEAD 35X20</v>
      </c>
      <c r="BF105" s="24">
        <f>VLOOKUP(BD105,CENY!$B$11:$G$1034,3,FALSE)</f>
        <v>200</v>
      </c>
      <c r="BG105" s="24"/>
      <c r="BH105" s="497">
        <f>IF(FORM!$AM$8=FORM!$AU$10,(BH43*2+BH44*4),0)</f>
        <v>0</v>
      </c>
      <c r="BI105" s="451">
        <f>IF(BH105="","",IF($AW$4=0,BH105,0))</f>
        <v>0</v>
      </c>
      <c r="BJ105" s="107">
        <f>VLOOKUP(BD105,CENY!$B$11:$M$2005,12,FALSE)</f>
        <v>0.78</v>
      </c>
      <c r="BK105" s="107">
        <f>IF(BJ105="","",BJ105*BH105)</f>
        <v>0</v>
      </c>
    </row>
    <row r="106" spans="47:63">
      <c r="AU106" s="441">
        <f>OBJ!B356</f>
        <v>9278224</v>
      </c>
      <c r="AV106" s="23" t="str">
        <f>VLOOKUP(AU106,CENY!$B$11:$G$1034,2,FALSE)</f>
        <v>AVANTECH YOU VRUT 3,5X30 PANHEAD POZINK.</v>
      </c>
      <c r="AW106" s="24">
        <f>VLOOKUP(AU106,CENY!$B$11:$G$1034,3,FALSE)</f>
        <v>200</v>
      </c>
      <c r="AX106" s="24"/>
      <c r="AY106" s="497">
        <v>0</v>
      </c>
      <c r="AZ106" s="451">
        <f>IF(AY106="","",IF($AW$4=1,AY106,0))</f>
        <v>0</v>
      </c>
      <c r="BA106" s="107">
        <f>VLOOKUP(AU106,CENY!$B$11:$M$2005,12,FALSE)</f>
        <v>0.73</v>
      </c>
      <c r="BB106" s="107">
        <f>IF(BA106="","",BA106*AY106)</f>
        <v>0</v>
      </c>
      <c r="BC106" s="97" t="s">
        <v>508</v>
      </c>
      <c r="BD106" s="441">
        <f>OBJ!B356</f>
        <v>9278224</v>
      </c>
      <c r="BE106" s="23" t="str">
        <f>VLOOKUP(BD106,CENY!$B$11:$G$1034,2,FALSE)</f>
        <v>AVANTECH YOU VRUT 3,5X30 PANHEAD POZINK.</v>
      </c>
      <c r="BF106" s="24">
        <f>VLOOKUP(BD106,CENY!$B$11:$G$1034,3,FALSE)</f>
        <v>200</v>
      </c>
      <c r="BG106" s="24"/>
      <c r="BH106" s="497">
        <f>SUM(BH5:BH22)+2*SUM(BH24:BH41)</f>
        <v>0</v>
      </c>
      <c r="BI106" s="451">
        <f>IF(BH106="","",IF($AW$4=0,BH106,0))</f>
        <v>0</v>
      </c>
      <c r="BJ106" s="107">
        <f>VLOOKUP(BD106,CENY!$B$11:$M$2005,12,FALSE)</f>
        <v>0.73</v>
      </c>
      <c r="BK106" s="107">
        <f>IF(BJ106="","",BJ106*BH106)</f>
        <v>0</v>
      </c>
    </row>
    <row r="107" spans="47:63">
      <c r="AU107" s="441">
        <f>OBJ!B357</f>
        <v>9279197</v>
      </c>
      <c r="AV107" s="23" t="str">
        <f>VLOOKUP(AU107,CENY!$B$11:$G$1034,2,FALSE)</f>
        <v>SAMOŘEZNÝ ŠROUB 3,5X12 PANHEAD POZINK.</v>
      </c>
      <c r="AW107" s="24">
        <f>VLOOKUP(AU107,CENY!$B$11:$G$1034,3,FALSE)</f>
        <v>1000</v>
      </c>
      <c r="AX107" s="24"/>
      <c r="AY107" s="77">
        <v>0</v>
      </c>
      <c r="AZ107" s="451">
        <f>IF(AY107="","",IF($AW$4=1,AY107,0))</f>
        <v>0</v>
      </c>
      <c r="BA107" s="107">
        <f>VLOOKUP(AU107,CENY!$B$11:$M$2005,12,FALSE)</f>
        <v>1.51</v>
      </c>
      <c r="BB107" s="107">
        <f>IF(BA107="","",BA107*AY107)</f>
        <v>0</v>
      </c>
      <c r="BC107" s="97" t="s">
        <v>509</v>
      </c>
      <c r="BD107" s="441">
        <f>OBJ!B357</f>
        <v>9279197</v>
      </c>
      <c r="BE107" s="23" t="str">
        <f>VLOOKUP(BD107,CENY!$B$11:$G$1034,2,FALSE)</f>
        <v>SAMOŘEZNÝ ŠROUB 3,5X12 PANHEAD POZINK.</v>
      </c>
      <c r="BF107" s="24">
        <f>VLOOKUP(BD107,CENY!$B$11:$G$1034,3,FALSE)</f>
        <v>1000</v>
      </c>
      <c r="BG107" s="24"/>
      <c r="BH107" s="77">
        <f>AY107</f>
        <v>0</v>
      </c>
      <c r="BI107" s="451">
        <f>IF(BH107="","",IF($AW$4=0,BH107,0))</f>
        <v>0</v>
      </c>
      <c r="BJ107" s="107">
        <f>VLOOKUP(BD107,CENY!$B$11:$M$2005,12,FALSE)</f>
        <v>1.51</v>
      </c>
      <c r="BK107" s="107">
        <f>IF(BJ107="","",BJ107*BH107)</f>
        <v>0</v>
      </c>
    </row>
    <row r="108" spans="47:63">
      <c r="AU108" s="441">
        <f>OBJ!B358</f>
        <v>9137114</v>
      </c>
      <c r="AV108" s="23" t="str">
        <f>VLOOKUP(AU108,CENY!$B$11:$G$1034,2,FALSE)</f>
        <v>EUROŠROUB DBS 60 X 14</v>
      </c>
      <c r="AW108" s="24">
        <f>VLOOKUP(AU108,CENY!$B$11:$G$1034,3,FALSE)</f>
        <v>200</v>
      </c>
      <c r="AX108" s="24"/>
      <c r="AY108" s="25">
        <f>SUMPRODUCT(AX35:AX57,AY35:AY57)</f>
        <v>0</v>
      </c>
      <c r="AZ108" s="451">
        <f>IF(AY108="","",IF($AW$4=1,AY108,0))</f>
        <v>0</v>
      </c>
      <c r="BA108" s="107">
        <f>VLOOKUP(AU108,CENY!$B$11:$M$2005,12,FALSE)</f>
        <v>1.2</v>
      </c>
      <c r="BB108" s="107">
        <f>IF(BA108="","",BA108*AY108)</f>
        <v>0</v>
      </c>
      <c r="BC108" s="97" t="s">
        <v>510</v>
      </c>
      <c r="BD108" s="441">
        <f>OBJ!B358</f>
        <v>9137114</v>
      </c>
      <c r="BE108" s="23" t="str">
        <f>VLOOKUP(BD108,CENY!$B$11:$G$1034,2,FALSE)</f>
        <v>EUROŠROUB DBS 60 X 14</v>
      </c>
      <c r="BF108" s="24">
        <f>VLOOKUP(BD108,CENY!$B$11:$G$1034,3,FALSE)</f>
        <v>200</v>
      </c>
      <c r="BG108" s="24"/>
      <c r="BH108" s="25">
        <f>AY108</f>
        <v>0</v>
      </c>
      <c r="BI108" s="451">
        <f>IF(BH108="","",IF($AW$4=0,BH108,0))</f>
        <v>0</v>
      </c>
      <c r="BJ108" s="107">
        <f>VLOOKUP(BD108,CENY!$B$11:$M$2005,12,FALSE)</f>
        <v>1.2</v>
      </c>
      <c r="BK108" s="107">
        <f>IF(BJ108="","",BJ108*BH108)</f>
        <v>0</v>
      </c>
    </row>
    <row r="109" spans="47:63">
      <c r="AU109" s="22"/>
      <c r="AV109" s="23"/>
      <c r="AW109" s="24"/>
      <c r="AX109" s="24"/>
      <c r="AY109" s="25"/>
      <c r="AZ109" s="451"/>
      <c r="BA109" s="107"/>
      <c r="BB109" s="107"/>
      <c r="BD109" s="441"/>
      <c r="BE109" s="23"/>
      <c r="BF109" s="24"/>
      <c r="BG109" s="24"/>
      <c r="BH109" s="25"/>
      <c r="BI109" s="451"/>
      <c r="BJ109" s="107"/>
      <c r="BK109" s="107"/>
    </row>
    <row r="110" spans="47:63">
      <c r="AU110" s="22"/>
      <c r="AV110" s="23"/>
      <c r="AW110" s="24"/>
      <c r="AX110" s="24"/>
      <c r="AY110" s="25"/>
      <c r="AZ110" s="451"/>
      <c r="BA110" s="107"/>
      <c r="BB110" s="107"/>
      <c r="BD110" s="441"/>
      <c r="BE110" s="23"/>
      <c r="BF110" s="24"/>
      <c r="BG110" s="24"/>
      <c r="BH110" s="25"/>
      <c r="BI110" s="451"/>
      <c r="BJ110" s="107"/>
      <c r="BK110" s="107"/>
    </row>
    <row r="111" spans="47:63">
      <c r="AU111" s="22"/>
      <c r="AV111" s="23"/>
      <c r="AW111" s="24"/>
      <c r="AX111" s="24"/>
      <c r="AY111" s="25"/>
      <c r="AZ111" s="451"/>
      <c r="BA111" s="107"/>
      <c r="BB111" s="107"/>
      <c r="BD111" s="441"/>
      <c r="BE111" s="23"/>
      <c r="BF111" s="24"/>
      <c r="BG111" s="24"/>
      <c r="BH111" s="25"/>
      <c r="BI111" s="451"/>
      <c r="BJ111" s="107"/>
      <c r="BK111" s="107"/>
    </row>
    <row r="112" spans="47:63">
      <c r="AU112" s="22"/>
      <c r="AV112" s="23"/>
      <c r="AW112" s="24"/>
      <c r="AX112" s="24"/>
      <c r="AY112" s="25"/>
      <c r="AZ112" s="451"/>
      <c r="BA112" s="107"/>
      <c r="BB112" s="107"/>
      <c r="BD112" s="441"/>
      <c r="BE112" s="23"/>
      <c r="BF112" s="24"/>
      <c r="BG112" s="24"/>
      <c r="BH112" s="25"/>
      <c r="BI112" s="451"/>
      <c r="BJ112" s="107"/>
      <c r="BK112" s="107"/>
    </row>
    <row r="113" spans="47:63">
      <c r="AU113" s="22"/>
      <c r="AV113" s="23"/>
      <c r="AW113" s="24"/>
      <c r="AX113" s="24"/>
      <c r="AY113" s="25"/>
      <c r="AZ113" s="451" t="str">
        <f>IF(AY113="","",IF($AW$4=1,AY113,0))</f>
        <v/>
      </c>
      <c r="BA113" s="107"/>
      <c r="BB113" s="107" t="str">
        <f t="shared" si="9"/>
        <v/>
      </c>
      <c r="BD113" s="441"/>
      <c r="BE113" s="23"/>
      <c r="BF113" s="24"/>
      <c r="BG113" s="24"/>
      <c r="BH113" s="25"/>
      <c r="BI113" s="451" t="str">
        <f t="shared" si="10"/>
        <v/>
      </c>
      <c r="BJ113" s="107"/>
      <c r="BK113" s="107" t="str">
        <f t="shared" si="11"/>
        <v/>
      </c>
    </row>
    <row r="114" spans="47:63">
      <c r="AU114" s="22"/>
      <c r="AV114" s="23"/>
      <c r="AW114" s="24"/>
      <c r="AX114" s="24"/>
      <c r="AY114" s="25"/>
      <c r="AZ114" s="451" t="str">
        <f>IF(AY114="","",IF($AW$4=1,AY114,0))</f>
        <v/>
      </c>
      <c r="BA114" s="107"/>
      <c r="BB114" s="107" t="str">
        <f t="shared" si="9"/>
        <v/>
      </c>
      <c r="BD114" s="441"/>
      <c r="BE114" s="23"/>
      <c r="BF114" s="24"/>
      <c r="BG114" s="24"/>
      <c r="BH114" s="25"/>
      <c r="BI114" s="451" t="str">
        <f t="shared" si="10"/>
        <v/>
      </c>
      <c r="BJ114" s="107"/>
      <c r="BK114" s="107" t="str">
        <f t="shared" si="11"/>
        <v/>
      </c>
    </row>
    <row r="115" spans="47:63">
      <c r="AU115" s="22"/>
      <c r="AV115" s="23"/>
      <c r="AW115" s="24"/>
      <c r="AX115" s="24"/>
      <c r="AY115" s="25"/>
      <c r="AZ115" s="451" t="str">
        <f>IF(AY115="","",IF($AW$4=1,AY115,0))</f>
        <v/>
      </c>
      <c r="BA115" s="107"/>
      <c r="BB115" s="107" t="str">
        <f t="shared" si="9"/>
        <v/>
      </c>
      <c r="BD115" s="441"/>
      <c r="BE115" s="23"/>
      <c r="BF115" s="24"/>
      <c r="BG115" s="24"/>
      <c r="BH115" s="25"/>
      <c r="BI115" s="451" t="str">
        <f t="shared" si="10"/>
        <v/>
      </c>
      <c r="BJ115" s="107"/>
      <c r="BK115" s="107" t="str">
        <f t="shared" si="11"/>
        <v/>
      </c>
    </row>
    <row r="116" spans="47:63">
      <c r="AU116" s="22"/>
      <c r="AV116" s="23"/>
      <c r="AW116" s="24"/>
      <c r="AX116" s="24"/>
      <c r="AY116" s="25"/>
      <c r="AZ116" s="451" t="str">
        <f>IF(AY116="","",IF($AW$4=1,AY116,0))</f>
        <v/>
      </c>
      <c r="BA116" s="107"/>
      <c r="BB116" s="107" t="str">
        <f t="shared" si="9"/>
        <v/>
      </c>
      <c r="BD116" s="441"/>
      <c r="BE116" s="23"/>
      <c r="BF116" s="24"/>
      <c r="BG116" s="24"/>
      <c r="BH116" s="25"/>
      <c r="BI116" s="451" t="str">
        <f>IF(BH116="","",IF($AW$4=0,BH116,0))</f>
        <v/>
      </c>
      <c r="BJ116" s="107"/>
      <c r="BK116" s="107" t="str">
        <f>IF(BJ116="","",BJ116*BH116)</f>
        <v/>
      </c>
    </row>
    <row r="117" spans="47:63">
      <c r="AU117" s="22"/>
      <c r="AV117" s="23"/>
      <c r="AW117" s="24"/>
      <c r="AX117" s="24"/>
      <c r="AY117" s="25"/>
      <c r="AZ117" s="451" t="str">
        <f>IF(AY117="","",IF($AW$4=1,AY117,0))</f>
        <v/>
      </c>
      <c r="BA117" s="107"/>
      <c r="BB117" s="107" t="str">
        <f>IF(BA117="","",BA117*AY117)</f>
        <v/>
      </c>
      <c r="BD117" s="441"/>
      <c r="BE117" s="23"/>
      <c r="BF117" s="24"/>
      <c r="BG117" s="24"/>
      <c r="BH117" s="25"/>
      <c r="BI117" s="451" t="str">
        <f>IF(BH117="","",IF($AW$4=0,BH117,0))</f>
        <v/>
      </c>
      <c r="BJ117" s="107"/>
      <c r="BK117" s="107" t="str">
        <f>IF(BJ117="","",BJ117*BH117)</f>
        <v/>
      </c>
    </row>
  </sheetData>
  <sheetProtection password="DD97" sheet="1"/>
  <mergeCells count="77">
    <mergeCell ref="AC25:AD25"/>
    <mergeCell ref="U19:V19"/>
    <mergeCell ref="W19:X19"/>
    <mergeCell ref="Y19:Z19"/>
    <mergeCell ref="AA19:AB19"/>
    <mergeCell ref="AC19:AD19"/>
    <mergeCell ref="U25:V25"/>
    <mergeCell ref="W25:X25"/>
    <mergeCell ref="Y25:Z25"/>
    <mergeCell ref="AC24:AD24"/>
    <mergeCell ref="Y20:Z20"/>
    <mergeCell ref="AA20:AB20"/>
    <mergeCell ref="AC20:AD20"/>
    <mergeCell ref="B25:G25"/>
    <mergeCell ref="H25:L25"/>
    <mergeCell ref="M25:N25"/>
    <mergeCell ref="O25:P25"/>
    <mergeCell ref="Q25:R25"/>
    <mergeCell ref="S25:T25"/>
    <mergeCell ref="O24:P24"/>
    <mergeCell ref="Q24:R24"/>
    <mergeCell ref="AA25:AB25"/>
    <mergeCell ref="S24:T24"/>
    <mergeCell ref="U24:V24"/>
    <mergeCell ref="W24:X24"/>
    <mergeCell ref="Y24:Z24"/>
    <mergeCell ref="AA24:AB24"/>
    <mergeCell ref="AE20:AF20"/>
    <mergeCell ref="B20:G20"/>
    <mergeCell ref="H20:L20"/>
    <mergeCell ref="M20:N20"/>
    <mergeCell ref="O20:P20"/>
    <mergeCell ref="Q20:R20"/>
    <mergeCell ref="S20:T20"/>
    <mergeCell ref="U20:V20"/>
    <mergeCell ref="W20:X20"/>
    <mergeCell ref="B19:G19"/>
    <mergeCell ref="H19:L19"/>
    <mergeCell ref="M19:N19"/>
    <mergeCell ref="O19:P19"/>
    <mergeCell ref="Q19:R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BH5:BI5 AY5:AZ5 BH6:BH23 BI6:BI22 AY6:AY14 BH42:BH43 AY24:AY52 BH46:BH85 AZ6:AZ59 BI43 BI45:BI103 AZ61:AZ103 AY80:AY103 AY109:AZ117 BI109:BI117">
    <cfRule type="cellIs" dxfId="133" priority="42" stopIfTrue="1" operator="equal">
      <formula>0</formula>
    </cfRule>
  </conditionalFormatting>
  <conditionalFormatting sqref="O17:AF17 O19:T19 W20:AF20 O25:T25">
    <cfRule type="expression" dxfId="132" priority="41" stopIfTrue="1">
      <formula>$AW$4=0</formula>
    </cfRule>
  </conditionalFormatting>
  <conditionalFormatting sqref="AY61 AY63:AY65">
    <cfRule type="cellIs" dxfId="131" priority="39" stopIfTrue="1" operator="equal">
      <formula>0</formula>
    </cfRule>
  </conditionalFormatting>
  <conditionalFormatting sqref="AY66">
    <cfRule type="cellIs" dxfId="130" priority="38" stopIfTrue="1" operator="equal">
      <formula>0</formula>
    </cfRule>
  </conditionalFormatting>
  <conditionalFormatting sqref="AY70:AY79">
    <cfRule type="cellIs" dxfId="129" priority="37" stopIfTrue="1" operator="equal">
      <formula>0</formula>
    </cfRule>
  </conditionalFormatting>
  <conditionalFormatting sqref="BH45">
    <cfRule type="cellIs" dxfId="128" priority="36" stopIfTrue="1" operator="equal">
      <formula>0</formula>
    </cfRule>
  </conditionalFormatting>
  <conditionalFormatting sqref="AY53:AY58">
    <cfRule type="cellIs" dxfId="127" priority="34" stopIfTrue="1" operator="equal">
      <formula>0</formula>
    </cfRule>
  </conditionalFormatting>
  <conditionalFormatting sqref="AY59">
    <cfRule type="cellIs" dxfId="126" priority="30" stopIfTrue="1" operator="equal">
      <formula>0</formula>
    </cfRule>
  </conditionalFormatting>
  <conditionalFormatting sqref="AY67:AY69">
    <cfRule type="cellIs" dxfId="125" priority="29" stopIfTrue="1" operator="equal">
      <formula>0</formula>
    </cfRule>
  </conditionalFormatting>
  <conditionalFormatting sqref="BH101">
    <cfRule type="cellIs" dxfId="124" priority="28" stopIfTrue="1" operator="equal">
      <formula>0</formula>
    </cfRule>
  </conditionalFormatting>
  <conditionalFormatting sqref="BH103 BH109:BH117">
    <cfRule type="cellIs" dxfId="123" priority="27" stopIfTrue="1" operator="equal">
      <formula>0</formula>
    </cfRule>
  </conditionalFormatting>
  <conditionalFormatting sqref="BH86:BH100">
    <cfRule type="cellIs" dxfId="122" priority="24" stopIfTrue="1" operator="equal">
      <formula>0</formula>
    </cfRule>
  </conditionalFormatting>
  <conditionalFormatting sqref="AY62">
    <cfRule type="cellIs" dxfId="121" priority="22" stopIfTrue="1" operator="equal">
      <formula>0</formula>
    </cfRule>
  </conditionalFormatting>
  <conditionalFormatting sqref="BH102">
    <cfRule type="cellIs" dxfId="120" priority="21" stopIfTrue="1" operator="equal">
      <formula>0</formula>
    </cfRule>
  </conditionalFormatting>
  <conditionalFormatting sqref="F13:K13">
    <cfRule type="expression" dxfId="119" priority="20" stopIfTrue="1">
      <formula>$AW$4=1</formula>
    </cfRule>
  </conditionalFormatting>
  <conditionalFormatting sqref="AY15:AY23">
    <cfRule type="cellIs" dxfId="118" priority="18" stopIfTrue="1" operator="equal">
      <formula>0</formula>
    </cfRule>
  </conditionalFormatting>
  <conditionalFormatting sqref="BI23:BI42">
    <cfRule type="cellIs" dxfId="117" priority="16" stopIfTrue="1" operator="equal">
      <formula>0</formula>
    </cfRule>
  </conditionalFormatting>
  <conditionalFormatting sqref="BH24:BH41">
    <cfRule type="cellIs" dxfId="116" priority="15" stopIfTrue="1" operator="equal">
      <formula>0</formula>
    </cfRule>
  </conditionalFormatting>
  <conditionalFormatting sqref="U19:AD19">
    <cfRule type="expression" dxfId="115" priority="14" stopIfTrue="1">
      <formula>$AW$4=0</formula>
    </cfRule>
  </conditionalFormatting>
  <conditionalFormatting sqref="AC25:AD25">
    <cfRule type="expression" dxfId="114" priority="9" stopIfTrue="1">
      <formula>$AW$4=0</formula>
    </cfRule>
  </conditionalFormatting>
  <conditionalFormatting sqref="U25:V25">
    <cfRule type="expression" dxfId="113" priority="13" stopIfTrue="1">
      <formula>$AW$4=0</formula>
    </cfRule>
  </conditionalFormatting>
  <conditionalFormatting sqref="W25:X25">
    <cfRule type="expression" dxfId="112" priority="12" stopIfTrue="1">
      <formula>$AW$4=0</formula>
    </cfRule>
  </conditionalFormatting>
  <conditionalFormatting sqref="Y25:Z25">
    <cfRule type="expression" dxfId="111" priority="11" stopIfTrue="1">
      <formula>$AW$4=0</formula>
    </cfRule>
  </conditionalFormatting>
  <conditionalFormatting sqref="AA25:AB25">
    <cfRule type="expression" dxfId="110" priority="10" stopIfTrue="1">
      <formula>$AW$4=0</formula>
    </cfRule>
  </conditionalFormatting>
  <conditionalFormatting sqref="AZ60">
    <cfRule type="cellIs" dxfId="109" priority="8" stopIfTrue="1" operator="equal">
      <formula>0</formula>
    </cfRule>
  </conditionalFormatting>
  <conditionalFormatting sqref="AY60">
    <cfRule type="cellIs" dxfId="108" priority="7" stopIfTrue="1" operator="equal">
      <formula>0</formula>
    </cfRule>
  </conditionalFormatting>
  <conditionalFormatting sqref="BH44:BI44">
    <cfRule type="cellIs" dxfId="107" priority="6" stopIfTrue="1" operator="equal">
      <formula>0</formula>
    </cfRule>
  </conditionalFormatting>
  <conditionalFormatting sqref="AZ104:AZ108">
    <cfRule type="cellIs" dxfId="106" priority="5" stopIfTrue="1" operator="equal">
      <formula>0</formula>
    </cfRule>
  </conditionalFormatting>
  <conditionalFormatting sqref="AY104:AY108">
    <cfRule type="cellIs" dxfId="105" priority="4" stopIfTrue="1" operator="equal">
      <formula>0</formula>
    </cfRule>
  </conditionalFormatting>
  <conditionalFormatting sqref="BH104 BH107:BH108">
    <cfRule type="cellIs" dxfId="104" priority="3" stopIfTrue="1" operator="equal">
      <formula>0</formula>
    </cfRule>
  </conditionalFormatting>
  <conditionalFormatting sqref="BI104:BI108">
    <cfRule type="cellIs" dxfId="103" priority="2" stopIfTrue="1" operator="equal">
      <formula>0</formula>
    </cfRule>
  </conditionalFormatting>
  <conditionalFormatting sqref="BH105:BH106">
    <cfRule type="cellIs" dxfId="102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P56"/>
  <sheetViews>
    <sheetView showGridLines="0" showRowColHeaders="0" tabSelected="1" zoomScale="95" zoomScaleNormal="95" workbookViewId="0">
      <selection activeCell="AA33" sqref="AA33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8" width="9" style="97" hidden="1" customWidth="1"/>
    <col min="49" max="49" width="17.44140625" style="97" hidden="1" customWidth="1"/>
    <col min="50" max="51" width="9" style="97" hidden="1" customWidth="1"/>
    <col min="52" max="54" width="9" style="97" customWidth="1"/>
    <col min="55" max="16384" width="9" style="97"/>
  </cols>
  <sheetData>
    <row r="1" spans="1:68" ht="12.9" customHeight="1" thickBot="1">
      <c r="AT1" s="382"/>
      <c r="AU1" s="382"/>
      <c r="AV1" s="382"/>
      <c r="AW1" s="382"/>
      <c r="AX1" s="382"/>
      <c r="AY1" s="382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3.1" customHeight="1" thickBot="1">
      <c r="B2" s="510" t="str">
        <f>verze!E13</f>
        <v>&lt;&lt;  zpět</v>
      </c>
      <c r="C2" s="511"/>
      <c r="D2" s="511"/>
      <c r="E2" s="512"/>
      <c r="G2" s="519" t="str">
        <f>verze!E6</f>
        <v xml:space="preserve"> Úvod</v>
      </c>
      <c r="H2" s="520"/>
      <c r="I2" s="520"/>
      <c r="J2" s="520"/>
      <c r="K2" s="521"/>
      <c r="O2" s="538" t="str">
        <f>verze!E7</f>
        <v xml:space="preserve"> Výběr zásuvek</v>
      </c>
      <c r="P2" s="539"/>
      <c r="Q2" s="539"/>
      <c r="R2" s="539"/>
      <c r="S2" s="540"/>
      <c r="U2" s="538" t="str">
        <f>verze!E8</f>
        <v xml:space="preserve"> </v>
      </c>
      <c r="V2" s="539"/>
      <c r="W2" s="539"/>
      <c r="X2" s="539"/>
      <c r="Y2" s="540"/>
      <c r="AA2" s="519" t="str">
        <f>verze!E9</f>
        <v xml:space="preserve"> </v>
      </c>
      <c r="AB2" s="520"/>
      <c r="AC2" s="520"/>
      <c r="AD2" s="520"/>
      <c r="AE2" s="521"/>
      <c r="AI2" s="538" t="str">
        <f>verze!E10</f>
        <v xml:space="preserve"> Objednávka</v>
      </c>
      <c r="AJ2" s="539"/>
      <c r="AK2" s="539"/>
      <c r="AL2" s="539"/>
      <c r="AM2" s="540"/>
      <c r="AO2" s="513" t="str">
        <f>verze!E14</f>
        <v>vpřed  &gt;&gt;</v>
      </c>
      <c r="AP2" s="514"/>
      <c r="AQ2" s="514"/>
      <c r="AR2" s="515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spans="1:68" ht="12.9" customHeight="1" thickBot="1">
      <c r="AT3" s="4"/>
      <c r="AU3" s="4"/>
      <c r="AV3" s="4"/>
      <c r="AW3" s="4"/>
      <c r="AX3" s="4"/>
      <c r="AY3" s="4"/>
      <c r="AZ3" s="4"/>
      <c r="BA3" s="73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ht="23.1" customHeight="1" thickBot="1">
      <c r="A4" s="100"/>
      <c r="B4" s="101" t="s">
        <v>1204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535" t="str">
        <f>verze!E15</f>
        <v xml:space="preserve"> Základní údaje // Nápověda</v>
      </c>
      <c r="AJ4" s="536"/>
      <c r="AK4" s="536"/>
      <c r="AL4" s="536"/>
      <c r="AM4" s="536"/>
      <c r="AN4" s="536"/>
      <c r="AO4" s="536"/>
      <c r="AP4" s="536"/>
      <c r="AQ4" s="536"/>
      <c r="AR4" s="537"/>
      <c r="AS4" s="100"/>
      <c r="AT4" s="4"/>
      <c r="AU4" s="4" t="str">
        <f>verze!E55</f>
        <v>Vybrané</v>
      </c>
      <c r="AV4" s="4"/>
      <c r="AW4" s="4"/>
      <c r="AX4" s="4"/>
      <c r="AY4" s="4"/>
      <c r="AZ4" s="4"/>
      <c r="BA4" s="73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ht="14.4" customHeight="1"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ht="14.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 t="str">
        <f>verze!E61</f>
        <v>stříbrná</v>
      </c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ht="14.4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 t="str">
        <f>verze!E56</f>
        <v>barva: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tr">
        <f>verze!E57</f>
        <v>čelní kování:</v>
      </c>
      <c r="AN7" s="4"/>
      <c r="AO7" s="4"/>
      <c r="AP7" s="4"/>
      <c r="AQ7" s="4"/>
      <c r="AR7" s="4"/>
      <c r="AS7" s="4"/>
      <c r="AT7" s="4"/>
      <c r="AU7" s="4" t="str">
        <f>verze!E62</f>
        <v>bílá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ht="14.4" customHeight="1" thickBo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26" t="s">
        <v>78</v>
      </c>
      <c r="V8" s="527"/>
      <c r="W8" s="527"/>
      <c r="X8" s="527"/>
      <c r="Y8" s="527"/>
      <c r="Z8" s="52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526" t="s">
        <v>68</v>
      </c>
      <c r="AN8" s="527"/>
      <c r="AO8" s="527"/>
      <c r="AP8" s="527"/>
      <c r="AQ8" s="527"/>
      <c r="AR8" s="528"/>
      <c r="AS8" s="4"/>
      <c r="AT8" s="4"/>
      <c r="AU8" s="4" t="str">
        <f>verze!E63</f>
        <v>antracit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14.4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</row>
    <row r="10" spans="1:68" ht="14.4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 t="str">
        <f>verze!E67</f>
        <v>na vruty</v>
      </c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</row>
    <row r="11" spans="1:68" ht="14.4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 t="str">
        <f>verze!E68</f>
        <v>s rozpěrnými pouzdry</v>
      </c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</row>
    <row r="12" spans="1:68" ht="14.4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8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68" ht="14.4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 t="str">
        <f>verze!E26</f>
        <v>flexibilní sety</v>
      </c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68" ht="14.4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99" t="str">
        <f>IF(U8=AU6,AU4,"")</f>
        <v>Vybrané</v>
      </c>
      <c r="V14" s="4"/>
      <c r="W14" s="4"/>
      <c r="X14" s="4"/>
      <c r="Y14" s="99" t="str">
        <f>IF(U8=AU7,AU4,"")</f>
        <v/>
      </c>
      <c r="Z14" s="4"/>
      <c r="AA14" s="4"/>
      <c r="AB14" s="4"/>
      <c r="AC14" s="99" t="str">
        <f>IF(U8=AU8,AU4,"")</f>
        <v/>
      </c>
      <c r="AD14" s="4"/>
      <c r="AE14" s="4"/>
      <c r="AF14" s="4"/>
      <c r="AG14" s="4"/>
      <c r="AH14" s="4"/>
      <c r="AI14" s="4"/>
      <c r="AJ14" s="4"/>
      <c r="AK14" s="4"/>
      <c r="AL14" s="99" t="str">
        <f>IF(AM8=AU10,AU4,"")</f>
        <v>Vybrané</v>
      </c>
      <c r="AM14" s="99"/>
      <c r="AN14" s="4"/>
      <c r="AO14" s="4"/>
      <c r="AP14" s="99" t="str">
        <f>IF(AM8=AU11,AU4,"")</f>
        <v/>
      </c>
      <c r="AQ14" s="4"/>
      <c r="AR14" s="4"/>
      <c r="AS14" s="4"/>
      <c r="AT14" s="4"/>
      <c r="AU14" s="4" t="str">
        <f>verze!E27</f>
        <v>velkobalení</v>
      </c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</row>
    <row r="15" spans="1:68" ht="14.4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4"/>
      <c r="AO15" s="4"/>
      <c r="AP15" s="95"/>
      <c r="AQ15" s="95"/>
      <c r="AR15" s="95"/>
      <c r="AS15" s="95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</row>
    <row r="16" spans="1:68" ht="14.4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68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68"/>
      <c r="AG16" s="4"/>
      <c r="AH16" s="4"/>
      <c r="AI16" s="4"/>
      <c r="AJ16" s="4"/>
      <c r="AK16" s="4"/>
      <c r="AL16" s="99"/>
      <c r="AM16" s="99"/>
      <c r="AN16" s="4"/>
      <c r="AO16" s="4"/>
      <c r="AP16" s="99"/>
      <c r="AQ16" s="99"/>
      <c r="AR16" s="4"/>
      <c r="AS16" s="4"/>
      <c r="AT16" s="4"/>
      <c r="AU16" s="4" t="str">
        <f>verze!E71</f>
        <v>v barvě bočnice</v>
      </c>
      <c r="AV16" s="4"/>
      <c r="AW16" s="4" t="str">
        <f>verze!E77</f>
        <v>žádná</v>
      </c>
      <c r="AX16" s="26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1:68" ht="14.4" customHeight="1" thickBo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68"/>
      <c r="T17" s="4"/>
      <c r="U17" s="4" t="str">
        <f>verze!E25</f>
        <v>způsob balení:</v>
      </c>
      <c r="V17" s="4"/>
      <c r="W17" s="4"/>
      <c r="X17" s="4"/>
      <c r="Y17" s="4"/>
      <c r="Z17" s="4"/>
      <c r="AA17" s="87"/>
      <c r="AB17" s="87"/>
      <c r="AC17" s="87"/>
      <c r="AD17" s="87"/>
      <c r="AE17" s="4"/>
      <c r="AF17" s="68"/>
      <c r="AG17" s="4"/>
      <c r="AH17" s="4"/>
      <c r="AI17" s="4"/>
      <c r="AJ17" s="4"/>
      <c r="AK17" s="4"/>
      <c r="AL17" s="4"/>
      <c r="AM17" s="4" t="str">
        <f>verze!E70</f>
        <v>dekorativní profil:</v>
      </c>
      <c r="AN17" s="4"/>
      <c r="AO17" s="4"/>
      <c r="AP17" s="4"/>
      <c r="AQ17" s="4"/>
      <c r="AR17" s="4"/>
      <c r="AS17" s="4"/>
      <c r="AT17" s="4"/>
      <c r="AU17" s="4" t="str">
        <f>verze!E72</f>
        <v>hliník</v>
      </c>
      <c r="AV17" s="4"/>
      <c r="AW17" s="4" t="str">
        <f>verze!E78</f>
        <v>stříbrná s logem</v>
      </c>
      <c r="AX17" s="447">
        <v>9257703</v>
      </c>
      <c r="AY17" s="447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1:68" ht="14.4" customHeight="1" thickBo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68"/>
      <c r="T18" s="80"/>
      <c r="U18" s="526" t="s">
        <v>143</v>
      </c>
      <c r="V18" s="527"/>
      <c r="W18" s="527"/>
      <c r="X18" s="527"/>
      <c r="Y18" s="527"/>
      <c r="Z18" s="528"/>
      <c r="AA18" s="87"/>
      <c r="AB18" s="87"/>
      <c r="AC18" s="87"/>
      <c r="AD18" s="87"/>
      <c r="AE18" s="4"/>
      <c r="AF18" s="68"/>
      <c r="AG18" s="4"/>
      <c r="AH18" s="4"/>
      <c r="AI18" s="4"/>
      <c r="AJ18" s="4"/>
      <c r="AK18" s="4"/>
      <c r="AL18" s="4"/>
      <c r="AM18" s="526" t="s">
        <v>429</v>
      </c>
      <c r="AN18" s="527"/>
      <c r="AO18" s="527"/>
      <c r="AP18" s="527"/>
      <c r="AQ18" s="527"/>
      <c r="AR18" s="528"/>
      <c r="AS18" s="4"/>
      <c r="AT18" s="4"/>
      <c r="AU18" s="4" t="str">
        <f>verze!E73</f>
        <v>nerez</v>
      </c>
      <c r="AV18" s="4"/>
      <c r="AW18" s="4" t="str">
        <f>verze!E79</f>
        <v>stříbrná bez loga</v>
      </c>
      <c r="AX18" s="447">
        <v>9270185</v>
      </c>
      <c r="AY18" s="447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</row>
    <row r="19" spans="1:68" ht="14.4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68"/>
      <c r="T19" s="4"/>
      <c r="U19" s="4"/>
      <c r="V19" s="4"/>
      <c r="W19" s="4"/>
      <c r="X19" s="4"/>
      <c r="Y19" s="4"/>
      <c r="Z19" s="4"/>
      <c r="AA19" s="87"/>
      <c r="AB19" s="87"/>
      <c r="AC19" s="87"/>
      <c r="AD19" s="87"/>
      <c r="AE19" s="4"/>
      <c r="AF19" s="68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 t="str">
        <f>verze!E65</f>
        <v>chrom</v>
      </c>
      <c r="AV19" s="4"/>
      <c r="AW19" s="4" t="str">
        <f>verze!E80</f>
        <v>bílá s logem</v>
      </c>
      <c r="AX19" s="447">
        <v>9257704</v>
      </c>
      <c r="AY19" s="447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</row>
    <row r="20" spans="1:68" ht="14.4" customHeight="1" thickBo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87"/>
      <c r="AB20" s="87"/>
      <c r="AC20" s="87"/>
      <c r="AD20" s="87"/>
      <c r="AE20" s="4"/>
      <c r="AF20" s="68"/>
      <c r="AG20" s="4"/>
      <c r="AH20" s="4"/>
      <c r="AI20" s="4"/>
      <c r="AJ20" s="4"/>
      <c r="AK20" s="4"/>
      <c r="AL20" s="4"/>
      <c r="AM20" s="4" t="str">
        <f>verze!E76</f>
        <v>krytka:</v>
      </c>
      <c r="AN20" s="4"/>
      <c r="AO20" s="4"/>
      <c r="AP20" s="4"/>
      <c r="AQ20" s="4"/>
      <c r="AR20" s="4"/>
      <c r="AS20" s="4"/>
      <c r="AT20" s="4"/>
      <c r="AU20" s="4" t="str">
        <f>verze!E74</f>
        <v>dub</v>
      </c>
      <c r="AV20" s="4"/>
      <c r="AW20" s="4" t="str">
        <f>verze!E81</f>
        <v>bílá bez loga</v>
      </c>
      <c r="AX20" s="447">
        <v>9270186</v>
      </c>
      <c r="AY20" s="447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</row>
    <row r="21" spans="1:68" ht="14.4" customHeight="1" thickBot="1">
      <c r="S21" s="76"/>
      <c r="T21" s="72"/>
      <c r="U21" s="4"/>
      <c r="V21" s="4"/>
      <c r="W21" s="4"/>
      <c r="X21" s="4"/>
      <c r="Y21" s="4"/>
      <c r="Z21" s="4"/>
      <c r="AA21" s="87"/>
      <c r="AB21" s="87"/>
      <c r="AC21" s="87"/>
      <c r="AD21" s="87"/>
      <c r="AE21" s="4"/>
      <c r="AF21" s="68"/>
      <c r="AG21" s="4"/>
      <c r="AH21" s="4"/>
      <c r="AI21" s="4"/>
      <c r="AJ21" s="4"/>
      <c r="AK21" s="4"/>
      <c r="AL21" s="4"/>
      <c r="AM21" s="526" t="s">
        <v>1208</v>
      </c>
      <c r="AN21" s="527"/>
      <c r="AO21" s="527"/>
      <c r="AP21" s="527"/>
      <c r="AQ21" s="527"/>
      <c r="AR21" s="528"/>
      <c r="AS21" s="4"/>
      <c r="AT21" s="4"/>
      <c r="AU21" s="4" t="str">
        <f>verze!E75</f>
        <v>ořech</v>
      </c>
      <c r="AV21" s="4"/>
      <c r="AW21" s="4" t="str">
        <f>verze!E82</f>
        <v>antracitová s logem</v>
      </c>
      <c r="AX21" s="447">
        <v>9257705</v>
      </c>
      <c r="AY21" s="447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</row>
    <row r="22" spans="1:68" ht="14.4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6"/>
      <c r="T22" s="76"/>
      <c r="U22" s="4"/>
      <c r="V22" s="4"/>
      <c r="W22" s="4"/>
      <c r="X22" s="4"/>
      <c r="Y22" s="4"/>
      <c r="Z22" s="4"/>
      <c r="AA22" s="87"/>
      <c r="AB22" s="87"/>
      <c r="AC22" s="87"/>
      <c r="AD22" s="87"/>
      <c r="AE22" s="4"/>
      <c r="AF22" s="68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 t="str">
        <f>verze!E83</f>
        <v>antracitová bez loga</v>
      </c>
      <c r="AX22" s="447">
        <v>9270187</v>
      </c>
      <c r="AY22" s="447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8" ht="14.4" customHeight="1" thickBo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6"/>
      <c r="T23" s="76"/>
      <c r="U23" s="4"/>
      <c r="V23" s="99"/>
      <c r="W23" s="99" t="str">
        <f>IF(U18=AU13,AU4,"")</f>
        <v>Vybrané</v>
      </c>
      <c r="X23" s="4"/>
      <c r="Y23" s="4"/>
      <c r="Z23" s="4"/>
      <c r="AA23" s="87"/>
      <c r="AB23" s="87"/>
      <c r="AC23" s="87"/>
      <c r="AD23" s="99"/>
      <c r="AE23" s="99" t="str">
        <f>IF(U18=AU14,AU4,"")</f>
        <v/>
      </c>
      <c r="AF23" s="68"/>
      <c r="AG23" s="4"/>
      <c r="AH23" s="4"/>
      <c r="AI23" s="4"/>
      <c r="AJ23" s="4"/>
      <c r="AK23" s="4"/>
      <c r="AL23" s="4"/>
      <c r="AM23" s="4" t="str">
        <f>verze!E84</f>
        <v>tloušťka boku skřínky:</v>
      </c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</row>
    <row r="24" spans="1:68" ht="14.4" customHeight="1" thickBo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87"/>
      <c r="AB24" s="87"/>
      <c r="AC24" s="87"/>
      <c r="AD24" s="87"/>
      <c r="AE24" s="4"/>
      <c r="AF24" s="68"/>
      <c r="AG24" s="4"/>
      <c r="AH24" s="4"/>
      <c r="AI24" s="4"/>
      <c r="AJ24" s="4"/>
      <c r="AK24" s="4"/>
      <c r="AL24" s="4"/>
      <c r="AM24" s="529">
        <v>18</v>
      </c>
      <c r="AN24" s="530"/>
      <c r="AO24" s="530"/>
      <c r="AP24" s="530"/>
      <c r="AQ24" s="530"/>
      <c r="AR24" s="531"/>
      <c r="AS24" s="4"/>
      <c r="AT24" s="4"/>
      <c r="AU24" s="4">
        <v>16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 ht="14.4" customHeight="1">
      <c r="A25" s="4"/>
      <c r="B25" s="4" t="str">
        <f>" "&amp;verze!E29</f>
        <v xml:space="preserve"> Prodejce:</v>
      </c>
      <c r="C25" s="69"/>
      <c r="D25" s="69"/>
      <c r="E25" s="69"/>
      <c r="F25" s="69"/>
      <c r="G25" s="69"/>
      <c r="H25" s="69"/>
      <c r="I25" s="69"/>
      <c r="J25" s="69"/>
      <c r="K25" s="69"/>
      <c r="L25" s="4"/>
      <c r="M25" s="4"/>
      <c r="N25" s="4"/>
      <c r="O25" s="4"/>
      <c r="P25" s="4"/>
      <c r="Q25" s="4"/>
      <c r="R25" s="4"/>
      <c r="S25" s="4"/>
      <c r="T25" s="4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4"/>
      <c r="AF25" s="79"/>
      <c r="AG25" s="79"/>
      <c r="AH25" s="79"/>
      <c r="AI25" s="79"/>
      <c r="AJ25" s="79"/>
      <c r="AK25" s="79"/>
      <c r="AL25" s="79"/>
      <c r="AM25" s="79"/>
      <c r="AN25" s="4"/>
      <c r="AO25" s="4"/>
      <c r="AP25" s="4"/>
      <c r="AQ25" s="4"/>
      <c r="AR25" s="4"/>
      <c r="AS25" s="4"/>
      <c r="AT25" s="4"/>
      <c r="AU25" s="4">
        <v>18</v>
      </c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</row>
    <row r="26" spans="1:68" ht="14.4" customHeight="1">
      <c r="A26" s="4"/>
      <c r="B26" s="524" t="str">
        <f>" "&amp;CENY!C3</f>
        <v xml:space="preserve"> Démos trade, a.s.</v>
      </c>
      <c r="C26" s="524"/>
      <c r="D26" s="524"/>
      <c r="E26" s="524"/>
      <c r="F26" s="524"/>
      <c r="G26" s="524"/>
      <c r="H26" s="524"/>
      <c r="I26" s="524"/>
      <c r="J26" s="524"/>
      <c r="K26" s="524"/>
      <c r="L26" s="4"/>
      <c r="M26" s="4"/>
      <c r="N26" s="4"/>
      <c r="O26" s="4"/>
      <c r="P26" s="4"/>
      <c r="Q26" s="4"/>
      <c r="R26" s="4"/>
      <c r="S26" s="4"/>
      <c r="T26" s="4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4"/>
      <c r="AF26" s="79"/>
      <c r="AG26" s="79"/>
      <c r="AH26" s="79"/>
      <c r="AI26" s="79"/>
      <c r="AJ26" s="79"/>
      <c r="AK26" s="79"/>
      <c r="AL26" s="79"/>
      <c r="AM26" s="79"/>
      <c r="AN26" s="4"/>
      <c r="AO26" s="4"/>
      <c r="AP26" s="4"/>
      <c r="AQ26" s="4"/>
      <c r="AR26" s="4"/>
      <c r="AS26" s="96"/>
      <c r="AT26" s="4"/>
      <c r="AU26" s="4">
        <v>19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</row>
    <row r="27" spans="1:68" ht="14.4" customHeight="1" thickBot="1">
      <c r="A27" s="4"/>
      <c r="B27" s="525" t="str">
        <f>" "&amp;CENY!C4</f>
        <v xml:space="preserve"> Škrobálkova 630/13</v>
      </c>
      <c r="C27" s="525"/>
      <c r="D27" s="525"/>
      <c r="E27" s="525"/>
      <c r="F27" s="525"/>
      <c r="G27" s="525"/>
      <c r="H27" s="525"/>
      <c r="I27" s="525"/>
      <c r="J27" s="525"/>
      <c r="K27" s="525"/>
      <c r="L27" s="4"/>
      <c r="M27" s="4"/>
      <c r="N27" s="4"/>
      <c r="O27" s="4"/>
      <c r="P27" s="4"/>
      <c r="Q27" s="4"/>
      <c r="R27" s="4"/>
      <c r="S27" s="4"/>
      <c r="T27" s="4"/>
      <c r="U27" s="72" t="str">
        <f>verze!E58</f>
        <v>Cenová hladina:</v>
      </c>
      <c r="V27" s="4"/>
      <c r="W27" s="4"/>
      <c r="X27" s="4"/>
      <c r="Y27" s="4"/>
      <c r="Z27" s="4"/>
      <c r="AA27" s="87"/>
      <c r="AB27" s="87"/>
      <c r="AC27" s="87"/>
      <c r="AD27" s="87"/>
      <c r="AE27" s="4"/>
      <c r="AF27" s="79"/>
      <c r="AG27" s="79"/>
      <c r="AH27" s="79"/>
      <c r="AI27" s="79"/>
      <c r="AJ27" s="79"/>
      <c r="AK27" s="79"/>
      <c r="AL27" s="79"/>
      <c r="AM27" s="79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</row>
    <row r="28" spans="1:68" ht="14.4" customHeight="1" thickBot="1">
      <c r="A28" s="4"/>
      <c r="B28" s="525" t="str">
        <f>" "&amp;CENY!C5</f>
        <v xml:space="preserve"> 718 00  Ostrava-Kunčičky</v>
      </c>
      <c r="C28" s="525"/>
      <c r="D28" s="525"/>
      <c r="E28" s="525"/>
      <c r="F28" s="525"/>
      <c r="G28" s="525"/>
      <c r="H28" s="525"/>
      <c r="I28" s="525"/>
      <c r="J28" s="525"/>
      <c r="K28" s="525"/>
      <c r="L28" s="4"/>
      <c r="M28" s="4"/>
      <c r="N28" s="4"/>
      <c r="O28" s="4"/>
      <c r="P28" s="4"/>
      <c r="Q28" s="4"/>
      <c r="R28" s="4"/>
      <c r="S28" s="4"/>
      <c r="T28" s="4"/>
      <c r="U28" s="526" t="s">
        <v>93</v>
      </c>
      <c r="V28" s="527"/>
      <c r="W28" s="527"/>
      <c r="X28" s="527"/>
      <c r="Y28" s="527"/>
      <c r="Z28" s="528"/>
      <c r="AA28" s="4"/>
      <c r="AB28" s="4"/>
      <c r="AC28" s="4"/>
      <c r="AD28" s="9" t="str">
        <f>verze!E59&amp;" "</f>
        <v xml:space="preserve">Sleva % </v>
      </c>
      <c r="AE28" s="532">
        <f>IF(U28=AU30,0,IF(U28=AU31,Napoveda!T9,IF(U28=AU36,Napoveda!T10,1/0)))</f>
        <v>0</v>
      </c>
      <c r="AF28" s="534"/>
      <c r="AG28" s="4"/>
      <c r="AH28" s="4"/>
      <c r="AI28" s="4"/>
      <c r="AJ28" s="4"/>
      <c r="AK28" s="4"/>
      <c r="AL28" s="4"/>
      <c r="AM28" s="4"/>
      <c r="AN28" s="4"/>
      <c r="AO28" s="9" t="str">
        <f>verze!E51&amp;" "</f>
        <v xml:space="preserve">Verze  </v>
      </c>
      <c r="AP28" s="532" t="str">
        <f>verze!E52</f>
        <v>1.0.0</v>
      </c>
      <c r="AQ28" s="533"/>
      <c r="AR28" s="53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</row>
    <row r="29" spans="1:68" ht="14.4" customHeight="1">
      <c r="A29" s="4"/>
      <c r="B29" s="525" t="str">
        <f>" "&amp;CENY!C6</f>
        <v xml:space="preserve"> tel. (+420) 596 223 444 </v>
      </c>
      <c r="C29" s="525"/>
      <c r="D29" s="525"/>
      <c r="E29" s="525"/>
      <c r="F29" s="525"/>
      <c r="G29" s="525"/>
      <c r="H29" s="525"/>
      <c r="I29" s="525"/>
      <c r="J29" s="525"/>
      <c r="K29" s="525"/>
      <c r="L29" s="4"/>
      <c r="M29" s="4"/>
      <c r="N29" s="4"/>
      <c r="O29" s="4"/>
      <c r="P29" s="4"/>
      <c r="Q29" s="4"/>
      <c r="R29" s="4"/>
      <c r="S29" s="4"/>
      <c r="T29" s="4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68" ht="14.4" customHeight="1">
      <c r="A30" s="4"/>
      <c r="B30" s="525" t="str">
        <f>" "&amp;CENY!C7</f>
        <v xml:space="preserve"> </v>
      </c>
      <c r="C30" s="525"/>
      <c r="D30" s="525"/>
      <c r="E30" s="525"/>
      <c r="F30" s="525"/>
      <c r="G30" s="525"/>
      <c r="H30" s="525"/>
      <c r="I30" s="525"/>
      <c r="J30" s="525"/>
      <c r="K30" s="525"/>
      <c r="L30" s="4"/>
      <c r="M30" s="4"/>
      <c r="N30" s="4"/>
      <c r="O30" s="4"/>
      <c r="P30" s="4"/>
      <c r="Q30" s="4"/>
      <c r="R30" s="4"/>
      <c r="S30" s="4"/>
      <c r="T30" s="4"/>
      <c r="U30" s="76"/>
      <c r="V30" s="76"/>
      <c r="W30" s="76"/>
      <c r="X30" s="76"/>
      <c r="Y30" s="76"/>
      <c r="Z30" s="76"/>
      <c r="AA30" s="87"/>
      <c r="AB30" s="87"/>
      <c r="AC30" s="87"/>
      <c r="AD30" s="87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96"/>
      <c r="AR30" s="96"/>
      <c r="AS30" s="4"/>
      <c r="AT30" s="4"/>
      <c r="AU30" s="4" t="str">
        <f>verze!E86</f>
        <v>Základní ceny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</row>
    <row r="31" spans="1:68" ht="14.4" customHeight="1">
      <c r="A31" s="4"/>
      <c r="B31" s="525" t="str">
        <f>" "&amp;CENY!C8</f>
        <v xml:space="preserve"> demos@demos-trade.com</v>
      </c>
      <c r="C31" s="525"/>
      <c r="D31" s="525"/>
      <c r="E31" s="525"/>
      <c r="F31" s="525"/>
      <c r="G31" s="525"/>
      <c r="H31" s="525"/>
      <c r="I31" s="525"/>
      <c r="J31" s="525"/>
      <c r="K31" s="525"/>
      <c r="L31" s="4"/>
      <c r="M31" s="4"/>
      <c r="N31" s="4"/>
      <c r="O31" s="4"/>
      <c r="P31" s="4"/>
      <c r="Q31" s="4"/>
      <c r="R31" s="4"/>
      <c r="S31" s="4"/>
      <c r="T31" s="4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 t="str">
        <f>verze!E87</f>
        <v>Nákupní ceny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</row>
    <row r="32" spans="1:68" ht="14.4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</row>
    <row r="33" spans="1:68" ht="14.4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</row>
    <row r="34" spans="1:68" ht="17.399999999999999"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5"/>
      <c r="AJ34" s="5"/>
      <c r="AK34" s="5"/>
      <c r="AL34" s="5"/>
      <c r="AM34" s="5"/>
      <c r="AN34" s="4"/>
      <c r="AO34" s="4"/>
      <c r="AP34" s="4"/>
      <c r="AQ34" s="4"/>
      <c r="AR34" s="4"/>
      <c r="AS34" s="4"/>
      <c r="AT34" s="74"/>
      <c r="AU34" s="4"/>
      <c r="AV34" s="4"/>
      <c r="AW34" s="4"/>
      <c r="AX34" s="4"/>
      <c r="AY34" s="4"/>
    </row>
    <row r="35" spans="1:68"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5"/>
      <c r="AJ35" s="5"/>
      <c r="AK35" s="5"/>
      <c r="AL35" s="5"/>
      <c r="AM35" s="5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1:68"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  <c r="AJ36" s="5"/>
      <c r="AK36" s="5"/>
      <c r="AL36" s="5"/>
      <c r="AM36" s="5"/>
      <c r="AN36" s="4"/>
      <c r="AO36" s="4"/>
      <c r="AP36" s="4"/>
      <c r="AQ36" s="4"/>
      <c r="AR36" s="4"/>
      <c r="AS36" s="4"/>
      <c r="AT36" s="4"/>
      <c r="AU36" s="4"/>
      <c r="AV36" s="4" t="str">
        <f>verze!E88</f>
        <v>S volitelnou slevou</v>
      </c>
      <c r="AW36" s="4"/>
      <c r="AX36" s="4"/>
      <c r="AY36" s="4"/>
    </row>
    <row r="37" spans="1:68"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5"/>
      <c r="AJ37" s="5"/>
      <c r="AK37" s="5"/>
      <c r="AL37" s="5"/>
      <c r="AM37" s="5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1:68"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/>
      <c r="AJ38" s="5"/>
      <c r="AK38" s="5"/>
      <c r="AL38" s="5"/>
      <c r="AM38" s="5"/>
      <c r="AN38" s="4"/>
      <c r="AO38" s="4"/>
      <c r="AP38" s="4"/>
      <c r="AQ38" s="4"/>
      <c r="AR38" s="4"/>
      <c r="AT38" s="4"/>
      <c r="AU38" s="4"/>
      <c r="AV38" s="4"/>
      <c r="AW38" s="4"/>
      <c r="AX38" s="4"/>
      <c r="AY38" s="4"/>
    </row>
    <row r="39" spans="1:68"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5"/>
      <c r="AJ39" s="5"/>
      <c r="AK39" s="5"/>
      <c r="AL39" s="5"/>
      <c r="AM39" s="5"/>
      <c r="AN39" s="4"/>
      <c r="AO39" s="4"/>
      <c r="AP39" s="4"/>
      <c r="AQ39" s="4"/>
      <c r="AR39" s="4"/>
      <c r="AT39" s="4"/>
      <c r="AU39" s="4"/>
      <c r="AV39" s="4"/>
      <c r="AW39" s="4"/>
      <c r="AX39" s="4"/>
      <c r="AY39" s="4"/>
    </row>
    <row r="40" spans="1:68"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T40" s="4"/>
      <c r="AU40" s="4"/>
      <c r="AV40" s="4"/>
      <c r="AW40" s="4"/>
      <c r="AX40" s="4"/>
      <c r="AY40" s="4"/>
    </row>
    <row r="41" spans="1:68"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T41" s="4"/>
      <c r="AU41" s="4"/>
      <c r="AV41" s="4"/>
      <c r="AW41" s="4"/>
      <c r="AX41" s="4"/>
      <c r="AY41" s="4"/>
    </row>
    <row r="42" spans="1:68">
      <c r="AT42" s="4"/>
      <c r="AU42" s="4"/>
      <c r="AV42" s="4"/>
      <c r="AW42" s="4"/>
      <c r="AX42" s="4"/>
    </row>
    <row r="43" spans="1:68">
      <c r="AT43" s="4"/>
      <c r="AU43" s="75"/>
      <c r="AV43" s="4"/>
      <c r="AW43" s="4"/>
      <c r="AX43" s="4"/>
    </row>
    <row r="44" spans="1:68">
      <c r="AT44" s="4"/>
      <c r="AU44" s="4"/>
      <c r="AV44" s="4"/>
      <c r="AW44" s="4"/>
      <c r="AX44" s="4"/>
    </row>
    <row r="45" spans="1:68">
      <c r="AT45" s="4"/>
      <c r="AU45" s="4"/>
      <c r="AV45" s="4"/>
      <c r="AW45" s="4"/>
      <c r="AX45" s="4"/>
    </row>
    <row r="46" spans="1:68">
      <c r="AT46" s="4"/>
      <c r="AU46" s="4"/>
      <c r="AV46" s="4"/>
      <c r="AW46" s="4"/>
      <c r="AX46" s="4"/>
    </row>
    <row r="47" spans="1:68">
      <c r="AT47" s="4"/>
      <c r="AU47" s="4"/>
      <c r="AV47" s="4"/>
      <c r="AW47" s="4"/>
      <c r="AX47" s="4"/>
    </row>
    <row r="48" spans="1:68">
      <c r="AT48" s="4"/>
      <c r="AU48" s="4"/>
      <c r="AV48" s="4"/>
      <c r="AW48" s="4"/>
      <c r="AX48" s="4"/>
    </row>
    <row r="49" spans="46:50">
      <c r="AT49" s="4"/>
      <c r="AU49" s="4"/>
      <c r="AV49" s="4"/>
      <c r="AW49" s="4"/>
      <c r="AX49" s="4"/>
    </row>
    <row r="50" spans="46:50">
      <c r="AT50" s="4"/>
      <c r="AU50" s="4"/>
      <c r="AV50" s="4"/>
      <c r="AW50" s="4"/>
      <c r="AX50" s="4"/>
    </row>
    <row r="51" spans="46:50">
      <c r="AT51" s="4"/>
      <c r="AU51" s="70"/>
      <c r="AV51" s="4"/>
      <c r="AW51" s="4"/>
      <c r="AX51" s="4"/>
    </row>
    <row r="52" spans="46:50">
      <c r="AT52" s="4"/>
      <c r="AU52" s="70"/>
      <c r="AV52" s="4"/>
      <c r="AW52" s="4"/>
      <c r="AX52" s="4"/>
    </row>
    <row r="53" spans="46:50">
      <c r="AU53" s="4"/>
      <c r="AV53" s="4"/>
      <c r="AW53" s="4"/>
      <c r="AX53" s="4"/>
    </row>
    <row r="54" spans="46:50">
      <c r="AU54" s="4"/>
      <c r="AV54" s="4"/>
      <c r="AW54" s="4"/>
      <c r="AX54" s="4"/>
    </row>
    <row r="55" spans="46:50">
      <c r="AX55" s="4"/>
    </row>
    <row r="56" spans="46:50">
      <c r="AX56" s="4"/>
    </row>
  </sheetData>
  <sheetProtection password="DD97" sheet="1"/>
  <mergeCells count="23">
    <mergeCell ref="U8:Z8"/>
    <mergeCell ref="AM8:AR8"/>
    <mergeCell ref="AI4:AR4"/>
    <mergeCell ref="B2:E2"/>
    <mergeCell ref="G2:K2"/>
    <mergeCell ref="O2:S2"/>
    <mergeCell ref="U2:Y2"/>
    <mergeCell ref="AA2:AE2"/>
    <mergeCell ref="AI2:AM2"/>
    <mergeCell ref="AO2:AR2"/>
    <mergeCell ref="B30:K30"/>
    <mergeCell ref="B31:K31"/>
    <mergeCell ref="AP28:AR28"/>
    <mergeCell ref="AE28:AF28"/>
    <mergeCell ref="U28:Z28"/>
    <mergeCell ref="B28:K28"/>
    <mergeCell ref="B29:K29"/>
    <mergeCell ref="B26:K26"/>
    <mergeCell ref="B27:K27"/>
    <mergeCell ref="AM18:AR18"/>
    <mergeCell ref="AM21:AR21"/>
    <mergeCell ref="AM24:AR24"/>
    <mergeCell ref="U18:Z18"/>
  </mergeCells>
  <conditionalFormatting sqref="T18 U25:AD26">
    <cfRule type="expression" dxfId="738" priority="4" stopIfTrue="1">
      <formula>$AV$2=1</formula>
    </cfRule>
  </conditionalFormatting>
  <conditionalFormatting sqref="AU36">
    <cfRule type="expression" dxfId="737" priority="2" stopIfTrue="1">
      <formula>$AU$37=1</formula>
    </cfRule>
  </conditionalFormatting>
  <dataValidations count="7">
    <dataValidation type="list" allowBlank="1" showInputMessage="1" showErrorMessage="1" sqref="U8">
      <formula1>$AU$6:$AU$8</formula1>
    </dataValidation>
    <dataValidation type="list" allowBlank="1" showInputMessage="1" showErrorMessage="1" sqref="AM8:AR8">
      <formula1>$AU$10:$AU$11</formula1>
    </dataValidation>
    <dataValidation type="list" errorStyle="warning" allowBlank="1" showInputMessage="1" showErrorMessage="1" errorTitle="NESPRÁVNY  ÚDAJ" sqref="U28">
      <formula1>$AU$30:$AU$36</formula1>
    </dataValidation>
    <dataValidation type="list" allowBlank="1" showInputMessage="1" showErrorMessage="1" sqref="U18:Z18">
      <formula1>$AU$13:$AU$14</formula1>
    </dataValidation>
    <dataValidation type="list" allowBlank="1" showInputMessage="1" showErrorMessage="1" sqref="AM18:AR18">
      <formula1>$AU$16:$AU$21</formula1>
    </dataValidation>
    <dataValidation type="list" allowBlank="1" showInputMessage="1" showErrorMessage="1" sqref="AM21:AR21">
      <formula1>$AW$16:$AW$22</formula1>
    </dataValidation>
    <dataValidation type="list" allowBlank="1" showInputMessage="1" showErrorMessage="1" sqref="AM24:AR24">
      <formula1>$AU$24:$AU$26</formula1>
    </dataValidation>
  </dataValidations>
  <hyperlinks>
    <hyperlink ref="AI4:AR4" location="Napoveda!A1" display="Napoveda!A1"/>
    <hyperlink ref="O2:S2" location="MENU!A5" display="MENU!A5"/>
    <hyperlink ref="AO2:AR2" location="MENU!A5" display="&gt;&gt;&gt;"/>
    <hyperlink ref="AI2:AM2" location="OBJ!A1" display="OBJ!A1"/>
    <hyperlink ref="U2:Y2" location="'MENU-2'!A5" display="'MENU-2'!A5"/>
  </hyperlink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9" tint="-0.249977111117893"/>
  </sheetPr>
  <dimension ref="A1:BK96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SUM(BB5:BB953)</f>
        <v>0</v>
      </c>
      <c r="BD4" s="105" t="s">
        <v>40</v>
      </c>
      <c r="BK4" s="444">
        <f>SUM(BK5:BK946)</f>
        <v>0</v>
      </c>
    </row>
    <row r="5" spans="1:63" ht="14.4" customHeight="1">
      <c r="AU5" s="441">
        <f>OBJ!B81</f>
        <v>9255254</v>
      </c>
      <c r="AV5" s="23" t="str">
        <f>VLOOKUP(AU5,CENY!$B$11:$G$1034,2,FALSE)</f>
        <v>AVANTECH YOU BOKY V SADĚ V139 MM NL300 MM STŘÍBRNÁ</v>
      </c>
      <c r="AW5" s="24">
        <f>VLOOKUP(AU5,CENY!$B$11:$G$1034,3,FALSE)</f>
        <v>1</v>
      </c>
      <c r="AX5" s="499">
        <v>4</v>
      </c>
      <c r="AY5" s="25">
        <f>Q19+Q25</f>
        <v>0</v>
      </c>
      <c r="AZ5" s="451">
        <f t="shared" ref="AZ5:AZ61" si="0">IF(AY5="","",IF($AW$4=1,AY5,0))</f>
        <v>0</v>
      </c>
      <c r="BA5" s="107">
        <f>VLOOKUP(AU5,CENY!$B$11:$M$2005,12,FALSE)</f>
        <v>682.46</v>
      </c>
      <c r="BB5" s="107">
        <f t="shared" ref="BB5:BB60" si="1">IF(BA5="","",BA5*AY5)</f>
        <v>0</v>
      </c>
      <c r="BD5" s="441">
        <f>OBJ!B89</f>
        <v>9255028</v>
      </c>
      <c r="BE5" s="23" t="str">
        <f>VLOOKUP(BD5,CENY!$B$11:$G$1034,2,FALSE)</f>
        <v>AVANTECH YOU BOK V139 MM NL300 MM STŘÍBRNÝ LEVÝ</v>
      </c>
      <c r="BF5" s="24">
        <f>VLOOKUP(BD5,CENY!$B$11:$G$1034,3,FALSE)</f>
        <v>20</v>
      </c>
      <c r="BG5" s="24"/>
      <c r="BH5" s="25">
        <f>AY5</f>
        <v>0</v>
      </c>
      <c r="BI5" s="451">
        <f t="shared" ref="BI5:BI69" si="2">IF(BH5="","",IF($AW$4=0,BH5,0))</f>
        <v>0</v>
      </c>
      <c r="BJ5" s="107">
        <f>VLOOKUP(BD5,CENY!$B$11:$M$2005,12,FALSE)</f>
        <v>229.12</v>
      </c>
      <c r="BK5" s="107">
        <f t="shared" ref="BK5:BK69" si="3"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498</v>
      </c>
      <c r="G6" s="554"/>
      <c r="H6" s="554"/>
      <c r="I6" s="554"/>
      <c r="J6" s="554"/>
      <c r="K6" s="554"/>
      <c r="AU6" s="441">
        <f>OBJ!B82</f>
        <v>9255255</v>
      </c>
      <c r="AV6" s="23" t="str">
        <f>VLOOKUP(AU6,CENY!$B$11:$G$1034,2,FALSE)</f>
        <v>AVANTECH YOU BOKY V SADĚ V139 MM NL350 MM STŘÍBRNÁ</v>
      </c>
      <c r="AW6" s="24">
        <f>VLOOKUP(AU6,CENY!$B$11:$G$1034,3,FALSE)</f>
        <v>1</v>
      </c>
      <c r="AX6" s="499">
        <v>6</v>
      </c>
      <c r="AY6" s="25">
        <f>S19+S25</f>
        <v>0</v>
      </c>
      <c r="AZ6" s="451">
        <f t="shared" si="0"/>
        <v>0</v>
      </c>
      <c r="BA6" s="107">
        <f>VLOOKUP(AU6,CENY!$B$11:$M$2005,12,FALSE)</f>
        <v>691.23</v>
      </c>
      <c r="BB6" s="107">
        <f t="shared" si="1"/>
        <v>0</v>
      </c>
      <c r="BD6" s="441">
        <f>OBJ!B90</f>
        <v>9255029</v>
      </c>
      <c r="BE6" s="23" t="str">
        <f>VLOOKUP(BD6,CENY!$B$11:$G$1034,2,FALSE)</f>
        <v>AVANTECH YOU BOK V139 MM NL300 MM STŘÍBRNÝ PRAVÝ</v>
      </c>
      <c r="BF6" s="24">
        <f>VLOOKUP(BD6,CENY!$B$11:$G$1034,3,FALSE)</f>
        <v>20</v>
      </c>
      <c r="BG6" s="24"/>
      <c r="BH6" s="25">
        <f>AY5</f>
        <v>0</v>
      </c>
      <c r="BI6" s="451">
        <f t="shared" si="2"/>
        <v>0</v>
      </c>
      <c r="BJ6" s="107">
        <f>VLOOKUP(BD6,CENY!$B$11:$M$2005,12,FALSE)</f>
        <v>229.12</v>
      </c>
      <c r="BK6" s="107">
        <f t="shared" si="3"/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OBJ!B83</f>
        <v>9255256</v>
      </c>
      <c r="AV7" s="23" t="str">
        <f>VLOOKUP(AU7,CENY!$B$11:$G$1034,2,FALSE)</f>
        <v>AVANTECH YOU BOKY V SADĚ V139 MM NL400 MM STŘÍBRNÁ</v>
      </c>
      <c r="AW7" s="24">
        <f>VLOOKUP(AU7,CENY!$B$11:$G$1034,3,FALSE)</f>
        <v>1</v>
      </c>
      <c r="AX7" s="499">
        <v>6</v>
      </c>
      <c r="AY7" s="25">
        <f>U19+U25</f>
        <v>0</v>
      </c>
      <c r="AZ7" s="451">
        <f t="shared" si="0"/>
        <v>0</v>
      </c>
      <c r="BA7" s="107">
        <f>VLOOKUP(AU7,CENY!$B$11:$M$2005,12,FALSE)</f>
        <v>700.01</v>
      </c>
      <c r="BB7" s="107">
        <f t="shared" si="1"/>
        <v>0</v>
      </c>
      <c r="BD7" s="441">
        <f>OBJ!B91</f>
        <v>9255030</v>
      </c>
      <c r="BE7" s="23" t="str">
        <f>VLOOKUP(BD7,CENY!$B$11:$G$1034,2,FALSE)</f>
        <v>AVANTECH YOU BOK V139 MM NL350 MM STŘÍBRNÝ LEVÝ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233.33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OBJ!B84</f>
        <v>9255257</v>
      </c>
      <c r="AV8" s="23" t="str">
        <f>VLOOKUP(AU8,CENY!$B$11:$G$1034,2,FALSE)</f>
        <v>AVANTECH YOU BOKY V SADĚ V139 MM NL450 MM STŘÍBRNÁ</v>
      </c>
      <c r="AW8" s="24">
        <f>VLOOKUP(AU8,CENY!$B$11:$G$1034,3,FALSE)</f>
        <v>1</v>
      </c>
      <c r="AX8" s="499">
        <v>6</v>
      </c>
      <c r="AY8" s="25">
        <f>W19+W20+W25</f>
        <v>0</v>
      </c>
      <c r="AZ8" s="451">
        <f t="shared" si="0"/>
        <v>0</v>
      </c>
      <c r="BA8" s="107">
        <f>VLOOKUP(AU8,CENY!$B$11:$M$2005,12,FALSE)</f>
        <v>708.78</v>
      </c>
      <c r="BB8" s="107">
        <f t="shared" si="1"/>
        <v>0</v>
      </c>
      <c r="BD8" s="441">
        <f>OBJ!B92</f>
        <v>9255031</v>
      </c>
      <c r="BE8" s="23" t="str">
        <f>VLOOKUP(BD8,CENY!$B$11:$G$1034,2,FALSE)</f>
        <v>AVANTECH YOU BOK V139 MM NL350 MM STŘÍBRNÝ PRAVÝ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233.33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OBJ!B85</f>
        <v>9255258</v>
      </c>
      <c r="AV9" s="23" t="str">
        <f>VLOOKUP(AU9,CENY!$B$11:$G$1034,2,FALSE)</f>
        <v>AVANTECH YOU BOKY V SADĚ V139 MM NL500 MM STŘÍBRNÁ</v>
      </c>
      <c r="AW9" s="24">
        <f>VLOOKUP(AU9,CENY!$B$11:$G$1034,3,FALSE)</f>
        <v>1</v>
      </c>
      <c r="AX9" s="499">
        <v>8</v>
      </c>
      <c r="AY9" s="25">
        <f>Y19+Y20+Y25</f>
        <v>0</v>
      </c>
      <c r="AZ9" s="451">
        <f t="shared" si="0"/>
        <v>0</v>
      </c>
      <c r="BA9" s="107">
        <f>VLOOKUP(AU9,CENY!$B$11:$M$2005,12,FALSE)</f>
        <v>717.56</v>
      </c>
      <c r="BB9" s="107">
        <f t="shared" si="1"/>
        <v>0</v>
      </c>
      <c r="BD9" s="441">
        <f>OBJ!B93</f>
        <v>9255032</v>
      </c>
      <c r="BE9" s="23" t="str">
        <f>VLOOKUP(BD9,CENY!$B$11:$G$1034,2,FALSE)</f>
        <v>AVANTECH YOU BOK V139 MM NL400 MM STŘÍBRNÝ LEVÝ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237.55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OBJ!B86</f>
        <v>9255259</v>
      </c>
      <c r="AV10" s="23" t="str">
        <f>VLOOKUP(AU10,CENY!$B$11:$G$1034,2,FALSE)</f>
        <v>AVANTECH YOU BOKY V SADĚ V139 MM NL550 MM STŘÍBRNÁ</v>
      </c>
      <c r="AW10" s="24">
        <f>VLOOKUP(AU10,CENY!$B$11:$G$1034,3,FALSE)</f>
        <v>1</v>
      </c>
      <c r="AX10" s="499">
        <v>8</v>
      </c>
      <c r="AY10" s="25">
        <f>AA19+AA20+AA25</f>
        <v>0</v>
      </c>
      <c r="AZ10" s="451">
        <f t="shared" si="0"/>
        <v>0</v>
      </c>
      <c r="BA10" s="107">
        <f>VLOOKUP(AU10,CENY!$B$11:$M$2005,12,FALSE)</f>
        <v>726.33</v>
      </c>
      <c r="BB10" s="107">
        <f t="shared" si="1"/>
        <v>0</v>
      </c>
      <c r="BD10" s="441">
        <f>OBJ!B94</f>
        <v>9255033</v>
      </c>
      <c r="BE10" s="23" t="str">
        <f>VLOOKUP(BD10,CENY!$B$11:$G$1034,2,FALSE)</f>
        <v>AVANTECH YOU BOK V139 MM NL400 MM STŘÍBRNÝ PRAVÝ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237.55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OBJ!B87</f>
        <v>9255260</v>
      </c>
      <c r="AV11" s="23" t="str">
        <f>VLOOKUP(AU11,CENY!$B$11:$G$1034,2,FALSE)</f>
        <v>AVANTECH YOU BOKY V SADĚ V139 MM NL600 MM STŘÍBRNÁ</v>
      </c>
      <c r="AW11" s="24">
        <f>VLOOKUP(AU11,CENY!$B$11:$G$1034,3,FALSE)</f>
        <v>1</v>
      </c>
      <c r="AX11" s="499">
        <v>8</v>
      </c>
      <c r="AY11" s="25">
        <f>AC19+AC20+AC25</f>
        <v>0</v>
      </c>
      <c r="AZ11" s="451">
        <f t="shared" si="0"/>
        <v>0</v>
      </c>
      <c r="BA11" s="107">
        <f>VLOOKUP(AU11,CENY!$B$11:$M$2005,12,FALSE)</f>
        <v>739.57</v>
      </c>
      <c r="BB11" s="107">
        <f t="shared" si="1"/>
        <v>0</v>
      </c>
      <c r="BD11" s="441">
        <f>OBJ!B95</f>
        <v>9255034</v>
      </c>
      <c r="BE11" s="23" t="str">
        <f>VLOOKUP(BD11,CENY!$B$11:$G$1034,2,FALSE)</f>
        <v>AVANTECH YOU BOK V139 MM NL450 MM STŘÍBRNÝ LEVÝ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241.77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/>
      <c r="AV12" s="23"/>
      <c r="AW12" s="24"/>
      <c r="AX12" s="24"/>
      <c r="AY12" s="25"/>
      <c r="AZ12" s="451" t="str">
        <f t="shared" si="0"/>
        <v/>
      </c>
      <c r="BA12" s="107"/>
      <c r="BB12" s="107" t="str">
        <f t="shared" si="1"/>
        <v/>
      </c>
      <c r="BD12" s="441">
        <f>OBJ!B96</f>
        <v>9255035</v>
      </c>
      <c r="BE12" s="23" t="str">
        <f>VLOOKUP(BD12,CENY!$B$11:$G$1034,2,FALSE)</f>
        <v>AVANTECH YOU BOK V139 MM NL450 MM STŘÍBRNÝ PRAVÝ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241.77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OBJ!B107</f>
        <v>9255263</v>
      </c>
      <c r="AV13" s="23" t="str">
        <f>VLOOKUP(AU13,CENY!$B$11:$G$1034,2,FALSE)</f>
        <v>AVANTECH YOU BOKY V SADĚ V187 MM NL300 MM STŘÍBRNÁ</v>
      </c>
      <c r="AW13" s="24">
        <f>VLOOKUP(AU13,CENY!$B$11:$G$1034,3,FALSE)</f>
        <v>1</v>
      </c>
      <c r="AX13" s="499">
        <v>4</v>
      </c>
      <c r="AY13" s="25">
        <f t="shared" ref="AY13:AY19" si="4">AY5</f>
        <v>0</v>
      </c>
      <c r="AZ13" s="451">
        <f t="shared" si="0"/>
        <v>0</v>
      </c>
      <c r="BA13" s="107">
        <f>VLOOKUP(AU13,CENY!$B$11:$M$2005,12,FALSE)</f>
        <v>853.97</v>
      </c>
      <c r="BB13" s="107">
        <f t="shared" si="1"/>
        <v>0</v>
      </c>
      <c r="BD13" s="441">
        <f>OBJ!B97</f>
        <v>9255036</v>
      </c>
      <c r="BE13" s="23" t="str">
        <f>VLOOKUP(BD13,CENY!$B$11:$G$1034,2,FALSE)</f>
        <v>AVANTECH YOU BOK V139 MM NL500 MM STŘÍBRNÝ LEVÝ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245.98</v>
      </c>
      <c r="BK13" s="107">
        <f t="shared" si="3"/>
        <v>0</v>
      </c>
    </row>
    <row r="14" spans="1:63" ht="14.4" customHeight="1">
      <c r="AU14" s="441">
        <f>OBJ!B108</f>
        <v>9255264</v>
      </c>
      <c r="AV14" s="23" t="str">
        <f>VLOOKUP(AU14,CENY!$B$11:$G$1034,2,FALSE)</f>
        <v>AVANTECH YOU BOKY V SADĚ V187 MM NL350 MM STŘÍBRNÁ</v>
      </c>
      <c r="AW14" s="24">
        <f>VLOOKUP(AU14,CENY!$B$11:$G$1034,3,FALSE)</f>
        <v>1</v>
      </c>
      <c r="AX14" s="499">
        <v>6</v>
      </c>
      <c r="AY14" s="25">
        <f t="shared" si="4"/>
        <v>0</v>
      </c>
      <c r="AZ14" s="451">
        <f t="shared" si="0"/>
        <v>0</v>
      </c>
      <c r="BA14" s="107">
        <f>VLOOKUP(AU14,CENY!$B$11:$M$2005,12,FALSE)</f>
        <v>865.25</v>
      </c>
      <c r="BB14" s="107">
        <f t="shared" si="1"/>
        <v>0</v>
      </c>
      <c r="BD14" s="441">
        <f>OBJ!B98</f>
        <v>9255037</v>
      </c>
      <c r="BE14" s="23" t="str">
        <f>VLOOKUP(BD14,CENY!$B$11:$G$1034,2,FALSE)</f>
        <v>AVANTECH YOU BOK V139 MM NL500 MM STŘÍBRNÝ PRAVÝ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245.98</v>
      </c>
      <c r="BK14" s="107">
        <f t="shared" si="3"/>
        <v>0</v>
      </c>
    </row>
    <row r="15" spans="1:63" ht="14.4" customHeight="1">
      <c r="AU15" s="441">
        <f>OBJ!B109</f>
        <v>9255265</v>
      </c>
      <c r="AV15" s="23" t="str">
        <f>VLOOKUP(AU15,CENY!$B$11:$G$1034,2,FALSE)</f>
        <v>AVANTECH YOU BOKY V SADĚ V187 MM NL400 MM STŘÍBRNÁ</v>
      </c>
      <c r="AW15" s="24">
        <f>VLOOKUP(AU15,CENY!$B$11:$G$1034,3,FALSE)</f>
        <v>1</v>
      </c>
      <c r="AX15" s="499">
        <v>6</v>
      </c>
      <c r="AY15" s="25">
        <f t="shared" si="4"/>
        <v>0</v>
      </c>
      <c r="AZ15" s="451">
        <f t="shared" si="0"/>
        <v>0</v>
      </c>
      <c r="BA15" s="107">
        <f>VLOOKUP(AU15,CENY!$B$11:$M$2005,12,FALSE)</f>
        <v>876.53</v>
      </c>
      <c r="BB15" s="107">
        <f t="shared" si="1"/>
        <v>0</v>
      </c>
      <c r="BD15" s="441">
        <f>OBJ!B99</f>
        <v>9255038</v>
      </c>
      <c r="BE15" s="23" t="str">
        <f>VLOOKUP(BD15,CENY!$B$11:$G$1034,2,FALSE)</f>
        <v>AVANTECH YOU BOK V139 MM NL550 MM STŘÍBRNÝ LEVÝ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250.2</v>
      </c>
      <c r="BK15" s="107">
        <f t="shared" si="3"/>
        <v>0</v>
      </c>
    </row>
    <row r="16" spans="1:63" ht="14.4" customHeight="1">
      <c r="AU16" s="441">
        <f>OBJ!B110</f>
        <v>9255266</v>
      </c>
      <c r="AV16" s="23" t="str">
        <f>VLOOKUP(AU16,CENY!$B$11:$G$1034,2,FALSE)</f>
        <v>AVANTECH YOU BOKY V SADĚ V187 MM NL450 MM STŘÍBRNÁ</v>
      </c>
      <c r="AW16" s="24">
        <f>VLOOKUP(AU16,CENY!$B$11:$G$1034,3,FALSE)</f>
        <v>1</v>
      </c>
      <c r="AX16" s="499">
        <v>6</v>
      </c>
      <c r="AY16" s="25">
        <f t="shared" si="4"/>
        <v>0</v>
      </c>
      <c r="AZ16" s="451">
        <f t="shared" si="0"/>
        <v>0</v>
      </c>
      <c r="BA16" s="107">
        <f>VLOOKUP(AU16,CENY!$B$11:$M$2005,12,FALSE)</f>
        <v>887.81</v>
      </c>
      <c r="BB16" s="107">
        <f t="shared" si="1"/>
        <v>0</v>
      </c>
      <c r="BD16" s="441">
        <f>OBJ!B100</f>
        <v>9255039</v>
      </c>
      <c r="BE16" s="23" t="str">
        <f>VLOOKUP(BD16,CENY!$B$11:$G$1034,2,FALSE)</f>
        <v>AVANTECH YOU BOK V139 MM NL550 MM STŘÍBRNÝ PRAVÝ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250.2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OBJ!B111</f>
        <v>9255267</v>
      </c>
      <c r="AV17" s="23" t="str">
        <f>VLOOKUP(AU17,CENY!$B$11:$G$1034,2,FALSE)</f>
        <v>AVANTECH YOU BOKY V SADĚ V187 MM NL500 MM STŘÍBRNÁ</v>
      </c>
      <c r="AW17" s="24">
        <f>VLOOKUP(AU17,CENY!$B$11:$G$1034,3,FALSE)</f>
        <v>1</v>
      </c>
      <c r="AX17" s="499">
        <v>8</v>
      </c>
      <c r="AY17" s="25">
        <f t="shared" si="4"/>
        <v>0</v>
      </c>
      <c r="AZ17" s="451">
        <f t="shared" si="0"/>
        <v>0</v>
      </c>
      <c r="BA17" s="107">
        <f>VLOOKUP(AU17,CENY!$B$11:$M$2005,12,FALSE)</f>
        <v>899.09</v>
      </c>
      <c r="BB17" s="107">
        <f t="shared" si="1"/>
        <v>0</v>
      </c>
      <c r="BD17" s="441">
        <f>OBJ!B101</f>
        <v>9255040</v>
      </c>
      <c r="BE17" s="23" t="str">
        <f>VLOOKUP(BD17,CENY!$B$11:$G$1034,2,FALSE)</f>
        <v>AVANTECH YOU BOK V139 MM NL600 MM STŘÍBRNÝ LEVÝ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256.56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OBJ!B112</f>
        <v>9255268</v>
      </c>
      <c r="AV18" s="23" t="str">
        <f>VLOOKUP(AU18,CENY!$B$11:$G$1034,2,FALSE)</f>
        <v>AVANTECH YOU BOKY V SADĚ V187 MM NL550 MM STŘÍBRNÁ</v>
      </c>
      <c r="AW18" s="24">
        <f>VLOOKUP(AU18,CENY!$B$11:$G$1034,3,FALSE)</f>
        <v>1</v>
      </c>
      <c r="AX18" s="499">
        <v>8</v>
      </c>
      <c r="AY18" s="25">
        <f t="shared" si="4"/>
        <v>0</v>
      </c>
      <c r="AZ18" s="451">
        <f t="shared" si="0"/>
        <v>0</v>
      </c>
      <c r="BA18" s="107">
        <f>VLOOKUP(AU18,CENY!$B$11:$M$2005,12,FALSE)</f>
        <v>910.37</v>
      </c>
      <c r="BB18" s="107">
        <f t="shared" si="1"/>
        <v>0</v>
      </c>
      <c r="BD18" s="441">
        <f>OBJ!B102</f>
        <v>9255041</v>
      </c>
      <c r="BE18" s="23" t="str">
        <f>VLOOKUP(BD18,CENY!$B$11:$G$1034,2,FALSE)</f>
        <v>AVANTECH YOU BOK V139 MM NL600 MM STŘÍBRNÝ PRAVÝ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256.56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380"/>
      <c r="P19" s="381"/>
      <c r="Q19" s="673"/>
      <c r="R19" s="618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OBJ!B113</f>
        <v>9255269</v>
      </c>
      <c r="AV19" s="23" t="str">
        <f>VLOOKUP(AU19,CENY!$B$11:$G$1034,2,FALSE)</f>
        <v>AVANTECH YOU BOKY V SADĚ V187 MM NL600 MM STŘÍBRNÁ</v>
      </c>
      <c r="AW19" s="24">
        <f>VLOOKUP(AU19,CENY!$B$11:$G$1034,3,FALSE)</f>
        <v>1</v>
      </c>
      <c r="AX19" s="499">
        <v>8</v>
      </c>
      <c r="AY19" s="25">
        <f t="shared" si="4"/>
        <v>0</v>
      </c>
      <c r="AZ19" s="451">
        <f t="shared" si="0"/>
        <v>0</v>
      </c>
      <c r="BA19" s="107">
        <f>VLOOKUP(AU19,CENY!$B$11:$M$2005,12,FALSE)</f>
        <v>927.39</v>
      </c>
      <c r="BB19" s="107">
        <f t="shared" si="1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76"/>
      <c r="AF20" s="677"/>
      <c r="AU20" s="441"/>
      <c r="AV20" s="23"/>
      <c r="AW20" s="24"/>
      <c r="AX20" s="24"/>
      <c r="AY20" s="25"/>
      <c r="AZ20" s="451" t="str">
        <f t="shared" si="0"/>
        <v/>
      </c>
      <c r="BA20" s="107"/>
      <c r="BB20" s="107" t="str">
        <f t="shared" si="1"/>
        <v/>
      </c>
      <c r="BD20" s="441">
        <f>OBJ!B118</f>
        <v>9255046</v>
      </c>
      <c r="BE20" s="23" t="str">
        <f>VLOOKUP(BD20,CENY!$B$11:$G$1034,2,FALSE)</f>
        <v>AVANTECH YOU BOK V187 MM NL300 MM STŘÍBRNÝ LEVÝ</v>
      </c>
      <c r="BF20" s="24">
        <f>VLOOKUP(BD20,CENY!$B$11:$G$1034,3,FALSE)</f>
        <v>10</v>
      </c>
      <c r="BG20" s="24"/>
      <c r="BH20" s="25">
        <f t="shared" ref="BH20:BH33" si="5">BH5</f>
        <v>0</v>
      </c>
      <c r="BI20" s="451">
        <f t="shared" si="2"/>
        <v>0</v>
      </c>
      <c r="BJ20" s="107">
        <f>VLOOKUP(BD20,CENY!$B$11:$M$2005,12,FALSE)</f>
        <v>297.16000000000003</v>
      </c>
      <c r="BK20" s="107">
        <f t="shared" si="3"/>
        <v>0</v>
      </c>
    </row>
    <row r="21" spans="2:63" ht="14.4" customHeight="1">
      <c r="O21" s="4"/>
      <c r="P21" s="4"/>
      <c r="AU21" s="441">
        <f>OBJ!B72</f>
        <v>9255805</v>
      </c>
      <c r="AV21" s="23" t="str">
        <f>VLOOKUP(AU21,CENY!$B$11:$G$1034,2,FALSE)</f>
        <v>AVANTECH YOU DEKORATIVNÍ PROFIL NL300 MM STŘÍBRNÝ</v>
      </c>
      <c r="AW21" s="24">
        <f>VLOOKUP(AU21,CENY!$B$11:$G$1034,3,FALSE)</f>
        <v>200</v>
      </c>
      <c r="AX21" s="24"/>
      <c r="AY21" s="25">
        <f>IF(FORM!AM18=FORM!AU16,0,4*(Q19+Q25))</f>
        <v>0</v>
      </c>
      <c r="AZ21" s="451">
        <f t="shared" si="0"/>
        <v>0</v>
      </c>
      <c r="BA21" s="107">
        <f>VLOOKUP(AU21,CENY!$B$11:$M$2005,12,FALSE)</f>
        <v>9.2799999999999994</v>
      </c>
      <c r="BB21" s="107">
        <f t="shared" si="1"/>
        <v>0</v>
      </c>
      <c r="BD21" s="441">
        <f>OBJ!B119</f>
        <v>9255047</v>
      </c>
      <c r="BE21" s="23" t="str">
        <f>VLOOKUP(BD21,CENY!$B$11:$G$1034,2,FALSE)</f>
        <v>AVANTECH YOU BOK V187 MM NL300 MM STŘÍBRNÝ PRAVÝ</v>
      </c>
      <c r="BF21" s="24">
        <f>VLOOKUP(BD21,CENY!$B$11:$G$1034,3,FALSE)</f>
        <v>10</v>
      </c>
      <c r="BG21" s="24"/>
      <c r="BH21" s="25">
        <f t="shared" si="5"/>
        <v>0</v>
      </c>
      <c r="BI21" s="451">
        <f t="shared" si="2"/>
        <v>0</v>
      </c>
      <c r="BJ21" s="107">
        <f>VLOOKUP(BD21,CENY!$B$11:$M$2005,12,FALSE)</f>
        <v>297.16000000000003</v>
      </c>
      <c r="BK21" s="107">
        <f t="shared" si="3"/>
        <v>0</v>
      </c>
    </row>
    <row r="22" spans="2:63" ht="14.4" customHeight="1">
      <c r="AU22" s="441">
        <f>OBJ!B73</f>
        <v>9255806</v>
      </c>
      <c r="AV22" s="23" t="str">
        <f>VLOOKUP(AU22,CENY!$B$11:$G$1034,2,FALSE)</f>
        <v>AVANTECH YOU DEKORATIVNÍ PROFIL NL350 MM STŘÍBRNÝ</v>
      </c>
      <c r="AW22" s="24">
        <f>VLOOKUP(AU22,CENY!$B$11:$G$1034,3,FALSE)</f>
        <v>200</v>
      </c>
      <c r="AX22" s="24"/>
      <c r="AY22" s="25">
        <f>IF(FORM!AM18=FORM!AU16,0,4*(S19+S25))</f>
        <v>0</v>
      </c>
      <c r="AZ22" s="451">
        <f t="shared" si="0"/>
        <v>0</v>
      </c>
      <c r="BA22" s="107">
        <f>VLOOKUP(AU22,CENY!$B$11:$M$2005,12,FALSE)</f>
        <v>9.4499999999999993</v>
      </c>
      <c r="BB22" s="107">
        <f t="shared" si="1"/>
        <v>0</v>
      </c>
      <c r="BD22" s="441">
        <f>OBJ!B120</f>
        <v>9255048</v>
      </c>
      <c r="BE22" s="23" t="str">
        <f>VLOOKUP(BD22,CENY!$B$11:$G$1034,2,FALSE)</f>
        <v>AVANTECH YOU BOK V187 MM NL350 MM STŘÍBRNÝ LEVÝ</v>
      </c>
      <c r="BF22" s="24">
        <f>VLOOKUP(BD22,CENY!$B$11:$G$1034,3,FALSE)</f>
        <v>10</v>
      </c>
      <c r="BG22" s="24"/>
      <c r="BH22" s="25">
        <f t="shared" si="5"/>
        <v>0</v>
      </c>
      <c r="BI22" s="451">
        <f t="shared" si="2"/>
        <v>0</v>
      </c>
      <c r="BJ22" s="107">
        <f>VLOOKUP(BD22,CENY!$B$11:$M$2005,12,FALSE)</f>
        <v>302.63</v>
      </c>
      <c r="BK22" s="107">
        <f t="shared" si="3"/>
        <v>0</v>
      </c>
    </row>
    <row r="23" spans="2:63" ht="14.4" customHeight="1" thickBot="1">
      <c r="B23" s="2" t="s">
        <v>391</v>
      </c>
      <c r="AU23" s="441">
        <f>OBJ!B74</f>
        <v>9255807</v>
      </c>
      <c r="AV23" s="23" t="str">
        <f>VLOOKUP(AU23,CENY!$B$11:$G$1034,2,FALSE)</f>
        <v>AVANTECH YOU DEKORATIVNÍ PROFIL NL400 MM STŘÍBRNÝ</v>
      </c>
      <c r="AW23" s="24">
        <f>VLOOKUP(AU23,CENY!$B$11:$G$1034,3,FALSE)</f>
        <v>200</v>
      </c>
      <c r="AX23" s="24"/>
      <c r="AY23" s="25">
        <f>IF(FORM!AM18=FORM!AU16,0,4*(U19+U25))</f>
        <v>0</v>
      </c>
      <c r="AZ23" s="451">
        <f t="shared" si="0"/>
        <v>0</v>
      </c>
      <c r="BA23" s="107">
        <f>VLOOKUP(AU23,CENY!$B$11:$M$2005,12,FALSE)</f>
        <v>9.6199999999999992</v>
      </c>
      <c r="BB23" s="107">
        <f t="shared" si="1"/>
        <v>0</v>
      </c>
      <c r="BD23" s="441">
        <f>OBJ!B121</f>
        <v>9255049</v>
      </c>
      <c r="BE23" s="23" t="str">
        <f>VLOOKUP(BD23,CENY!$B$11:$G$1034,2,FALSE)</f>
        <v>AVANTECH YOU BOK V187 MM NL350 MM STŘÍBRNÝ PRAVÝ</v>
      </c>
      <c r="BF23" s="24">
        <f>VLOOKUP(BD23,CENY!$B$11:$G$1034,3,FALSE)</f>
        <v>10</v>
      </c>
      <c r="BG23" s="24"/>
      <c r="BH23" s="25">
        <f t="shared" si="5"/>
        <v>0</v>
      </c>
      <c r="BI23" s="451">
        <f t="shared" si="2"/>
        <v>0</v>
      </c>
      <c r="BJ23" s="107">
        <f>VLOOKUP(BD23,CENY!$B$11:$M$2005,12,FALSE)</f>
        <v>302.63</v>
      </c>
      <c r="BK23" s="107">
        <f t="shared" si="3"/>
        <v>0</v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Jmenovitá délka: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>
        <f>OBJ!B75</f>
        <v>9255808</v>
      </c>
      <c r="AV24" s="23" t="str">
        <f>VLOOKUP(AU24,CENY!$B$11:$G$1034,2,FALSE)</f>
        <v>AVANTECH YOU DEKORATIVNÍ PROFIL NL450 MM STŘÍBRNÝ</v>
      </c>
      <c r="AW24" s="24">
        <f>VLOOKUP(AU24,CENY!$B$11:$G$1034,3,FALSE)</f>
        <v>200</v>
      </c>
      <c r="AX24" s="24"/>
      <c r="AY24" s="25">
        <f>IF(FORM!AM18=FORM!AU16,0,4*(W19+W20+W25))</f>
        <v>0</v>
      </c>
      <c r="AZ24" s="451">
        <f t="shared" si="0"/>
        <v>0</v>
      </c>
      <c r="BA24" s="107">
        <f>VLOOKUP(AU24,CENY!$B$11:$M$2005,12,FALSE)</f>
        <v>9.8000000000000007</v>
      </c>
      <c r="BB24" s="107">
        <f t="shared" si="1"/>
        <v>0</v>
      </c>
      <c r="BD24" s="441">
        <f>OBJ!B122</f>
        <v>9255050</v>
      </c>
      <c r="BE24" s="23" t="str">
        <f>VLOOKUP(BD24,CENY!$B$11:$G$1034,2,FALSE)</f>
        <v>AVANTECH YOU BOK V187 MM NL400 MM STŘÍBRNÝ LEVÝ</v>
      </c>
      <c r="BF24" s="24">
        <f>VLOOKUP(BD24,CENY!$B$11:$G$1034,3,FALSE)</f>
        <v>10</v>
      </c>
      <c r="BG24" s="24"/>
      <c r="BH24" s="25">
        <f t="shared" si="5"/>
        <v>0</v>
      </c>
      <c r="BI24" s="451">
        <f t="shared" si="2"/>
        <v>0</v>
      </c>
      <c r="BJ24" s="107">
        <f>VLOOKUP(BD24,CENY!$B$11:$M$2005,12,FALSE)</f>
        <v>308.10000000000002</v>
      </c>
      <c r="BK24" s="107">
        <f t="shared" si="3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678"/>
      <c r="P25" s="679"/>
      <c r="Q25" s="673"/>
      <c r="R25" s="672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OBJ!B76</f>
        <v>9255809</v>
      </c>
      <c r="AV25" s="23" t="str">
        <f>VLOOKUP(AU25,CENY!$B$11:$G$1034,2,FALSE)</f>
        <v>AVANTECH YOU DEKORATIVNÍ PROFIL NL500 MM STŘÍBRNÝ</v>
      </c>
      <c r="AW25" s="24">
        <f>VLOOKUP(AU25,CENY!$B$11:$G$1034,3,FALSE)</f>
        <v>200</v>
      </c>
      <c r="AX25" s="24"/>
      <c r="AY25" s="25">
        <f>IF(FORM!AM18=FORM!AU16,0,4*(Y19+Y20+Y25))</f>
        <v>0</v>
      </c>
      <c r="AZ25" s="451">
        <f t="shared" si="0"/>
        <v>0</v>
      </c>
      <c r="BA25" s="107">
        <f>VLOOKUP(AU25,CENY!$B$11:$M$2005,12,FALSE)</f>
        <v>9.9700000000000006</v>
      </c>
      <c r="BB25" s="107">
        <f t="shared" si="1"/>
        <v>0</v>
      </c>
      <c r="BD25" s="441">
        <f>OBJ!B123</f>
        <v>9255051</v>
      </c>
      <c r="BE25" s="23" t="str">
        <f>VLOOKUP(BD25,CENY!$B$11:$G$1034,2,FALSE)</f>
        <v>AVANTECH YOU BOK V187 MM NL400 MM STŘÍBRNÝ PRAVÝ</v>
      </c>
      <c r="BF25" s="24">
        <f>VLOOKUP(BD25,CENY!$B$11:$G$1034,3,FALSE)</f>
        <v>10</v>
      </c>
      <c r="BG25" s="24"/>
      <c r="BH25" s="25">
        <f t="shared" si="5"/>
        <v>0</v>
      </c>
      <c r="BI25" s="451">
        <f t="shared" si="2"/>
        <v>0</v>
      </c>
      <c r="BJ25" s="107">
        <f>VLOOKUP(BD25,CENY!$B$11:$M$2005,12,FALSE)</f>
        <v>308.10000000000002</v>
      </c>
      <c r="BK25" s="107">
        <f t="shared" si="3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OBJ!B77</f>
        <v>9255810</v>
      </c>
      <c r="AV26" s="23" t="str">
        <f>VLOOKUP(AU26,CENY!$B$11:$G$1034,2,FALSE)</f>
        <v>AVANTECH YOU DEKORATIVNÍ PROFIL NL550 MM STŘÍBRNÝ</v>
      </c>
      <c r="AW26" s="24">
        <f>VLOOKUP(AU26,CENY!$B$11:$G$1034,3,FALSE)</f>
        <v>200</v>
      </c>
      <c r="AX26" s="24"/>
      <c r="AY26" s="25">
        <f>IF(FORM!AM18=FORM!AU16,0,4*(AA19+AA20+AA25))</f>
        <v>0</v>
      </c>
      <c r="AZ26" s="451">
        <f t="shared" si="0"/>
        <v>0</v>
      </c>
      <c r="BA26" s="107">
        <f>VLOOKUP(AU26,CENY!$B$11:$M$2005,12,FALSE)</f>
        <v>10.14</v>
      </c>
      <c r="BB26" s="107">
        <f t="shared" si="1"/>
        <v>0</v>
      </c>
      <c r="BD26" s="441">
        <f>OBJ!B124</f>
        <v>9255052</v>
      </c>
      <c r="BE26" s="23" t="str">
        <f>VLOOKUP(BD26,CENY!$B$11:$G$1034,2,FALSE)</f>
        <v>AVANTECH YOU BOK V187 MM NL450 MM STŘÍBRNÝ LEVÝ</v>
      </c>
      <c r="BF26" s="24">
        <f>VLOOKUP(BD26,CENY!$B$11:$G$1034,3,FALSE)</f>
        <v>10</v>
      </c>
      <c r="BG26" s="24"/>
      <c r="BH26" s="25">
        <f t="shared" si="5"/>
        <v>0</v>
      </c>
      <c r="BI26" s="451">
        <f t="shared" si="2"/>
        <v>0</v>
      </c>
      <c r="BJ26" s="107">
        <f>VLOOKUP(BD26,CENY!$B$11:$M$2005,12,FALSE)</f>
        <v>313.57</v>
      </c>
      <c r="BK26" s="107">
        <f t="shared" si="3"/>
        <v>0</v>
      </c>
    </row>
    <row r="27" spans="2:63" ht="14.4" customHeight="1">
      <c r="B27" s="505" t="str">
        <f>verze!E201</f>
        <v>SiSy = tlumení Silent System</v>
      </c>
      <c r="AU27" s="441">
        <f>OBJ!B78</f>
        <v>9255811</v>
      </c>
      <c r="AV27" s="23" t="str">
        <f>VLOOKUP(AU27,CENY!$B$11:$G$1034,2,FALSE)</f>
        <v>AVANTECH YOU DEKORATIVNÍ PROFIL NL600 MM STŘÍBRNÝ</v>
      </c>
      <c r="AW27" s="24">
        <f>VLOOKUP(AU27,CENY!$B$11:$G$1034,3,FALSE)</f>
        <v>200</v>
      </c>
      <c r="AX27" s="24"/>
      <c r="AY27" s="25">
        <f>IF(FORM!AM18=FORM!AU16,0,4*(AC19+AC20+AC25))</f>
        <v>0</v>
      </c>
      <c r="AZ27" s="451">
        <f t="shared" si="0"/>
        <v>0</v>
      </c>
      <c r="BA27" s="107">
        <f>VLOOKUP(AU27,CENY!$B$11:$M$2005,12,FALSE)</f>
        <v>10.39</v>
      </c>
      <c r="BB27" s="107">
        <f t="shared" si="1"/>
        <v>0</v>
      </c>
      <c r="BD27" s="441">
        <f>OBJ!B125</f>
        <v>9255053</v>
      </c>
      <c r="BE27" s="23" t="str">
        <f>VLOOKUP(BD27,CENY!$B$11:$G$1034,2,FALSE)</f>
        <v>AVANTECH YOU BOK V187 MM NL450 MM STŘÍBRNÝ PRAVÝ</v>
      </c>
      <c r="BF27" s="24">
        <f>VLOOKUP(BD27,CENY!$B$11:$G$1034,3,FALSE)</f>
        <v>10</v>
      </c>
      <c r="BG27" s="24"/>
      <c r="BH27" s="25">
        <f t="shared" si="5"/>
        <v>0</v>
      </c>
      <c r="BI27" s="451">
        <f t="shared" si="2"/>
        <v>0</v>
      </c>
      <c r="BJ27" s="107">
        <f>VLOOKUP(BD27,CENY!$B$11:$M$2005,12,FALSE)</f>
        <v>313.57</v>
      </c>
      <c r="BK27" s="107">
        <f t="shared" si="3"/>
        <v>0</v>
      </c>
    </row>
    <row r="28" spans="2:63" ht="14.4" customHeight="1">
      <c r="B28" s="505"/>
      <c r="O28" s="476" t="str">
        <f>verze!E189</f>
        <v>Maximální výška korpusu skříňky = 750mm.   Maximální šířka korpusu skříňky = 300mm.</v>
      </c>
      <c r="AU28" s="441"/>
      <c r="AV28" s="23"/>
      <c r="AW28" s="24"/>
      <c r="AX28" s="24"/>
      <c r="AY28" s="25"/>
      <c r="AZ28" s="451" t="str">
        <f t="shared" si="0"/>
        <v/>
      </c>
      <c r="BA28" s="107"/>
      <c r="BB28" s="107" t="str">
        <f t="shared" si="1"/>
        <v/>
      </c>
      <c r="BD28" s="441">
        <f>OBJ!B126</f>
        <v>9255054</v>
      </c>
      <c r="BE28" s="23" t="str">
        <f>VLOOKUP(BD28,CENY!$B$11:$G$1034,2,FALSE)</f>
        <v>AVANTECH YOU BOK V187 MM NL500 MM STŘÍBRNÝ LEVÝ</v>
      </c>
      <c r="BF28" s="24">
        <f>VLOOKUP(BD28,CENY!$B$11:$G$1034,3,FALSE)</f>
        <v>10</v>
      </c>
      <c r="BG28" s="24"/>
      <c r="BH28" s="25">
        <f t="shared" si="5"/>
        <v>0</v>
      </c>
      <c r="BI28" s="451">
        <f t="shared" si="2"/>
        <v>0</v>
      </c>
      <c r="BJ28" s="107">
        <f>VLOOKUP(BD28,CENY!$B$11:$M$2005,12,FALSE)</f>
        <v>319.02999999999997</v>
      </c>
      <c r="BK28" s="107">
        <f t="shared" si="3"/>
        <v>0</v>
      </c>
    </row>
    <row r="29" spans="2:63" ht="14.4" customHeight="1">
      <c r="B29" s="505"/>
      <c r="Q29" s="476"/>
      <c r="AU29" s="441">
        <f>OBJ!B237</f>
        <v>9257000</v>
      </c>
      <c r="AV29" s="23" t="str">
        <f>VLOOKUP(AU29,CENY!$B$11:$G$1034,2,FALSE)</f>
        <v>ACTRO YOU 40KG PLNOVÝSUV 300 MM EB21 SILENT SYSTEM SADA</v>
      </c>
      <c r="AW29" s="24">
        <f>VLOOKUP(AU29,CENY!$B$11:$G$1034,3,FALSE)</f>
        <v>1</v>
      </c>
      <c r="AX29" s="499">
        <v>8</v>
      </c>
      <c r="AY29" s="25">
        <f>Q19</f>
        <v>0</v>
      </c>
      <c r="AZ29" s="451">
        <f t="shared" si="0"/>
        <v>0</v>
      </c>
      <c r="BA29" s="107">
        <f>VLOOKUP(AU29,CENY!$B$11:$M$2005,12,FALSE)</f>
        <v>561.63</v>
      </c>
      <c r="BB29" s="107">
        <f t="shared" si="1"/>
        <v>0</v>
      </c>
      <c r="BD29" s="441">
        <f>OBJ!B127</f>
        <v>9255055</v>
      </c>
      <c r="BE29" s="23" t="str">
        <f>VLOOKUP(BD29,CENY!$B$11:$G$1034,2,FALSE)</f>
        <v>AVANTECH YOU BOK V187 MM NL500 MM STŘÍBRNÝ PRAVÝ</v>
      </c>
      <c r="BF29" s="24">
        <f>VLOOKUP(BD29,CENY!$B$11:$G$1034,3,FALSE)</f>
        <v>10</v>
      </c>
      <c r="BG29" s="24"/>
      <c r="BH29" s="25">
        <f t="shared" si="5"/>
        <v>0</v>
      </c>
      <c r="BI29" s="451">
        <f t="shared" si="2"/>
        <v>0</v>
      </c>
      <c r="BJ29" s="107">
        <f>VLOOKUP(BD29,CENY!$B$11:$M$2005,12,FALSE)</f>
        <v>319.02999999999997</v>
      </c>
      <c r="BK29" s="107">
        <f t="shared" si="3"/>
        <v>0</v>
      </c>
    </row>
    <row r="30" spans="2:63" ht="14.4" customHeight="1">
      <c r="AU30" s="441">
        <f>OBJ!B238</f>
        <v>9257002</v>
      </c>
      <c r="AV30" s="23" t="str">
        <f>VLOOKUP(AU30,CENY!$B$11:$G$1034,2,FALSE)</f>
        <v>ACTRO YOU 40KG PLNOVÝSUV 350 MM EB21 SILENT SYSTEM SADA</v>
      </c>
      <c r="AW30" s="24">
        <f>VLOOKUP(AU30,CENY!$B$11:$G$1034,3,FALSE)</f>
        <v>1</v>
      </c>
      <c r="AX30" s="499">
        <v>8</v>
      </c>
      <c r="AY30" s="25">
        <f>S19</f>
        <v>0</v>
      </c>
      <c r="AZ30" s="451">
        <f t="shared" si="0"/>
        <v>0</v>
      </c>
      <c r="BA30" s="107">
        <f>VLOOKUP(AU30,CENY!$B$11:$M$2005,12,FALSE)</f>
        <v>561.63</v>
      </c>
      <c r="BB30" s="107">
        <f t="shared" si="1"/>
        <v>0</v>
      </c>
      <c r="BD30" s="441">
        <f>OBJ!B128</f>
        <v>9255056</v>
      </c>
      <c r="BE30" s="23" t="str">
        <f>VLOOKUP(BD30,CENY!$B$11:$G$1034,2,FALSE)</f>
        <v>AVANTECH YOU BOK V187 MM NL550 MM STŘÍBRNÝ LEVÝ</v>
      </c>
      <c r="BF30" s="24">
        <f>VLOOKUP(BD30,CENY!$B$11:$G$1034,3,FALSE)</f>
        <v>10</v>
      </c>
      <c r="BG30" s="24"/>
      <c r="BH30" s="25">
        <f t="shared" si="5"/>
        <v>0</v>
      </c>
      <c r="BI30" s="451">
        <f t="shared" si="2"/>
        <v>0</v>
      </c>
      <c r="BJ30" s="107">
        <f>VLOOKUP(BD30,CENY!$B$11:$M$2005,12,FALSE)</f>
        <v>324.5</v>
      </c>
      <c r="BK30" s="107">
        <f t="shared" si="3"/>
        <v>0</v>
      </c>
    </row>
    <row r="31" spans="2:63" ht="14.4" customHeight="1">
      <c r="AU31" s="441">
        <f>OBJ!B239</f>
        <v>9257004</v>
      </c>
      <c r="AV31" s="23" t="str">
        <f>VLOOKUP(AU31,CENY!$B$11:$G$1034,2,FALSE)</f>
        <v>ACTRO YOU 40KG PLNOVÝSUV 400 MM EB21 SILENT SYSTEM SADA</v>
      </c>
      <c r="AW31" s="24">
        <f>VLOOKUP(AU31,CENY!$B$11:$G$1034,3,FALSE)</f>
        <v>1</v>
      </c>
      <c r="AX31" s="499">
        <v>8</v>
      </c>
      <c r="AY31" s="25">
        <f>U19</f>
        <v>0</v>
      </c>
      <c r="AZ31" s="451">
        <f t="shared" si="0"/>
        <v>0</v>
      </c>
      <c r="BA31" s="107">
        <f>VLOOKUP(AU31,CENY!$B$11:$M$2005,12,FALSE)</f>
        <v>567.85</v>
      </c>
      <c r="BB31" s="107">
        <f t="shared" si="1"/>
        <v>0</v>
      </c>
      <c r="BD31" s="441">
        <f>OBJ!B129</f>
        <v>9255057</v>
      </c>
      <c r="BE31" s="23" t="str">
        <f>VLOOKUP(BD31,CENY!$B$11:$G$1034,2,FALSE)</f>
        <v>AVANTECH YOU BOK V187 MM NL550 MM STŘÍBRNÝ PRAVÝ</v>
      </c>
      <c r="BF31" s="24">
        <f>VLOOKUP(BD31,CENY!$B$11:$G$1034,3,FALSE)</f>
        <v>10</v>
      </c>
      <c r="BG31" s="24"/>
      <c r="BH31" s="25">
        <f t="shared" si="5"/>
        <v>0</v>
      </c>
      <c r="BI31" s="451">
        <f t="shared" si="2"/>
        <v>0</v>
      </c>
      <c r="BJ31" s="107">
        <f>VLOOKUP(BD31,CENY!$B$11:$M$2005,12,FALSE)</f>
        <v>324.5</v>
      </c>
      <c r="BK31" s="107">
        <f t="shared" si="3"/>
        <v>0</v>
      </c>
    </row>
    <row r="32" spans="2:63" ht="14.4" customHeight="1">
      <c r="AU32" s="441">
        <f>OBJ!B240</f>
        <v>9257006</v>
      </c>
      <c r="AV32" s="23" t="str">
        <f>VLOOKUP(AU32,CENY!$B$11:$G$1034,2,FALSE)</f>
        <v>ACTRO YOU 40KG PLNOVÝSUV 450 MM EB21 SILENT SYSTEM SADA</v>
      </c>
      <c r="AW32" s="24">
        <f>VLOOKUP(AU32,CENY!$B$11:$G$1034,3,FALSE)</f>
        <v>1</v>
      </c>
      <c r="AX32" s="499">
        <v>10</v>
      </c>
      <c r="AY32" s="25">
        <f>W19</f>
        <v>0</v>
      </c>
      <c r="AZ32" s="451">
        <f t="shared" si="0"/>
        <v>0</v>
      </c>
      <c r="BA32" s="107">
        <f>VLOOKUP(AU32,CENY!$B$11:$M$2005,12,FALSE)</f>
        <v>574.04</v>
      </c>
      <c r="BB32" s="107">
        <f t="shared" si="1"/>
        <v>0</v>
      </c>
      <c r="BD32" s="441">
        <f>OBJ!B130</f>
        <v>9255058</v>
      </c>
      <c r="BE32" s="23" t="str">
        <f>VLOOKUP(BD32,CENY!$B$11:$G$1034,2,FALSE)</f>
        <v>AVANTECH YOU BOK V187 MM NL600 MM STŘÍBRNÝ LEVÝ</v>
      </c>
      <c r="BF32" s="24">
        <f>VLOOKUP(BD32,CENY!$B$11:$G$1034,3,FALSE)</f>
        <v>10</v>
      </c>
      <c r="BG32" s="24"/>
      <c r="BH32" s="25">
        <f t="shared" si="5"/>
        <v>0</v>
      </c>
      <c r="BI32" s="451">
        <f t="shared" si="2"/>
        <v>0</v>
      </c>
      <c r="BJ32" s="107">
        <f>VLOOKUP(BD32,CENY!$B$11:$M$2005,12,FALSE)</f>
        <v>332.75</v>
      </c>
      <c r="BK32" s="107">
        <f t="shared" si="3"/>
        <v>0</v>
      </c>
    </row>
    <row r="33" spans="47:63" ht="14.4" customHeight="1">
      <c r="AU33" s="441">
        <f>OBJ!B241</f>
        <v>9257008</v>
      </c>
      <c r="AV33" s="23" t="str">
        <f>VLOOKUP(AU33,CENY!$B$11:$G$1034,2,FALSE)</f>
        <v>ACTRO YOU 40KG PLNOVÝSUV 500 MM EB21 SILENT SYSTEM SADA</v>
      </c>
      <c r="AW33" s="24">
        <f>VLOOKUP(AU33,CENY!$B$11:$G$1034,3,FALSE)</f>
        <v>1</v>
      </c>
      <c r="AX33" s="499">
        <v>10</v>
      </c>
      <c r="AY33" s="25">
        <f>Y19</f>
        <v>0</v>
      </c>
      <c r="AZ33" s="451">
        <f t="shared" si="0"/>
        <v>0</v>
      </c>
      <c r="BA33" s="107">
        <f>VLOOKUP(AU33,CENY!$B$11:$M$2005,12,FALSE)</f>
        <v>580.26</v>
      </c>
      <c r="BB33" s="107">
        <f t="shared" si="1"/>
        <v>0</v>
      </c>
      <c r="BD33" s="441">
        <f>OBJ!B131</f>
        <v>9255059</v>
      </c>
      <c r="BE33" s="23" t="str">
        <f>VLOOKUP(BD33,CENY!$B$11:$G$1034,2,FALSE)</f>
        <v>AVANTECH YOU BOK V187 MM NL600 MM STŘÍBRNÝ PRAVÝ</v>
      </c>
      <c r="BF33" s="24">
        <f>VLOOKUP(BD33,CENY!$B$11:$G$1034,3,FALSE)</f>
        <v>10</v>
      </c>
      <c r="BG33" s="24"/>
      <c r="BH33" s="25">
        <f t="shared" si="5"/>
        <v>0</v>
      </c>
      <c r="BI33" s="451">
        <f t="shared" si="2"/>
        <v>0</v>
      </c>
      <c r="BJ33" s="107">
        <f>VLOOKUP(BD33,CENY!$B$11:$M$2005,12,FALSE)</f>
        <v>332.75</v>
      </c>
      <c r="BK33" s="107">
        <f t="shared" si="3"/>
        <v>0</v>
      </c>
    </row>
    <row r="34" spans="47:63" ht="14.4" customHeight="1">
      <c r="AU34" s="441">
        <f>OBJ!B242</f>
        <v>9257010</v>
      </c>
      <c r="AV34" s="23" t="str">
        <f>VLOOKUP(AU34,CENY!$B$11:$G$1034,2,FALSE)</f>
        <v>ACTRO YOU 40KG PLNOVÝSUV 550 MM EB21 SILENT SYSTEM SADA</v>
      </c>
      <c r="AW34" s="24">
        <f>VLOOKUP(AU34,CENY!$B$11:$G$1034,3,FALSE)</f>
        <v>1</v>
      </c>
      <c r="AX34" s="499">
        <v>10</v>
      </c>
      <c r="AY34" s="25">
        <f>AA19</f>
        <v>0</v>
      </c>
      <c r="AZ34" s="451">
        <f t="shared" si="0"/>
        <v>0</v>
      </c>
      <c r="BA34" s="107">
        <f>VLOOKUP(AU34,CENY!$B$11:$M$2005,12,FALSE)</f>
        <v>613.44000000000005</v>
      </c>
      <c r="BB34" s="107">
        <f t="shared" si="1"/>
        <v>0</v>
      </c>
      <c r="BD34" s="441"/>
      <c r="BE34" s="23"/>
      <c r="BF34" s="24"/>
      <c r="BG34" s="24"/>
      <c r="BH34" s="25"/>
      <c r="BI34" s="451" t="str">
        <f t="shared" si="2"/>
        <v/>
      </c>
      <c r="BJ34" s="107"/>
      <c r="BK34" s="107" t="str">
        <f t="shared" si="3"/>
        <v/>
      </c>
    </row>
    <row r="35" spans="47:63" ht="14.4" customHeight="1">
      <c r="AU35" s="441">
        <f>OBJ!B243</f>
        <v>9268681</v>
      </c>
      <c r="AV35" s="23" t="str">
        <f>VLOOKUP(AU35,CENY!$B$11:$G$1034,2,FALSE)</f>
        <v>ACTRO YOU 40KG PLNOVÝSUV 600 MM EB21 SILENT SYSTÉM SADA</v>
      </c>
      <c r="AW35" s="24">
        <f>VLOOKUP(AU35,CENY!$B$11:$G$1034,3,FALSE)</f>
        <v>1</v>
      </c>
      <c r="AX35" s="499">
        <v>10</v>
      </c>
      <c r="AY35" s="25">
        <f>AC19</f>
        <v>0</v>
      </c>
      <c r="AZ35" s="451">
        <f>IF(AY35="","",IF($AW$4=1,AY35,0))</f>
        <v>0</v>
      </c>
      <c r="BA35" s="107">
        <f>VLOOKUP(AU35,CENY!$B$11:$M$2005,12,FALSE)</f>
        <v>620.78</v>
      </c>
      <c r="BB35" s="107">
        <f>IF(BA35="","",BA35*AY35)</f>
        <v>0</v>
      </c>
      <c r="BD35" s="441">
        <f>OBJ!B104</f>
        <v>9257884</v>
      </c>
      <c r="BE35" s="23" t="str">
        <f>VLOOKUP(BD35,CENY!$B$11:$G$1034,2,FALSE)</f>
        <v>AVANTECH YOU PŘÍCHYTKA ČELA V139 MM K NAŠROUBOVÁNÍ</v>
      </c>
      <c r="BF35" s="24">
        <f>VLOOKUP(BD35,CENY!$B$11:$G$1034,3,FALSE)</f>
        <v>200</v>
      </c>
      <c r="BG35" s="24"/>
      <c r="BH35" s="25">
        <f>2*(SUM(O19:AD19)+SUM(W20:AF20)+SUM(O25:AD25))</f>
        <v>0</v>
      </c>
      <c r="BI35" s="451">
        <f t="shared" si="2"/>
        <v>0</v>
      </c>
      <c r="BJ35" s="107">
        <f>VLOOKUP(BD35,CENY!$B$11:$M$2005,12,FALSE)</f>
        <v>35.43</v>
      </c>
      <c r="BK35" s="107">
        <f t="shared" si="3"/>
        <v>0</v>
      </c>
    </row>
    <row r="36" spans="47:63" ht="14.4" customHeight="1">
      <c r="AU36" s="441"/>
      <c r="AV36" s="23"/>
      <c r="AW36" s="24"/>
      <c r="AX36" s="24"/>
      <c r="AY36" s="25"/>
      <c r="AZ36" s="451" t="str">
        <f t="shared" si="0"/>
        <v/>
      </c>
      <c r="BA36" s="107"/>
      <c r="BB36" s="107" t="str">
        <f t="shared" si="1"/>
        <v/>
      </c>
      <c r="BD36" s="441">
        <f>OBJ!B135</f>
        <v>9255838</v>
      </c>
      <c r="BE36" s="23" t="str">
        <f>VLOOKUP(BD36,CENY!$B$11:$G$1034,2,FALSE)</f>
        <v>AVANTECH YOU PŘÍCHYTKA ČELA V187 / 251 MM K NAŠROUBOVÁNÍ</v>
      </c>
      <c r="BF36" s="24">
        <f>VLOOKUP(BD36,CENY!$B$11:$G$1034,3,FALSE)</f>
        <v>200</v>
      </c>
      <c r="BG36" s="24"/>
      <c r="BH36" s="25">
        <f>BH35</f>
        <v>0</v>
      </c>
      <c r="BI36" s="451">
        <f>IF(BH36="","",IF($AW$4=0,BH36,0))</f>
        <v>0</v>
      </c>
      <c r="BJ36" s="107">
        <f>VLOOKUP(BD36,CENY!$B$11:$M$2005,12,FALSE)</f>
        <v>53.15</v>
      </c>
      <c r="BK36" s="107">
        <f>IF(BJ36="","",BJ36*BH36)</f>
        <v>0</v>
      </c>
    </row>
    <row r="37" spans="47:63" ht="14.4" customHeight="1">
      <c r="AU37" s="441">
        <f>OBJ!B261</f>
        <v>9257034</v>
      </c>
      <c r="AV37" s="23" t="str">
        <f>VLOOKUP(AU37,CENY!$B$11:$G$1034,2,FALSE)</f>
        <v>ACTRO YOU 70KG PLNOVÝSUV 450 MM EB21 SILENT SYSTEM SADA</v>
      </c>
      <c r="AW37" s="24">
        <f>VLOOKUP(AU37,CENY!$B$11:$G$1034,3,FALSE)</f>
        <v>1</v>
      </c>
      <c r="AX37" s="499">
        <v>10</v>
      </c>
      <c r="AY37" s="25">
        <f>W20</f>
        <v>0</v>
      </c>
      <c r="AZ37" s="451">
        <f t="shared" si="0"/>
        <v>0</v>
      </c>
      <c r="BA37" s="107">
        <f>VLOOKUP(AU37,CENY!$B$11:$M$2005,12,FALSE)</f>
        <v>691.9</v>
      </c>
      <c r="BB37" s="107">
        <f t="shared" si="1"/>
        <v>0</v>
      </c>
      <c r="BD37" s="441">
        <f>OBJ!B48</f>
        <v>9257702</v>
      </c>
      <c r="BE37" s="23" t="str">
        <f>VLOOKUP(BD37,CENY!$B$11:$G$1034,2,FALSE)</f>
        <v>AVANTECH YOU STABILIZÁTOR ZAD V101/139/187/251 MM</v>
      </c>
      <c r="BF37" s="24">
        <f>VLOOKUP(BD37,CENY!$B$11:$G$1034,3,FALSE)</f>
        <v>200</v>
      </c>
      <c r="BG37" s="24"/>
      <c r="BH37" s="25">
        <f>0*(SUM(O19:AD19)+SUM(W20:AF20)+SUM(O25:AD25))</f>
        <v>0</v>
      </c>
      <c r="BI37" s="451">
        <f t="shared" si="2"/>
        <v>0</v>
      </c>
      <c r="BJ37" s="107">
        <f>VLOOKUP(BD37,CENY!$B$11:$M$2005,12,FALSE)</f>
        <v>13.29</v>
      </c>
      <c r="BK37" s="107">
        <f t="shared" si="3"/>
        <v>0</v>
      </c>
    </row>
    <row r="38" spans="47:63" ht="14.4" customHeight="1">
      <c r="AU38" s="441">
        <f>OBJ!B262</f>
        <v>9257036</v>
      </c>
      <c r="AV38" s="23" t="str">
        <f>VLOOKUP(AU38,CENY!$B$11:$G$1034,2,FALSE)</f>
        <v>ACTRO YOU 70KG PLNOVÝSUV 500 MM EB21 SILENT SYSTEM SADA</v>
      </c>
      <c r="AW38" s="24">
        <f>VLOOKUP(AU38,CENY!$B$11:$G$1034,3,FALSE)</f>
        <v>1</v>
      </c>
      <c r="AX38" s="499">
        <v>10</v>
      </c>
      <c r="AY38" s="25">
        <f>Y20</f>
        <v>0</v>
      </c>
      <c r="AZ38" s="451">
        <f t="shared" si="0"/>
        <v>0</v>
      </c>
      <c r="BA38" s="107">
        <f>VLOOKUP(AU38,CENY!$B$11:$M$2005,12,FALSE)</f>
        <v>698.13</v>
      </c>
      <c r="BB38" s="107">
        <f t="shared" si="1"/>
        <v>0</v>
      </c>
      <c r="BD38" s="22"/>
      <c r="BE38" s="23"/>
      <c r="BF38" s="24"/>
      <c r="BG38" s="24"/>
      <c r="BH38" s="25"/>
      <c r="BI38" s="451" t="str">
        <f t="shared" si="2"/>
        <v/>
      </c>
      <c r="BJ38" s="107"/>
      <c r="BK38" s="107" t="str">
        <f t="shared" si="3"/>
        <v/>
      </c>
    </row>
    <row r="39" spans="47:63" ht="14.4" customHeight="1">
      <c r="AU39" s="441">
        <f>OBJ!B263</f>
        <v>9257038</v>
      </c>
      <c r="AV39" s="23" t="str">
        <f>VLOOKUP(AU39,CENY!$B$11:$G$1034,2,FALSE)</f>
        <v>ACTRO YOU 70KG PLNOVÝSUV 550 MM EB21 SILENT SYSTEM SADA</v>
      </c>
      <c r="AW39" s="24">
        <f>VLOOKUP(AU39,CENY!$B$11:$G$1034,3,FALSE)</f>
        <v>1</v>
      </c>
      <c r="AX39" s="499">
        <v>10</v>
      </c>
      <c r="AY39" s="25">
        <f>AA20</f>
        <v>0</v>
      </c>
      <c r="AZ39" s="451">
        <f t="shared" si="0"/>
        <v>0</v>
      </c>
      <c r="BA39" s="107">
        <f>VLOOKUP(AU39,CENY!$B$11:$M$2005,12,FALSE)</f>
        <v>731.3</v>
      </c>
      <c r="BB39" s="107">
        <f t="shared" si="1"/>
        <v>0</v>
      </c>
      <c r="BD39" s="441">
        <f>OBJ!B72</f>
        <v>9255805</v>
      </c>
      <c r="BE39" s="23" t="str">
        <f>VLOOKUP(BD39,CENY!$B$11:$G$1034,2,FALSE)</f>
        <v>AVANTECH YOU DEKORATIVNÍ PROFIL NL300 MM STŘÍBRNÝ</v>
      </c>
      <c r="BF39" s="24">
        <f>VLOOKUP(BD39,CENY!$B$11:$G$1034,3,FALSE)</f>
        <v>200</v>
      </c>
      <c r="BG39" s="24"/>
      <c r="BH39" s="25">
        <f>4*(Q19+Q25)</f>
        <v>0</v>
      </c>
      <c r="BI39" s="451">
        <f t="shared" si="2"/>
        <v>0</v>
      </c>
      <c r="BJ39" s="107">
        <f>VLOOKUP(BD39,CENY!$B$11:$M$2005,12,FALSE)</f>
        <v>9.2799999999999994</v>
      </c>
      <c r="BK39" s="107">
        <f t="shared" si="3"/>
        <v>0</v>
      </c>
    </row>
    <row r="40" spans="47:63" ht="14.4" customHeight="1">
      <c r="AU40" s="441">
        <f>OBJ!B264</f>
        <v>9257040</v>
      </c>
      <c r="AV40" s="23" t="str">
        <f>VLOOKUP(AU40,CENY!$B$11:$G$1034,2,FALSE)</f>
        <v>ACTRO YOU 70KG PLNOVÝSUV 600 MM EB21 SILENT SYSTEM SADA</v>
      </c>
      <c r="AW40" s="24">
        <f>VLOOKUP(AU40,CENY!$B$11:$G$1034,3,FALSE)</f>
        <v>1</v>
      </c>
      <c r="AX40" s="499">
        <v>10</v>
      </c>
      <c r="AY40" s="25">
        <f>AC20</f>
        <v>0</v>
      </c>
      <c r="AZ40" s="451">
        <f t="shared" si="0"/>
        <v>0</v>
      </c>
      <c r="BA40" s="107">
        <f>VLOOKUP(AU40,CENY!$B$11:$M$2005,12,FALSE)</f>
        <v>798.31</v>
      </c>
      <c r="BB40" s="107">
        <f t="shared" si="1"/>
        <v>0</v>
      </c>
      <c r="BD40" s="441">
        <f>OBJ!B73</f>
        <v>9255806</v>
      </c>
      <c r="BE40" s="23" t="str">
        <f>VLOOKUP(BD40,CENY!$B$11:$G$1034,2,FALSE)</f>
        <v>AVANTECH YOU DEKORATIVNÍ PROFIL NL350 MM STŘÍBRNÝ</v>
      </c>
      <c r="BF40" s="24">
        <f>VLOOKUP(BD40,CENY!$B$11:$G$1034,3,FALSE)</f>
        <v>200</v>
      </c>
      <c r="BG40" s="24"/>
      <c r="BH40" s="25">
        <f>4*(S19+S25)</f>
        <v>0</v>
      </c>
      <c r="BI40" s="451">
        <f t="shared" si="2"/>
        <v>0</v>
      </c>
      <c r="BJ40" s="107">
        <f>VLOOKUP(BD40,CENY!$B$11:$M$2005,12,FALSE)</f>
        <v>9.4499999999999993</v>
      </c>
      <c r="BK40" s="107">
        <f t="shared" si="3"/>
        <v>0</v>
      </c>
    </row>
    <row r="41" spans="47:63" ht="14.4" customHeight="1">
      <c r="AU41" s="441"/>
      <c r="AV41" s="23"/>
      <c r="AW41" s="24"/>
      <c r="AX41" s="24"/>
      <c r="AY41" s="25"/>
      <c r="AZ41" s="451" t="str">
        <f t="shared" si="0"/>
        <v/>
      </c>
      <c r="BA41" s="107"/>
      <c r="BB41" s="107" t="str">
        <f t="shared" si="1"/>
        <v/>
      </c>
      <c r="BD41" s="441">
        <f>OBJ!B74</f>
        <v>9255807</v>
      </c>
      <c r="BE41" s="23" t="str">
        <f>VLOOKUP(BD41,CENY!$B$11:$G$1034,2,FALSE)</f>
        <v>AVANTECH YOU DEKORATIVNÍ PROFIL NL400 MM STŘÍBRNÝ</v>
      </c>
      <c r="BF41" s="24">
        <f>VLOOKUP(BD41,CENY!$B$11:$G$1034,3,FALSE)</f>
        <v>200</v>
      </c>
      <c r="BG41" s="24"/>
      <c r="BH41" s="25">
        <f>4*(U19+U25)</f>
        <v>0</v>
      </c>
      <c r="BI41" s="451">
        <f t="shared" si="2"/>
        <v>0</v>
      </c>
      <c r="BJ41" s="107">
        <f>VLOOKUP(BD41,CENY!$B$11:$M$2005,12,FALSE)</f>
        <v>9.6199999999999992</v>
      </c>
      <c r="BK41" s="107">
        <f t="shared" si="3"/>
        <v>0</v>
      </c>
    </row>
    <row r="42" spans="47:63" ht="14.4" customHeight="1">
      <c r="AU42" s="441">
        <f>OBJ!B298</f>
        <v>9256884</v>
      </c>
      <c r="AV42" s="23" t="str">
        <f>VLOOKUP(AU42,CENY!$B$11:$G$1034,2,FALSE)</f>
        <v>QUADRO YOU PLNOVÝSUV 300 MM EB21 SILENT SYSTEM SADA</v>
      </c>
      <c r="AW42" s="24">
        <f>VLOOKUP(AU42,CENY!$B$11:$G$1034,3,FALSE)</f>
        <v>1</v>
      </c>
      <c r="AX42" s="499">
        <v>8</v>
      </c>
      <c r="AY42" s="25">
        <f>Q25</f>
        <v>0</v>
      </c>
      <c r="AZ42" s="451">
        <f t="shared" si="0"/>
        <v>0</v>
      </c>
      <c r="BA42" s="107">
        <f>VLOOKUP(AU42,CENY!$B$11:$M$2005,12,FALSE)</f>
        <v>369.3</v>
      </c>
      <c r="BB42" s="107">
        <f t="shared" si="1"/>
        <v>0</v>
      </c>
      <c r="BD42" s="441">
        <f>OBJ!B75</f>
        <v>9255808</v>
      </c>
      <c r="BE42" s="23" t="str">
        <f>VLOOKUP(BD42,CENY!$B$11:$G$1034,2,FALSE)</f>
        <v>AVANTECH YOU DEKORATIVNÍ PROFIL NL450 MM STŘÍBRNÝ</v>
      </c>
      <c r="BF42" s="24">
        <f>VLOOKUP(BD42,CENY!$B$11:$G$1034,3,FALSE)</f>
        <v>200</v>
      </c>
      <c r="BG42" s="24"/>
      <c r="BH42" s="25">
        <f>4*(W19+W20+W25)</f>
        <v>0</v>
      </c>
      <c r="BI42" s="451">
        <f t="shared" si="2"/>
        <v>0</v>
      </c>
      <c r="BJ42" s="107">
        <f>VLOOKUP(BD42,CENY!$B$11:$M$2005,12,FALSE)</f>
        <v>9.8000000000000007</v>
      </c>
      <c r="BK42" s="107">
        <f t="shared" si="3"/>
        <v>0</v>
      </c>
    </row>
    <row r="43" spans="47:63" ht="14.4" customHeight="1">
      <c r="AU43" s="441">
        <f>OBJ!B299</f>
        <v>9256886</v>
      </c>
      <c r="AV43" s="23" t="str">
        <f>VLOOKUP(AU43,CENY!$B$11:$G$1034,2,FALSE)</f>
        <v>QUADRO YOU PLNOVÝSUV 350 MM EB21 SILENT SYSTEM SADA</v>
      </c>
      <c r="AW43" s="24">
        <f>VLOOKUP(AU43,CENY!$B$11:$G$1034,3,FALSE)</f>
        <v>1</v>
      </c>
      <c r="AX43" s="499">
        <v>8</v>
      </c>
      <c r="AY43" s="25">
        <f>S25</f>
        <v>0</v>
      </c>
      <c r="AZ43" s="451">
        <f t="shared" si="0"/>
        <v>0</v>
      </c>
      <c r="BA43" s="107">
        <f>VLOOKUP(AU43,CENY!$B$11:$M$2005,12,FALSE)</f>
        <v>376.77</v>
      </c>
      <c r="BB43" s="107">
        <f t="shared" si="1"/>
        <v>0</v>
      </c>
      <c r="BD43" s="441">
        <f>OBJ!B76</f>
        <v>9255809</v>
      </c>
      <c r="BE43" s="23" t="str">
        <f>VLOOKUP(BD43,CENY!$B$11:$G$1034,2,FALSE)</f>
        <v>AVANTECH YOU DEKORATIVNÍ PROFIL NL500 MM STŘÍBRNÝ</v>
      </c>
      <c r="BF43" s="24">
        <f>VLOOKUP(BD43,CENY!$B$11:$G$1034,3,FALSE)</f>
        <v>200</v>
      </c>
      <c r="BG43" s="24"/>
      <c r="BH43" s="25">
        <f>4*(Y19+Y20+Y25)</f>
        <v>0</v>
      </c>
      <c r="BI43" s="451">
        <f t="shared" si="2"/>
        <v>0</v>
      </c>
      <c r="BJ43" s="107">
        <f>VLOOKUP(BD43,CENY!$B$11:$M$2005,12,FALSE)</f>
        <v>9.9700000000000006</v>
      </c>
      <c r="BK43" s="107">
        <f t="shared" si="3"/>
        <v>0</v>
      </c>
    </row>
    <row r="44" spans="47:63" ht="14.4" customHeight="1">
      <c r="AU44" s="441">
        <f>OBJ!B300</f>
        <v>9256888</v>
      </c>
      <c r="AV44" s="23" t="str">
        <f>VLOOKUP(AU44,CENY!$B$11:$G$1034,2,FALSE)</f>
        <v>QUADRO YOU PLNOVÝSUV 400 MM EB21 SILENT SYSTEM SADA</v>
      </c>
      <c r="AW44" s="24">
        <f>VLOOKUP(AU44,CENY!$B$11:$G$1034,3,FALSE)</f>
        <v>1</v>
      </c>
      <c r="AX44" s="499">
        <v>8</v>
      </c>
      <c r="AY44" s="25">
        <f>U25</f>
        <v>0</v>
      </c>
      <c r="AZ44" s="451">
        <f t="shared" si="0"/>
        <v>0</v>
      </c>
      <c r="BA44" s="107">
        <f>VLOOKUP(AU44,CENY!$B$11:$M$2005,12,FALSE)</f>
        <v>384.24</v>
      </c>
      <c r="BB44" s="107">
        <f t="shared" si="1"/>
        <v>0</v>
      </c>
      <c r="BD44" s="441">
        <f>OBJ!B77</f>
        <v>9255810</v>
      </c>
      <c r="BE44" s="23" t="str">
        <f>VLOOKUP(BD44,CENY!$B$11:$G$1034,2,FALSE)</f>
        <v>AVANTECH YOU DEKORATIVNÍ PROFIL NL550 MM STŘÍBRNÝ</v>
      </c>
      <c r="BF44" s="24">
        <f>VLOOKUP(BD44,CENY!$B$11:$G$1034,3,FALSE)</f>
        <v>200</v>
      </c>
      <c r="BG44" s="24"/>
      <c r="BH44" s="25">
        <f>4*(AA19+AA20+AA25)</f>
        <v>0</v>
      </c>
      <c r="BI44" s="451">
        <f t="shared" si="2"/>
        <v>0</v>
      </c>
      <c r="BJ44" s="107">
        <f>VLOOKUP(BD44,CENY!$B$11:$M$2005,12,FALSE)</f>
        <v>10.14</v>
      </c>
      <c r="BK44" s="107">
        <f t="shared" si="3"/>
        <v>0</v>
      </c>
    </row>
    <row r="45" spans="47:63" ht="14.4" customHeight="1">
      <c r="AU45" s="441">
        <f>OBJ!B301</f>
        <v>9256890</v>
      </c>
      <c r="AV45" s="23" t="str">
        <f>VLOOKUP(AU45,CENY!$B$11:$G$1034,2,FALSE)</f>
        <v>QUADRO YOU PLNOVÝSUV 450 MM EB21 SILENT SYSTEM SADA</v>
      </c>
      <c r="AW45" s="24">
        <f>VLOOKUP(AU45,CENY!$B$11:$G$1034,3,FALSE)</f>
        <v>1</v>
      </c>
      <c r="AX45" s="499">
        <v>8</v>
      </c>
      <c r="AY45" s="25">
        <f>W25</f>
        <v>0</v>
      </c>
      <c r="AZ45" s="451">
        <f t="shared" si="0"/>
        <v>0</v>
      </c>
      <c r="BA45" s="107">
        <f>VLOOKUP(AU45,CENY!$B$11:$M$2005,12,FALSE)</f>
        <v>391.72</v>
      </c>
      <c r="BB45" s="107">
        <f t="shared" si="1"/>
        <v>0</v>
      </c>
      <c r="BD45" s="441">
        <f>OBJ!B78</f>
        <v>9255811</v>
      </c>
      <c r="BE45" s="23" t="str">
        <f>VLOOKUP(BD45,CENY!$B$11:$G$1034,2,FALSE)</f>
        <v>AVANTECH YOU DEKORATIVNÍ PROFIL NL600 MM STŘÍBRNÝ</v>
      </c>
      <c r="BF45" s="24">
        <f>VLOOKUP(BD45,CENY!$B$11:$G$1034,3,FALSE)</f>
        <v>200</v>
      </c>
      <c r="BG45" s="24"/>
      <c r="BH45" s="25">
        <f>4*(AC19+AC20+AC25)</f>
        <v>0</v>
      </c>
      <c r="BI45" s="451">
        <f t="shared" si="2"/>
        <v>0</v>
      </c>
      <c r="BJ45" s="107">
        <f>VLOOKUP(BD45,CENY!$B$11:$M$2005,12,FALSE)</f>
        <v>10.39</v>
      </c>
      <c r="BK45" s="107">
        <f t="shared" si="3"/>
        <v>0</v>
      </c>
    </row>
    <row r="46" spans="47:63" ht="14.4" customHeight="1">
      <c r="AU46" s="441">
        <f>OBJ!B302</f>
        <v>9256892</v>
      </c>
      <c r="AV46" s="23" t="str">
        <f>VLOOKUP(AU46,CENY!$B$11:$G$1034,2,FALSE)</f>
        <v>QUADRO YOU PLNOVÝSUV 500 MM EB21 SILENT SYSTEM SADA</v>
      </c>
      <c r="AW46" s="24">
        <f>VLOOKUP(AU46,CENY!$B$11:$G$1034,3,FALSE)</f>
        <v>1</v>
      </c>
      <c r="AX46" s="499">
        <v>8</v>
      </c>
      <c r="AY46" s="25">
        <f>Y25</f>
        <v>0</v>
      </c>
      <c r="AZ46" s="451">
        <f t="shared" si="0"/>
        <v>0</v>
      </c>
      <c r="BA46" s="107">
        <f>VLOOKUP(AU46,CENY!$B$11:$M$2005,12,FALSE)</f>
        <v>399.19</v>
      </c>
      <c r="BB46" s="107">
        <f t="shared" si="1"/>
        <v>0</v>
      </c>
      <c r="BD46" s="441"/>
      <c r="BE46" s="23"/>
      <c r="BF46" s="24"/>
      <c r="BG46" s="24"/>
      <c r="BH46" s="25"/>
      <c r="BI46" s="451" t="str">
        <f t="shared" si="2"/>
        <v/>
      </c>
      <c r="BJ46" s="107"/>
      <c r="BK46" s="107" t="str">
        <f t="shared" si="3"/>
        <v/>
      </c>
    </row>
    <row r="47" spans="47:63" ht="14.4" customHeight="1">
      <c r="AU47" s="441">
        <f>OBJ!B303</f>
        <v>9256894</v>
      </c>
      <c r="AV47" s="23" t="str">
        <f>VLOOKUP(AU47,CENY!$B$11:$G$1034,2,FALSE)</f>
        <v>QUADRO YOU PLNOVÝSUV 550 MM EB21 SILENT SYSTEM SADA</v>
      </c>
      <c r="AW47" s="24">
        <f>VLOOKUP(AU47,CENY!$B$11:$G$1034,3,FALSE)</f>
        <v>1</v>
      </c>
      <c r="AX47" s="499">
        <v>8</v>
      </c>
      <c r="AY47" s="25">
        <f>AA25</f>
        <v>0</v>
      </c>
      <c r="AZ47" s="451">
        <f t="shared" si="0"/>
        <v>0</v>
      </c>
      <c r="BA47" s="107">
        <f>VLOOKUP(AU47,CENY!$B$11:$M$2005,12,FALSE)</f>
        <v>412.64</v>
      </c>
      <c r="BB47" s="107">
        <f t="shared" si="1"/>
        <v>0</v>
      </c>
      <c r="BD47" s="441">
        <f>OBJ!B246</f>
        <v>9256976</v>
      </c>
      <c r="BE47" s="23" t="str">
        <f>VLOOKUP(BD47,CENY!$B$11:$G$1034,2,FALSE)</f>
        <v>ACTRO YOU 40KG PLNOVÝSUV 300 MM EB21 SILENT SYSTEM LEVÝ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243.93</v>
      </c>
      <c r="BK47" s="107">
        <f t="shared" si="3"/>
        <v>0</v>
      </c>
    </row>
    <row r="48" spans="47:63" ht="14.4" customHeight="1">
      <c r="AU48" s="441">
        <f>OBJ!B304</f>
        <v>9256896</v>
      </c>
      <c r="AV48" s="23" t="str">
        <f>VLOOKUP(AU48,CENY!$B$11:$G$1034,2,FALSE)</f>
        <v>QUADRO YOU PLNOVÝSUV 600 MM EB21 SILENT SYSTEM SADA</v>
      </c>
      <c r="AW48" s="24">
        <f>VLOOKUP(AU48,CENY!$B$11:$G$1034,3,FALSE)</f>
        <v>1</v>
      </c>
      <c r="AX48" s="499">
        <v>8</v>
      </c>
      <c r="AY48" s="25">
        <f>AC25</f>
        <v>0</v>
      </c>
      <c r="AZ48" s="451">
        <f t="shared" si="0"/>
        <v>0</v>
      </c>
      <c r="BA48" s="107">
        <f>VLOOKUP(AU48,CENY!$B$11:$M$2005,12,FALSE)</f>
        <v>420.11</v>
      </c>
      <c r="BB48" s="107">
        <f t="shared" si="1"/>
        <v>0</v>
      </c>
      <c r="BD48" s="441">
        <f>OBJ!B247</f>
        <v>9256977</v>
      </c>
      <c r="BE48" s="23" t="str">
        <f>VLOOKUP(BD48,CENY!$B$11:$G$1034,2,FALSE)</f>
        <v>ACTRO YOU 40KG PLNOVÝSUV 300 MM EB21 SILENT SYSTEM PRAVÝ</v>
      </c>
      <c r="BF48" s="24">
        <f>VLOOKUP(BD48,CENY!$B$11:$G$1034,3,FALSE)</f>
        <v>10</v>
      </c>
      <c r="BG48" s="24"/>
      <c r="BH48" s="25">
        <f>AY29</f>
        <v>0</v>
      </c>
      <c r="BI48" s="451">
        <f t="shared" si="2"/>
        <v>0</v>
      </c>
      <c r="BJ48" s="107">
        <f>VLOOKUP(BD48,CENY!$B$11:$M$2005,12,FALSE)</f>
        <v>243.93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0"/>
        <v/>
      </c>
      <c r="BA49" s="107"/>
      <c r="BB49" s="107" t="str">
        <f t="shared" si="1"/>
        <v/>
      </c>
      <c r="BD49" s="441">
        <f>OBJ!B248</f>
        <v>9256980</v>
      </c>
      <c r="BE49" s="23" t="str">
        <f>VLOOKUP(BD49,CENY!$B$11:$G$1034,2,FALSE)</f>
        <v>ACTRO YOU 40KG PLNOVÝSUV 350 MM EB21 SILENT SYSTEM LEVÝ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243.93</v>
      </c>
      <c r="BK49" s="107">
        <f t="shared" si="3"/>
        <v>0</v>
      </c>
    </row>
    <row r="50" spans="47:63" ht="14.4" customHeight="1">
      <c r="AU50" s="442">
        <v>9257885</v>
      </c>
      <c r="AV50" s="443" t="str">
        <f>VLOOKUP(AU50,CENY!$B$11:$G$1034,2,FALSE)</f>
        <v>AVANTECH YOU PŘÍCHYTKA ČELA V139 MM K ZALISOVÁNÍ</v>
      </c>
      <c r="AW50" s="24">
        <f>VLOOKUP(AU50,CENY!$B$11:$G$1034,3,FALSE)</f>
        <v>200</v>
      </c>
      <c r="AX50" s="24"/>
      <c r="AY50" s="77">
        <f>IF(FORM!AM8=FORM!AU11,(2*(SUM(O19:AD19)+SUM(W20:AF20)+SUM(O25:AD25))),0)</f>
        <v>0</v>
      </c>
      <c r="AZ50" s="451">
        <f t="shared" si="0"/>
        <v>0</v>
      </c>
      <c r="BA50" s="107">
        <f>VLOOKUP(AU50,CENY!$B$11:$M$2005,12,FALSE)</f>
        <v>36.090000000000003</v>
      </c>
      <c r="BB50" s="107">
        <f t="shared" si="1"/>
        <v>0</v>
      </c>
      <c r="BD50" s="441">
        <f>OBJ!B249</f>
        <v>9256981</v>
      </c>
      <c r="BE50" s="23" t="str">
        <f>VLOOKUP(BD50,CENY!$B$11:$G$1034,2,FALSE)</f>
        <v>ACTRO YOU 40KG PLNOVÝSUV 350 MM EB21 SILENT SYSTEM PRAVÝ</v>
      </c>
      <c r="BF50" s="24">
        <f>VLOOKUP(BD50,CENY!$B$11:$G$1034,3,FALSE)</f>
        <v>10</v>
      </c>
      <c r="BG50" s="24"/>
      <c r="BH50" s="25">
        <f>AY30</f>
        <v>0</v>
      </c>
      <c r="BI50" s="451">
        <f t="shared" si="2"/>
        <v>0</v>
      </c>
      <c r="BJ50" s="107">
        <f>VLOOKUP(BD50,CENY!$B$11:$M$2005,12,FALSE)</f>
        <v>243.93</v>
      </c>
      <c r="BK50" s="107">
        <f t="shared" si="3"/>
        <v>0</v>
      </c>
    </row>
    <row r="51" spans="47:63" ht="14.4" customHeight="1">
      <c r="AU51" s="442">
        <v>9255839</v>
      </c>
      <c r="AV51" s="443" t="str">
        <f>VLOOKUP(AU51,CENY!$B$11:$G$1034,2,FALSE)</f>
        <v>AVANTECH YOU PŘÍCHYTKA ČELA V187 / 251 MM K ZALISOVÁNÍ</v>
      </c>
      <c r="AW51" s="24">
        <f>VLOOKUP(AU51,CENY!$B$11:$G$1034,3,FALSE)</f>
        <v>200</v>
      </c>
      <c r="AX51" s="24"/>
      <c r="AY51" s="77">
        <f>AY50</f>
        <v>0</v>
      </c>
      <c r="AZ51" s="451">
        <f>IF(AY51="","",IF($AW$4=1,AY51,0))</f>
        <v>0</v>
      </c>
      <c r="BA51" s="107">
        <f>VLOOKUP(AU51,CENY!$B$11:$M$2005,12,FALSE)</f>
        <v>53.8</v>
      </c>
      <c r="BB51" s="107">
        <f>IF(BA51="","",BA51*AY51)</f>
        <v>0</v>
      </c>
      <c r="BD51" s="441">
        <f>OBJ!B250</f>
        <v>9256984</v>
      </c>
      <c r="BE51" s="23" t="str">
        <f>VLOOKUP(BD51,CENY!$B$11:$G$1034,2,FALSE)</f>
        <v>ACTRO YOU 40KG PLNOVÝSUV 400 MM EB21 SILENT SYSTEM LEVÝ</v>
      </c>
      <c r="BF51" s="24">
        <f>VLOOKUP(BD51,CENY!$B$11:$G$1034,3,FALSE)</f>
        <v>10</v>
      </c>
      <c r="BG51" s="24"/>
      <c r="BH51" s="25">
        <f>AY31</f>
        <v>0</v>
      </c>
      <c r="BI51" s="451">
        <f t="shared" si="2"/>
        <v>0</v>
      </c>
      <c r="BJ51" s="107">
        <f>VLOOKUP(BD51,CENY!$B$11:$M$2005,12,FALSE)</f>
        <v>247.05</v>
      </c>
      <c r="BK51" s="107">
        <f t="shared" si="3"/>
        <v>0</v>
      </c>
    </row>
    <row r="52" spans="47:63" ht="14.4" customHeight="1">
      <c r="AU52" s="441"/>
      <c r="AV52" s="23"/>
      <c r="AW52" s="24"/>
      <c r="AX52" s="24"/>
      <c r="AY52" s="25"/>
      <c r="AZ52" s="451" t="str">
        <f t="shared" si="0"/>
        <v/>
      </c>
      <c r="BA52" s="107"/>
      <c r="BB52" s="107" t="str">
        <f t="shared" si="1"/>
        <v/>
      </c>
      <c r="BD52" s="441">
        <f>OBJ!B251</f>
        <v>9256985</v>
      </c>
      <c r="BE52" s="23" t="str">
        <f>VLOOKUP(BD52,CENY!$B$11:$G$1034,2,FALSE)</f>
        <v>ACTRO YOU 40KG PLNOVÝSUV 400 MM EB21 SILENT SYSTEM PRAVÝ</v>
      </c>
      <c r="BF52" s="24">
        <f>VLOOKUP(BD52,CENY!$B$11:$G$1034,3,FALSE)</f>
        <v>10</v>
      </c>
      <c r="BG52" s="24"/>
      <c r="BH52" s="25">
        <f>AY31</f>
        <v>0</v>
      </c>
      <c r="BI52" s="451">
        <f t="shared" si="2"/>
        <v>0</v>
      </c>
      <c r="BJ52" s="107">
        <f>VLOOKUP(BD52,CENY!$B$11:$M$2005,12,FALSE)</f>
        <v>247.05</v>
      </c>
      <c r="BK52" s="107">
        <f t="shared" si="3"/>
        <v>0</v>
      </c>
    </row>
    <row r="53" spans="47:63" ht="14.4" customHeight="1">
      <c r="AU53" s="441">
        <f>OBJ!B207</f>
        <v>0</v>
      </c>
      <c r="AV53" s="23" t="e">
        <f>VLOOKUP(AU53,CENY!$B$11:$G$1034,2,FALSE)</f>
        <v>#N/A</v>
      </c>
      <c r="AW53" s="24" t="e">
        <f>VLOOKUP(AU53,CENY!$B$11:$G$1034,3,FALSE)</f>
        <v>#N/A</v>
      </c>
      <c r="AX53" s="24"/>
      <c r="AY53" s="77">
        <f>IF(FORM!AM21&lt;&gt;FORM!AW16,(4*(SUM(O19:AD19)+SUM(W20:AF20)+SUM(O25:AD25))),0)</f>
        <v>0</v>
      </c>
      <c r="AZ53" s="451">
        <f t="shared" si="0"/>
        <v>0</v>
      </c>
      <c r="BA53" s="449" t="str">
        <f>IF(AU53=0,"",VLOOKUP(AU53,CENY!$B$11:$M$2005,12,FALSE))</f>
        <v/>
      </c>
      <c r="BB53" s="107" t="str">
        <f t="shared" si="1"/>
        <v/>
      </c>
      <c r="BD53" s="441">
        <f>OBJ!B252</f>
        <v>9256988</v>
      </c>
      <c r="BE53" s="23" t="str">
        <f>VLOOKUP(BD53,CENY!$B$11:$G$1034,2,FALSE)</f>
        <v>ACTRO YOU 40KG PLNOVÝSUV 450 MM EB21 SILENT SYSTEM LEVÝ</v>
      </c>
      <c r="BF53" s="24">
        <f>VLOOKUP(BD53,CENY!$B$11:$G$1034,3,FALSE)</f>
        <v>10</v>
      </c>
      <c r="BG53" s="24"/>
      <c r="BH53" s="25">
        <f>AY32</f>
        <v>0</v>
      </c>
      <c r="BI53" s="451">
        <f t="shared" si="2"/>
        <v>0</v>
      </c>
      <c r="BJ53" s="107">
        <f>VLOOKUP(BD53,CENY!$B$11:$M$2005,12,FALSE)</f>
        <v>250.14</v>
      </c>
      <c r="BK53" s="107">
        <f t="shared" si="3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0"/>
        <v/>
      </c>
      <c r="BA54" s="107"/>
      <c r="BB54" s="107" t="str">
        <f t="shared" si="1"/>
        <v/>
      </c>
      <c r="BD54" s="441">
        <f>OBJ!B253</f>
        <v>9256989</v>
      </c>
      <c r="BE54" s="23" t="str">
        <f>VLOOKUP(BD54,CENY!$B$11:$G$1034,2,FALSE)</f>
        <v>ACTRO YOU 40KG PLNOVÝSUV 450 MM EB21 SILENT SYSTEM PRAVÝ</v>
      </c>
      <c r="BF54" s="24">
        <f>VLOOKUP(BD54,CENY!$B$11:$G$1034,3,FALSE)</f>
        <v>10</v>
      </c>
      <c r="BG54" s="24"/>
      <c r="BH54" s="25">
        <f>AY32</f>
        <v>0</v>
      </c>
      <c r="BI54" s="451">
        <f t="shared" si="2"/>
        <v>0</v>
      </c>
      <c r="BJ54" s="107">
        <f>VLOOKUP(BD54,CENY!$B$11:$M$2005,12,FALSE)</f>
        <v>250.14</v>
      </c>
      <c r="BK54" s="107">
        <f t="shared" si="3"/>
        <v>0</v>
      </c>
    </row>
    <row r="55" spans="47:63" ht="14.4" customHeight="1">
      <c r="AU55" s="441"/>
      <c r="AV55" s="23"/>
      <c r="AW55" s="24"/>
      <c r="AX55" s="24"/>
      <c r="AY55" s="25"/>
      <c r="AZ55" s="451" t="str">
        <f t="shared" si="0"/>
        <v/>
      </c>
      <c r="BA55" s="107"/>
      <c r="BB55" s="107" t="str">
        <f t="shared" si="1"/>
        <v/>
      </c>
      <c r="BD55" s="441">
        <f>OBJ!B254</f>
        <v>9256992</v>
      </c>
      <c r="BE55" s="23" t="str">
        <f>VLOOKUP(BD55,CENY!$B$11:$G$1034,2,FALSE)</f>
        <v>ACTRO YOU 40KG PLNOVÝSUV 500 MM EB21 SILENT SYSTEM LEVÝ</v>
      </c>
      <c r="BF55" s="24">
        <f>VLOOKUP(BD55,CENY!$B$11:$G$1034,3,FALSE)</f>
        <v>10</v>
      </c>
      <c r="BG55" s="24"/>
      <c r="BH55" s="25">
        <f>AY33</f>
        <v>0</v>
      </c>
      <c r="BI55" s="451">
        <f t="shared" si="2"/>
        <v>0</v>
      </c>
      <c r="BJ55" s="107">
        <f>VLOOKUP(BD55,CENY!$B$11:$M$2005,12,FALSE)</f>
        <v>253.25</v>
      </c>
      <c r="BK55" s="107">
        <f t="shared" si="3"/>
        <v>0</v>
      </c>
    </row>
    <row r="56" spans="47:63" ht="14.4" customHeight="1">
      <c r="AU56" s="441"/>
      <c r="AV56" s="23"/>
      <c r="AW56" s="24"/>
      <c r="AX56" s="24"/>
      <c r="AY56" s="25"/>
      <c r="AZ56" s="451" t="str">
        <f t="shared" si="0"/>
        <v/>
      </c>
      <c r="BA56" s="107"/>
      <c r="BB56" s="107" t="str">
        <f t="shared" si="1"/>
        <v/>
      </c>
      <c r="BD56" s="441">
        <f>OBJ!B255</f>
        <v>9256993</v>
      </c>
      <c r="BE56" s="23" t="str">
        <f>VLOOKUP(BD56,CENY!$B$11:$G$1034,2,FALSE)</f>
        <v>ACTRO YOU 40KG PLNOVÝSUV 500 MM EB21 SILENT SYSTEM PRAVÝ</v>
      </c>
      <c r="BF56" s="24">
        <f>VLOOKUP(BD56,CENY!$B$11:$G$1034,3,FALSE)</f>
        <v>10</v>
      </c>
      <c r="BG56" s="24"/>
      <c r="BH56" s="25">
        <f>AY33</f>
        <v>0</v>
      </c>
      <c r="BI56" s="451">
        <f t="shared" si="2"/>
        <v>0</v>
      </c>
      <c r="BJ56" s="107">
        <f>VLOOKUP(BD56,CENY!$B$11:$M$2005,12,FALSE)</f>
        <v>253.25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0"/>
        <v/>
      </c>
      <c r="BA57" s="107"/>
      <c r="BB57" s="107" t="str">
        <f t="shared" si="1"/>
        <v/>
      </c>
      <c r="BD57" s="441">
        <f>OBJ!B256</f>
        <v>9256996</v>
      </c>
      <c r="BE57" s="23" t="str">
        <f>VLOOKUP(BD57,CENY!$B$11:$G$1034,2,FALSE)</f>
        <v>ACTRO YOU 40KG PLNOVÝSUV 550 MM EB21 SILENT SYSTEM LEVÝ</v>
      </c>
      <c r="BF57" s="24">
        <f>VLOOKUP(BD57,CENY!$B$11:$G$1034,3,FALSE)</f>
        <v>10</v>
      </c>
      <c r="BG57" s="24"/>
      <c r="BH57" s="25">
        <f>AY34</f>
        <v>0</v>
      </c>
      <c r="BI57" s="451">
        <f t="shared" si="2"/>
        <v>0</v>
      </c>
      <c r="BJ57" s="107">
        <f>VLOOKUP(BD57,CENY!$B$11:$M$2005,12,FALSE)</f>
        <v>269.83999999999997</v>
      </c>
      <c r="BK57" s="107">
        <f t="shared" si="3"/>
        <v>0</v>
      </c>
    </row>
    <row r="58" spans="47:63" ht="14.4" customHeight="1">
      <c r="AU58" s="441"/>
      <c r="AV58" s="23"/>
      <c r="AW58" s="24"/>
      <c r="AX58" s="24"/>
      <c r="AY58" s="25"/>
      <c r="AZ58" s="451" t="str">
        <f t="shared" si="0"/>
        <v/>
      </c>
      <c r="BA58" s="107"/>
      <c r="BB58" s="107" t="str">
        <f t="shared" si="1"/>
        <v/>
      </c>
      <c r="BD58" s="441">
        <f>OBJ!B257</f>
        <v>9256997</v>
      </c>
      <c r="BE58" s="23" t="str">
        <f>VLOOKUP(BD58,CENY!$B$11:$G$1034,2,FALSE)</f>
        <v>ACTRO YOU 40KG PLNOVÝSUV 550 MM EB21 SILENT SYSTEM PRAVÝ</v>
      </c>
      <c r="BF58" s="24">
        <f>VLOOKUP(BD58,CENY!$B$11:$G$1034,3,FALSE)</f>
        <v>10</v>
      </c>
      <c r="BG58" s="24"/>
      <c r="BH58" s="25">
        <f>AY34</f>
        <v>0</v>
      </c>
      <c r="BI58" s="451">
        <f t="shared" si="2"/>
        <v>0</v>
      </c>
      <c r="BJ58" s="107">
        <f>VLOOKUP(BD58,CENY!$B$11:$M$2005,12,FALSE)</f>
        <v>269.83999999999997</v>
      </c>
      <c r="BK58" s="107">
        <f t="shared" si="3"/>
        <v>0</v>
      </c>
    </row>
    <row r="59" spans="47:63" ht="14.4" customHeight="1">
      <c r="AU59" s="441"/>
      <c r="AV59" s="23"/>
      <c r="AW59" s="24"/>
      <c r="AX59" s="24"/>
      <c r="AY59" s="25"/>
      <c r="AZ59" s="451" t="str">
        <f t="shared" si="0"/>
        <v/>
      </c>
      <c r="BA59" s="107"/>
      <c r="BB59" s="107" t="str">
        <f t="shared" si="1"/>
        <v/>
      </c>
      <c r="BD59" s="441">
        <f>OBJ!B258</f>
        <v>9268679</v>
      </c>
      <c r="BE59" s="23" t="str">
        <f>VLOOKUP(BD59,CENY!$B$11:$G$1034,2,FALSE)</f>
        <v>ACTRO YOU 40KG PLNOVÝSUV 600 MM EB21 SILENT SYSTÉM LEVÝ</v>
      </c>
      <c r="BF59" s="24">
        <f>VLOOKUP(BD59,CENY!$B$11:$G$1034,3,FALSE)</f>
        <v>10</v>
      </c>
      <c r="BG59" s="24"/>
      <c r="BH59" s="25">
        <f>AY35</f>
        <v>0</v>
      </c>
      <c r="BI59" s="451">
        <f>IF(BH59="","",IF($AW$4=0,BH59,0))</f>
        <v>0</v>
      </c>
      <c r="BJ59" s="107">
        <f>VLOOKUP(BD59,CENY!$B$11:$M$2005,12,FALSE)</f>
        <v>273.51</v>
      </c>
      <c r="BK59" s="107">
        <f>IF(BJ59="","",BJ59*BH59)</f>
        <v>0</v>
      </c>
    </row>
    <row r="60" spans="47:63" ht="14.4" customHeight="1">
      <c r="AU60" s="441"/>
      <c r="AV60" s="23"/>
      <c r="AW60" s="24"/>
      <c r="AX60" s="24"/>
      <c r="AY60" s="25"/>
      <c r="AZ60" s="451" t="str">
        <f t="shared" si="0"/>
        <v/>
      </c>
      <c r="BA60" s="107"/>
      <c r="BB60" s="107" t="str">
        <f t="shared" si="1"/>
        <v/>
      </c>
      <c r="BD60" s="441">
        <f>OBJ!B259</f>
        <v>9268680</v>
      </c>
      <c r="BE60" s="23" t="str">
        <f>VLOOKUP(BD60,CENY!$B$11:$G$1034,2,FALSE)</f>
        <v>ACTRO YOU 40KG PLNOVÝSUV 600 MM EB21 SILENT SYSTÉM PRAVÝ</v>
      </c>
      <c r="BF60" s="24">
        <f>VLOOKUP(BD60,CENY!$B$11:$G$1034,3,FALSE)</f>
        <v>10</v>
      </c>
      <c r="BG60" s="24"/>
      <c r="BH60" s="25">
        <f>AY35</f>
        <v>0</v>
      </c>
      <c r="BI60" s="451">
        <f>IF(BH60="","",IF($AW$4=0,BH60,0))</f>
        <v>0</v>
      </c>
      <c r="BJ60" s="107">
        <f>VLOOKUP(BD60,CENY!$B$11:$M$2005,12,FALSE)</f>
        <v>273.51</v>
      </c>
      <c r="BK60" s="107">
        <f>IF(BJ60="","",BJ60*BH60)</f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0"/>
        <v/>
      </c>
      <c r="BA61" s="107"/>
      <c r="BB61" s="107" t="str">
        <f t="shared" ref="BB61:BB96" si="6">IF(BA61="","",BA61*AY61)</f>
        <v/>
      </c>
      <c r="BD61" s="441"/>
      <c r="BE61" s="23"/>
      <c r="BF61" s="24"/>
      <c r="BG61" s="24"/>
      <c r="BH61" s="25"/>
      <c r="BI61" s="451" t="str">
        <f t="shared" si="2"/>
        <v/>
      </c>
      <c r="BJ61" s="107"/>
      <c r="BK61" s="107" t="str">
        <f t="shared" si="3"/>
        <v/>
      </c>
    </row>
    <row r="62" spans="47:63" ht="14.4" customHeight="1">
      <c r="AU62" s="22"/>
      <c r="AV62" s="23"/>
      <c r="AW62" s="24"/>
      <c r="AX62" s="24"/>
      <c r="AY62" s="25"/>
      <c r="AZ62" s="451" t="str">
        <f t="shared" ref="AZ62:AZ96" si="7">IF(AY62="","",IF($AW$4=1,AY62,0))</f>
        <v/>
      </c>
      <c r="BA62" s="107"/>
      <c r="BB62" s="107" t="str">
        <f t="shared" si="6"/>
        <v/>
      </c>
      <c r="BD62" s="441">
        <f>OBJ!B266</f>
        <v>9257013</v>
      </c>
      <c r="BE62" s="23" t="str">
        <f>VLOOKUP(BD62,CENY!$B$11:$G$1034,2,FALSE)</f>
        <v>ACTRO YOU 70KG PLNOVÝSUV 450 MM EB21 SILENT SYSTEM LEVÝ</v>
      </c>
      <c r="BF62" s="24">
        <f>VLOOKUP(BD62,CENY!$B$11:$G$1034,3,FALSE)</f>
        <v>10</v>
      </c>
      <c r="BG62" s="24"/>
      <c r="BH62" s="25">
        <f>AY37</f>
        <v>0</v>
      </c>
      <c r="BI62" s="451">
        <f t="shared" si="2"/>
        <v>0</v>
      </c>
      <c r="BJ62" s="107">
        <f>VLOOKUP(BD62,CENY!$B$11:$M$2005,12,FALSE)</f>
        <v>309.07</v>
      </c>
      <c r="BK62" s="107">
        <f t="shared" si="3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7"/>
        <v/>
      </c>
      <c r="BA63" s="107"/>
      <c r="BB63" s="107" t="str">
        <f t="shared" si="6"/>
        <v/>
      </c>
      <c r="BD63" s="441">
        <f>OBJ!B267</f>
        <v>9257014</v>
      </c>
      <c r="BE63" s="23" t="str">
        <f>VLOOKUP(BD63,CENY!$B$11:$G$1034,2,FALSE)</f>
        <v>ACTRO YOU 70KG PLNOVÝSUV 450 MM EB21 SILENT SYSTEM PRAVÝ</v>
      </c>
      <c r="BF63" s="24">
        <f>VLOOKUP(BD63,CENY!$B$11:$G$1034,3,FALSE)</f>
        <v>10</v>
      </c>
      <c r="BG63" s="24"/>
      <c r="BH63" s="25">
        <f>AY37</f>
        <v>0</v>
      </c>
      <c r="BI63" s="451">
        <f t="shared" si="2"/>
        <v>0</v>
      </c>
      <c r="BJ63" s="107">
        <f>VLOOKUP(BD63,CENY!$B$11:$M$2005,12,FALSE)</f>
        <v>309.07</v>
      </c>
      <c r="BK63" s="107">
        <f t="shared" si="3"/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7"/>
        <v/>
      </c>
      <c r="BA64" s="107"/>
      <c r="BB64" s="107" t="str">
        <f t="shared" si="6"/>
        <v/>
      </c>
      <c r="BD64" s="441">
        <f>OBJ!B268</f>
        <v>9257017</v>
      </c>
      <c r="BE64" s="23" t="str">
        <f>VLOOKUP(BD64,CENY!$B$11:$G$1034,2,FALSE)</f>
        <v>ACTRO YOU 70KG PLNOVÝSUV 500 MM EB21 SILENT SYSTEM LEVÝ</v>
      </c>
      <c r="BF64" s="24">
        <f>VLOOKUP(BD64,CENY!$B$11:$G$1034,3,FALSE)</f>
        <v>10</v>
      </c>
      <c r="BG64" s="24"/>
      <c r="BH64" s="25">
        <f>AY38</f>
        <v>0</v>
      </c>
      <c r="BI64" s="451">
        <f t="shared" si="2"/>
        <v>0</v>
      </c>
      <c r="BJ64" s="107">
        <f>VLOOKUP(BD64,CENY!$B$11:$M$2005,12,FALSE)</f>
        <v>312.18</v>
      </c>
      <c r="BK64" s="107">
        <f t="shared" si="3"/>
        <v>0</v>
      </c>
    </row>
    <row r="65" spans="47:63" ht="14.4" customHeight="1">
      <c r="AU65" s="22"/>
      <c r="AV65" s="23"/>
      <c r="AW65" s="24"/>
      <c r="AX65" s="24"/>
      <c r="AY65" s="25"/>
      <c r="AZ65" s="451" t="str">
        <f t="shared" si="7"/>
        <v/>
      </c>
      <c r="BA65" s="107"/>
      <c r="BB65" s="107" t="str">
        <f t="shared" si="6"/>
        <v/>
      </c>
      <c r="BD65" s="441">
        <f>OBJ!B269</f>
        <v>9257018</v>
      </c>
      <c r="BE65" s="23" t="str">
        <f>VLOOKUP(BD65,CENY!$B$11:$G$1034,2,FALSE)</f>
        <v>ACTRO YOU 70KG PLNOVÝSUV 500 MM EB21 SILENT SYSTEM PRAVÝ</v>
      </c>
      <c r="BF65" s="24">
        <f>VLOOKUP(BD65,CENY!$B$11:$G$1034,3,FALSE)</f>
        <v>10</v>
      </c>
      <c r="BG65" s="24"/>
      <c r="BH65" s="25">
        <f>AY38</f>
        <v>0</v>
      </c>
      <c r="BI65" s="451">
        <f t="shared" si="2"/>
        <v>0</v>
      </c>
      <c r="BJ65" s="107">
        <f>VLOOKUP(BD65,CENY!$B$11:$M$2005,12,FALSE)</f>
        <v>312.18</v>
      </c>
      <c r="BK65" s="107">
        <f t="shared" si="3"/>
        <v>0</v>
      </c>
    </row>
    <row r="66" spans="47:63" ht="14.4" customHeight="1">
      <c r="AU66" s="22"/>
      <c r="AV66" s="23"/>
      <c r="AW66" s="24"/>
      <c r="AX66" s="24"/>
      <c r="AY66" s="25"/>
      <c r="AZ66" s="451" t="str">
        <f t="shared" si="7"/>
        <v/>
      </c>
      <c r="BA66" s="107"/>
      <c r="BB66" s="107" t="str">
        <f t="shared" si="6"/>
        <v/>
      </c>
      <c r="BD66" s="441">
        <f>OBJ!B270</f>
        <v>9257021</v>
      </c>
      <c r="BE66" s="23" t="str">
        <f>VLOOKUP(BD66,CENY!$B$11:$G$1034,2,FALSE)</f>
        <v>ACTRO YOU 70KG PLNOVÝSUV 550 MM EB21 SILENT SYSTEM LEVÝ</v>
      </c>
      <c r="BF66" s="24">
        <f>VLOOKUP(BD66,CENY!$B$11:$G$1034,3,FALSE)</f>
        <v>10</v>
      </c>
      <c r="BG66" s="24"/>
      <c r="BH66" s="25">
        <f>AY39</f>
        <v>0</v>
      </c>
      <c r="BI66" s="451">
        <f t="shared" si="2"/>
        <v>0</v>
      </c>
      <c r="BJ66" s="107">
        <f>VLOOKUP(BD66,CENY!$B$11:$M$2005,12,FALSE)</f>
        <v>328.77</v>
      </c>
      <c r="BK66" s="107">
        <f t="shared" si="3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7"/>
        <v/>
      </c>
      <c r="BA67" s="107"/>
      <c r="BB67" s="107" t="str">
        <f t="shared" si="6"/>
        <v/>
      </c>
      <c r="BD67" s="441">
        <f>OBJ!B271</f>
        <v>9257022</v>
      </c>
      <c r="BE67" s="23" t="str">
        <f>VLOOKUP(BD67,CENY!$B$11:$G$1034,2,FALSE)</f>
        <v>ACTRO YOU 70KG PLNOVÝSUV 550 MM EB21 SILENT SYSTEM PRAVÝ</v>
      </c>
      <c r="BF67" s="24">
        <f>VLOOKUP(BD67,CENY!$B$11:$G$1034,3,FALSE)</f>
        <v>10</v>
      </c>
      <c r="BG67" s="24"/>
      <c r="BH67" s="25">
        <f>AY39</f>
        <v>0</v>
      </c>
      <c r="BI67" s="451">
        <f t="shared" si="2"/>
        <v>0</v>
      </c>
      <c r="BJ67" s="107">
        <f>VLOOKUP(BD67,CENY!$B$11:$M$2005,12,FALSE)</f>
        <v>328.77</v>
      </c>
      <c r="BK67" s="107">
        <f t="shared" si="3"/>
        <v>0</v>
      </c>
    </row>
    <row r="68" spans="47:63" ht="14.4" customHeight="1">
      <c r="AU68" s="22"/>
      <c r="AV68" s="23"/>
      <c r="AW68" s="24"/>
      <c r="AX68" s="24"/>
      <c r="AY68" s="25"/>
      <c r="AZ68" s="451" t="str">
        <f t="shared" si="7"/>
        <v/>
      </c>
      <c r="BA68" s="107"/>
      <c r="BB68" s="107" t="str">
        <f t="shared" si="6"/>
        <v/>
      </c>
      <c r="BD68" s="441">
        <f>OBJ!B272</f>
        <v>9257025</v>
      </c>
      <c r="BE68" s="23" t="str">
        <f>VLOOKUP(BD68,CENY!$B$11:$G$1034,2,FALSE)</f>
        <v>ACTRO YOU 70KG PLNOVÝSUV 600 MM EB21 SILENT SYSTEM LEVÝ</v>
      </c>
      <c r="BF68" s="24">
        <f>VLOOKUP(BD68,CENY!$B$11:$G$1034,3,FALSE)</f>
        <v>10</v>
      </c>
      <c r="BG68" s="24"/>
      <c r="BH68" s="25">
        <f>AY40</f>
        <v>0</v>
      </c>
      <c r="BI68" s="451">
        <f t="shared" si="2"/>
        <v>0</v>
      </c>
      <c r="BJ68" s="107">
        <f>VLOOKUP(BD68,CENY!$B$11:$M$2005,12,FALSE)</f>
        <v>362.28</v>
      </c>
      <c r="BK68" s="107">
        <f t="shared" si="3"/>
        <v>0</v>
      </c>
    </row>
    <row r="69" spans="47:63" ht="14.4" customHeight="1">
      <c r="AU69" s="22"/>
      <c r="AV69" s="23"/>
      <c r="AW69" s="24"/>
      <c r="AX69" s="24"/>
      <c r="AY69" s="25"/>
      <c r="AZ69" s="451" t="str">
        <f t="shared" si="7"/>
        <v/>
      </c>
      <c r="BA69" s="107"/>
      <c r="BB69" s="107" t="str">
        <f t="shared" si="6"/>
        <v/>
      </c>
      <c r="BD69" s="441">
        <f>OBJ!B273</f>
        <v>9257026</v>
      </c>
      <c r="BE69" s="23" t="str">
        <f>VLOOKUP(BD69,CENY!$B$11:$G$1034,2,FALSE)</f>
        <v>ACTRO YOU 70KG PLNOVÝSUV 600 MM EB21 SILENT SYSTEM PRAVÝ</v>
      </c>
      <c r="BF69" s="24">
        <f>VLOOKUP(BD69,CENY!$B$11:$G$1034,3,FALSE)</f>
        <v>10</v>
      </c>
      <c r="BG69" s="24"/>
      <c r="BH69" s="25">
        <f>AY40</f>
        <v>0</v>
      </c>
      <c r="BI69" s="451">
        <f t="shared" si="2"/>
        <v>0</v>
      </c>
      <c r="BJ69" s="107">
        <f>VLOOKUP(BD69,CENY!$B$11:$M$2005,12,FALSE)</f>
        <v>362.28</v>
      </c>
      <c r="BK69" s="107">
        <f t="shared" si="3"/>
        <v>0</v>
      </c>
    </row>
    <row r="70" spans="47:63" ht="14.4" customHeight="1">
      <c r="AU70" s="22"/>
      <c r="AV70" s="23"/>
      <c r="AW70" s="24"/>
      <c r="AX70" s="24"/>
      <c r="AY70" s="25"/>
      <c r="AZ70" s="451" t="str">
        <f t="shared" si="7"/>
        <v/>
      </c>
      <c r="BA70" s="107"/>
      <c r="BB70" s="107" t="str">
        <f t="shared" si="6"/>
        <v/>
      </c>
      <c r="BD70" s="441"/>
      <c r="BE70" s="23"/>
      <c r="BF70" s="24"/>
      <c r="BG70" s="24"/>
      <c r="BH70" s="25"/>
      <c r="BI70" s="451" t="str">
        <f t="shared" ref="BI70:BI96" si="8">IF(BH70="","",IF($AW$4=0,BH70,0))</f>
        <v/>
      </c>
      <c r="BJ70" s="107"/>
      <c r="BK70" s="107" t="str">
        <f t="shared" ref="BK70:BK96" si="9">IF(BJ70="","",BJ70*BH70)</f>
        <v/>
      </c>
    </row>
    <row r="71" spans="47:63" ht="14.4" customHeight="1">
      <c r="AU71" s="22"/>
      <c r="AV71" s="23"/>
      <c r="AW71" s="24"/>
      <c r="AX71" s="24"/>
      <c r="AY71" s="25"/>
      <c r="AZ71" s="451" t="str">
        <f t="shared" si="7"/>
        <v/>
      </c>
      <c r="BA71" s="107"/>
      <c r="BB71" s="107" t="str">
        <f t="shared" si="6"/>
        <v/>
      </c>
      <c r="BD71" s="441">
        <f>OBJ!B307</f>
        <v>9256856</v>
      </c>
      <c r="BE71" s="23" t="str">
        <f>VLOOKUP(BD71,CENY!$B$11:$G$1034,2,FALSE)</f>
        <v>QUADRO YOU PLNOVÝSUV 300 MM EB21 SILENT SYSTEM LEVÝ</v>
      </c>
      <c r="BF71" s="24">
        <f>VLOOKUP(BD71,CENY!$B$11:$G$1034,3,FALSE)</f>
        <v>20</v>
      </c>
      <c r="BG71" s="24"/>
      <c r="BH71" s="25">
        <f>AY42</f>
        <v>0</v>
      </c>
      <c r="BI71" s="451">
        <f t="shared" si="8"/>
        <v>0</v>
      </c>
      <c r="BJ71" s="107">
        <f>VLOOKUP(BD71,CENY!$B$11:$M$2005,12,FALSE)</f>
        <v>172.7</v>
      </c>
      <c r="BK71" s="107">
        <f t="shared" si="9"/>
        <v>0</v>
      </c>
    </row>
    <row r="72" spans="47:63" ht="14.4" customHeight="1">
      <c r="AU72" s="22"/>
      <c r="AV72" s="23"/>
      <c r="AW72" s="24"/>
      <c r="AX72" s="24"/>
      <c r="AY72" s="25"/>
      <c r="AZ72" s="451" t="str">
        <f t="shared" si="7"/>
        <v/>
      </c>
      <c r="BA72" s="107"/>
      <c r="BB72" s="107" t="str">
        <f t="shared" si="6"/>
        <v/>
      </c>
      <c r="BD72" s="441">
        <f>OBJ!B308</f>
        <v>9256857</v>
      </c>
      <c r="BE72" s="23" t="str">
        <f>VLOOKUP(BD72,CENY!$B$11:$G$1034,2,FALSE)</f>
        <v>QUADRO YOU PLNOVÝSUV 300 MM EB21 SILENT SYSTEM PRAVÝ</v>
      </c>
      <c r="BF72" s="24">
        <f>VLOOKUP(BD72,CENY!$B$11:$G$1034,3,FALSE)</f>
        <v>20</v>
      </c>
      <c r="BG72" s="24"/>
      <c r="BH72" s="25">
        <f>AY42</f>
        <v>0</v>
      </c>
      <c r="BI72" s="451">
        <f t="shared" si="8"/>
        <v>0</v>
      </c>
      <c r="BJ72" s="107">
        <f>VLOOKUP(BD72,CENY!$B$11:$M$2005,12,FALSE)</f>
        <v>172.7</v>
      </c>
      <c r="BK72" s="107">
        <f t="shared" si="9"/>
        <v>0</v>
      </c>
    </row>
    <row r="73" spans="47:63" ht="14.4" customHeight="1">
      <c r="AU73" s="22"/>
      <c r="AV73" s="23"/>
      <c r="AW73" s="24"/>
      <c r="AX73" s="24"/>
      <c r="AY73" s="25"/>
      <c r="AZ73" s="451" t="str">
        <f t="shared" si="7"/>
        <v/>
      </c>
      <c r="BA73" s="107"/>
      <c r="BB73" s="107" t="str">
        <f t="shared" si="6"/>
        <v/>
      </c>
      <c r="BD73" s="441">
        <f>OBJ!B309</f>
        <v>9256860</v>
      </c>
      <c r="BE73" s="23" t="str">
        <f>VLOOKUP(BD73,CENY!$B$11:$G$1034,2,FALSE)</f>
        <v>QUADRO YOU PLNOVÝSUV 350 MM EB21 SILENT SYSTEM LEVÝ</v>
      </c>
      <c r="BF73" s="24">
        <f>VLOOKUP(BD73,CENY!$B$11:$G$1034,3,FALSE)</f>
        <v>20</v>
      </c>
      <c r="BG73" s="24"/>
      <c r="BH73" s="25">
        <f>AY43</f>
        <v>0</v>
      </c>
      <c r="BI73" s="451">
        <f t="shared" si="8"/>
        <v>0</v>
      </c>
      <c r="BJ73" s="107">
        <f>VLOOKUP(BD73,CENY!$B$11:$M$2005,12,FALSE)</f>
        <v>176.43</v>
      </c>
      <c r="BK73" s="107">
        <f t="shared" si="9"/>
        <v>0</v>
      </c>
    </row>
    <row r="74" spans="47:63" ht="14.4" customHeight="1">
      <c r="AU74" s="22"/>
      <c r="AV74" s="23"/>
      <c r="AW74" s="24"/>
      <c r="AX74" s="24"/>
      <c r="AY74" s="25"/>
      <c r="AZ74" s="451" t="str">
        <f t="shared" si="7"/>
        <v/>
      </c>
      <c r="BA74" s="107"/>
      <c r="BB74" s="107" t="str">
        <f t="shared" si="6"/>
        <v/>
      </c>
      <c r="BD74" s="441">
        <f>OBJ!B310</f>
        <v>9256861</v>
      </c>
      <c r="BE74" s="23" t="str">
        <f>VLOOKUP(BD74,CENY!$B$11:$G$1034,2,FALSE)</f>
        <v>QUADRO YOU PLNOVÝSUV 350 MM EB21 SILENT SYSTEM PRAVÝ</v>
      </c>
      <c r="BF74" s="24">
        <f>VLOOKUP(BD74,CENY!$B$11:$G$1034,3,FALSE)</f>
        <v>20</v>
      </c>
      <c r="BG74" s="24"/>
      <c r="BH74" s="25">
        <f>AY43</f>
        <v>0</v>
      </c>
      <c r="BI74" s="451">
        <f t="shared" si="8"/>
        <v>0</v>
      </c>
      <c r="BJ74" s="107">
        <f>VLOOKUP(BD74,CENY!$B$11:$M$2005,12,FALSE)</f>
        <v>176.43</v>
      </c>
      <c r="BK74" s="107">
        <f t="shared" si="9"/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7"/>
        <v/>
      </c>
      <c r="BA75" s="107"/>
      <c r="BB75" s="107" t="str">
        <f t="shared" si="6"/>
        <v/>
      </c>
      <c r="BD75" s="441">
        <f>OBJ!B311</f>
        <v>9256864</v>
      </c>
      <c r="BE75" s="23" t="str">
        <f>VLOOKUP(BD75,CENY!$B$11:$G$1034,2,FALSE)</f>
        <v>QUADRO YOU PLNOVÝSUV 400 MM EB21 SILENT SYSTEM LEVÝ</v>
      </c>
      <c r="BF75" s="24">
        <f>VLOOKUP(BD75,CENY!$B$11:$G$1034,3,FALSE)</f>
        <v>20</v>
      </c>
      <c r="BG75" s="24"/>
      <c r="BH75" s="25">
        <f>AY44</f>
        <v>0</v>
      </c>
      <c r="BI75" s="451">
        <f t="shared" si="8"/>
        <v>0</v>
      </c>
      <c r="BJ75" s="107">
        <f>VLOOKUP(BD75,CENY!$B$11:$M$2005,12,FALSE)</f>
        <v>180.17</v>
      </c>
      <c r="BK75" s="107">
        <f t="shared" si="9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 t="shared" si="7"/>
        <v/>
      </c>
      <c r="BA76" s="107"/>
      <c r="BB76" s="107" t="str">
        <f t="shared" si="6"/>
        <v/>
      </c>
      <c r="BD76" s="441">
        <f>OBJ!B312</f>
        <v>9256865</v>
      </c>
      <c r="BE76" s="23" t="str">
        <f>VLOOKUP(BD76,CENY!$B$11:$G$1034,2,FALSE)</f>
        <v>QUADRO YOU PLNOVÝSUV 400 MM EB21 SILENT SYSTEM PRAVÝ</v>
      </c>
      <c r="BF76" s="24">
        <f>VLOOKUP(BD76,CENY!$B$11:$G$1034,3,FALSE)</f>
        <v>20</v>
      </c>
      <c r="BG76" s="24"/>
      <c r="BH76" s="25">
        <f>AY44</f>
        <v>0</v>
      </c>
      <c r="BI76" s="451">
        <f t="shared" si="8"/>
        <v>0</v>
      </c>
      <c r="BJ76" s="107">
        <f>VLOOKUP(BD76,CENY!$B$11:$M$2005,12,FALSE)</f>
        <v>180.17</v>
      </c>
      <c r="BK76" s="107">
        <f t="shared" si="9"/>
        <v>0</v>
      </c>
    </row>
    <row r="77" spans="47:63" ht="14.4" customHeight="1">
      <c r="AU77" s="22"/>
      <c r="AV77" s="23"/>
      <c r="AW77" s="24"/>
      <c r="AX77" s="24"/>
      <c r="AY77" s="25"/>
      <c r="AZ77" s="451" t="str">
        <f t="shared" si="7"/>
        <v/>
      </c>
      <c r="BA77" s="107"/>
      <c r="BB77" s="107" t="str">
        <f t="shared" si="6"/>
        <v/>
      </c>
      <c r="BD77" s="441">
        <f>OBJ!B313</f>
        <v>9256868</v>
      </c>
      <c r="BE77" s="23" t="str">
        <f>VLOOKUP(BD77,CENY!$B$11:$G$1034,2,FALSE)</f>
        <v>QUADRO YOU PLNOVÝSUV 450 MM EB21 SILENT SYSTEM LEVÝ</v>
      </c>
      <c r="BF77" s="24">
        <f>VLOOKUP(BD77,CENY!$B$11:$G$1034,3,FALSE)</f>
        <v>20</v>
      </c>
      <c r="BG77" s="24"/>
      <c r="BH77" s="25">
        <f>AY45</f>
        <v>0</v>
      </c>
      <c r="BI77" s="451">
        <f t="shared" si="8"/>
        <v>0</v>
      </c>
      <c r="BJ77" s="107">
        <f>VLOOKUP(BD77,CENY!$B$11:$M$2005,12,FALSE)</f>
        <v>183.9</v>
      </c>
      <c r="BK77" s="107">
        <f t="shared" si="9"/>
        <v>0</v>
      </c>
    </row>
    <row r="78" spans="47:63" ht="14.4" customHeight="1">
      <c r="AU78" s="22"/>
      <c r="AV78" s="23"/>
      <c r="AW78" s="24"/>
      <c r="AX78" s="24"/>
      <c r="AY78" s="25"/>
      <c r="AZ78" s="451" t="str">
        <f t="shared" si="7"/>
        <v/>
      </c>
      <c r="BA78" s="107"/>
      <c r="BB78" s="107" t="str">
        <f t="shared" si="6"/>
        <v/>
      </c>
      <c r="BD78" s="441">
        <f>OBJ!B314</f>
        <v>9256869</v>
      </c>
      <c r="BE78" s="23" t="str">
        <f>VLOOKUP(BD78,CENY!$B$11:$G$1034,2,FALSE)</f>
        <v>QUADRO YOU PLNOVÝSUV 450 MM EB21 SILENT SYSTEM PRAVÝ</v>
      </c>
      <c r="BF78" s="24">
        <f>VLOOKUP(BD78,CENY!$B$11:$G$1034,3,FALSE)</f>
        <v>20</v>
      </c>
      <c r="BG78" s="24"/>
      <c r="BH78" s="25">
        <f>AY45</f>
        <v>0</v>
      </c>
      <c r="BI78" s="451">
        <f t="shared" si="8"/>
        <v>0</v>
      </c>
      <c r="BJ78" s="107">
        <f>VLOOKUP(BD78,CENY!$B$11:$M$2005,12,FALSE)</f>
        <v>183.9</v>
      </c>
      <c r="BK78" s="107">
        <f t="shared" si="9"/>
        <v>0</v>
      </c>
    </row>
    <row r="79" spans="47:63" ht="14.4" customHeight="1">
      <c r="AU79" s="22"/>
      <c r="AV79" s="23"/>
      <c r="AW79" s="24"/>
      <c r="AX79" s="24"/>
      <c r="AY79" s="25"/>
      <c r="AZ79" s="451" t="str">
        <f t="shared" si="7"/>
        <v/>
      </c>
      <c r="BA79" s="107"/>
      <c r="BB79" s="107" t="str">
        <f t="shared" si="6"/>
        <v/>
      </c>
      <c r="BD79" s="441">
        <f>OBJ!B315</f>
        <v>9256872</v>
      </c>
      <c r="BE79" s="23" t="str">
        <f>VLOOKUP(BD79,CENY!$B$11:$G$1034,2,FALSE)</f>
        <v>QUADRO YOU PLNOVÝSUV 500 MM EB21 SILENT SYSTEM LEVÝ</v>
      </c>
      <c r="BF79" s="24">
        <f>VLOOKUP(BD79,CENY!$B$11:$G$1034,3,FALSE)</f>
        <v>20</v>
      </c>
      <c r="BG79" s="24"/>
      <c r="BH79" s="25">
        <f>AY46</f>
        <v>0</v>
      </c>
      <c r="BI79" s="451">
        <f t="shared" si="8"/>
        <v>0</v>
      </c>
      <c r="BJ79" s="107">
        <f>VLOOKUP(BD79,CENY!$B$11:$M$2005,12,FALSE)</f>
        <v>187.64</v>
      </c>
      <c r="BK79" s="107">
        <f t="shared" si="9"/>
        <v>0</v>
      </c>
    </row>
    <row r="80" spans="47:63" ht="14.4" customHeight="1">
      <c r="AU80" s="22"/>
      <c r="AV80" s="23"/>
      <c r="AW80" s="24"/>
      <c r="AX80" s="24"/>
      <c r="AY80" s="25"/>
      <c r="AZ80" s="451" t="str">
        <f t="shared" si="7"/>
        <v/>
      </c>
      <c r="BA80" s="107"/>
      <c r="BB80" s="107" t="str">
        <f t="shared" si="6"/>
        <v/>
      </c>
      <c r="BD80" s="441">
        <f>OBJ!B316</f>
        <v>9256873</v>
      </c>
      <c r="BE80" s="23" t="str">
        <f>VLOOKUP(BD80,CENY!$B$11:$G$1034,2,FALSE)</f>
        <v>QUADRO YOU PLNOVÝSUV 500 MM EB21 SILENT SYSTEM PRAVÝ</v>
      </c>
      <c r="BF80" s="24">
        <f>VLOOKUP(BD80,CENY!$B$11:$G$1034,3,FALSE)</f>
        <v>20</v>
      </c>
      <c r="BG80" s="24"/>
      <c r="BH80" s="25">
        <f>AY46</f>
        <v>0</v>
      </c>
      <c r="BI80" s="451">
        <f t="shared" si="8"/>
        <v>0</v>
      </c>
      <c r="BJ80" s="107">
        <f>VLOOKUP(BD80,CENY!$B$11:$M$2005,12,FALSE)</f>
        <v>187.64</v>
      </c>
      <c r="BK80" s="107">
        <f t="shared" si="9"/>
        <v>0</v>
      </c>
    </row>
    <row r="81" spans="47:63" ht="14.4" customHeight="1">
      <c r="AU81" s="22"/>
      <c r="AV81" s="23"/>
      <c r="AW81" s="24"/>
      <c r="AX81" s="24"/>
      <c r="AY81" s="25"/>
      <c r="AZ81" s="451" t="str">
        <f t="shared" si="7"/>
        <v/>
      </c>
      <c r="BA81" s="107"/>
      <c r="BB81" s="107" t="str">
        <f t="shared" si="6"/>
        <v/>
      </c>
      <c r="BD81" s="441">
        <f>OBJ!B317</f>
        <v>9256876</v>
      </c>
      <c r="BE81" s="23" t="str">
        <f>VLOOKUP(BD81,CENY!$B$11:$G$1034,2,FALSE)</f>
        <v>QUADRO YOU PLNOVÝSUV 550 MM EB21 SILENT SYSTEM LEVÝ</v>
      </c>
      <c r="BF81" s="24">
        <f>VLOOKUP(BD81,CENY!$B$11:$G$1034,3,FALSE)</f>
        <v>20</v>
      </c>
      <c r="BG81" s="24"/>
      <c r="BH81" s="25">
        <f>AY47</f>
        <v>0</v>
      </c>
      <c r="BI81" s="451">
        <f t="shared" si="8"/>
        <v>0</v>
      </c>
      <c r="BJ81" s="107">
        <f>VLOOKUP(BD81,CENY!$B$11:$M$2005,12,FALSE)</f>
        <v>194.36</v>
      </c>
      <c r="BK81" s="107">
        <f t="shared" si="9"/>
        <v>0</v>
      </c>
    </row>
    <row r="82" spans="47:63" ht="14.4" customHeight="1">
      <c r="AU82" s="22"/>
      <c r="AV82" s="23"/>
      <c r="AW82" s="24"/>
      <c r="AX82" s="24"/>
      <c r="AY82" s="25"/>
      <c r="AZ82" s="451" t="str">
        <f t="shared" si="7"/>
        <v/>
      </c>
      <c r="BA82" s="107"/>
      <c r="BB82" s="107" t="str">
        <f t="shared" si="6"/>
        <v/>
      </c>
      <c r="BD82" s="441">
        <f>OBJ!B318</f>
        <v>9256877</v>
      </c>
      <c r="BE82" s="23" t="str">
        <f>VLOOKUP(BD82,CENY!$B$11:$G$1034,2,FALSE)</f>
        <v>QUADRO YOU PLNOVÝSUV 550 MM EB21 SILENT SYSTEM PRAVÝ</v>
      </c>
      <c r="BF82" s="24">
        <f>VLOOKUP(BD82,CENY!$B$11:$G$1034,3,FALSE)</f>
        <v>20</v>
      </c>
      <c r="BG82" s="24"/>
      <c r="BH82" s="25">
        <f>AY47</f>
        <v>0</v>
      </c>
      <c r="BI82" s="451">
        <f t="shared" si="8"/>
        <v>0</v>
      </c>
      <c r="BJ82" s="107">
        <f>VLOOKUP(BD82,CENY!$B$11:$M$2005,12,FALSE)</f>
        <v>194.36</v>
      </c>
      <c r="BK82" s="107">
        <f t="shared" si="9"/>
        <v>0</v>
      </c>
    </row>
    <row r="83" spans="47:63" ht="14.4" customHeight="1">
      <c r="AU83" s="22"/>
      <c r="AV83" s="23"/>
      <c r="AW83" s="24"/>
      <c r="AX83" s="24"/>
      <c r="AY83" s="25"/>
      <c r="AZ83" s="451" t="str">
        <f t="shared" si="7"/>
        <v/>
      </c>
      <c r="BA83" s="107"/>
      <c r="BB83" s="107" t="str">
        <f t="shared" si="6"/>
        <v/>
      </c>
      <c r="BD83" s="441">
        <f>OBJ!B319</f>
        <v>9256880</v>
      </c>
      <c r="BE83" s="23" t="str">
        <f>VLOOKUP(BD83,CENY!$B$11:$G$1034,2,FALSE)</f>
        <v>QUADRO YOU PLNOVÝSUV 600 MM EB21 SILENT SYSTEM LEVÝ</v>
      </c>
      <c r="BF83" s="24">
        <f>VLOOKUP(BD83,CENY!$B$11:$G$1034,3,FALSE)</f>
        <v>20</v>
      </c>
      <c r="BG83" s="24"/>
      <c r="BH83" s="25">
        <f>AY48</f>
        <v>0</v>
      </c>
      <c r="BI83" s="451">
        <f t="shared" si="8"/>
        <v>0</v>
      </c>
      <c r="BJ83" s="107">
        <f>VLOOKUP(BD83,CENY!$B$11:$M$2005,12,FALSE)</f>
        <v>198.1</v>
      </c>
      <c r="BK83" s="107">
        <f t="shared" si="9"/>
        <v>0</v>
      </c>
    </row>
    <row r="84" spans="47:63" ht="14.4" customHeight="1">
      <c r="AU84" s="22"/>
      <c r="AV84" s="23"/>
      <c r="AW84" s="24"/>
      <c r="AX84" s="24"/>
      <c r="AY84" s="25"/>
      <c r="AZ84" s="451" t="str">
        <f t="shared" si="7"/>
        <v/>
      </c>
      <c r="BA84" s="107"/>
      <c r="BB84" s="107" t="str">
        <f t="shared" si="6"/>
        <v/>
      </c>
      <c r="BD84" s="441">
        <f>OBJ!B320</f>
        <v>9256881</v>
      </c>
      <c r="BE84" s="23" t="str">
        <f>VLOOKUP(BD84,CENY!$B$11:$G$1034,2,FALSE)</f>
        <v>QUADRO YOU PLNOVÝSUV 600 MM EB21 SILENT SYSTEM PRAVÝ</v>
      </c>
      <c r="BF84" s="24">
        <f>VLOOKUP(BD84,CENY!$B$11:$G$1034,3,FALSE)</f>
        <v>20</v>
      </c>
      <c r="BG84" s="24"/>
      <c r="BH84" s="25">
        <f>AY48</f>
        <v>0</v>
      </c>
      <c r="BI84" s="451">
        <f t="shared" si="8"/>
        <v>0</v>
      </c>
      <c r="BJ84" s="107">
        <f>VLOOKUP(BD84,CENY!$B$11:$M$2005,12,FALSE)</f>
        <v>198.1</v>
      </c>
      <c r="BK84" s="107">
        <f t="shared" si="9"/>
        <v>0</v>
      </c>
    </row>
    <row r="85" spans="47:63" ht="14.4" customHeight="1">
      <c r="AU85" s="22"/>
      <c r="AV85" s="23"/>
      <c r="AW85" s="24"/>
      <c r="AX85" s="24"/>
      <c r="AY85" s="25"/>
      <c r="AZ85" s="451" t="str">
        <f t="shared" si="7"/>
        <v/>
      </c>
      <c r="BA85" s="107"/>
      <c r="BB85" s="107" t="str">
        <f t="shared" si="6"/>
        <v/>
      </c>
      <c r="BD85" s="441"/>
      <c r="BE85" s="23"/>
      <c r="BF85" s="24"/>
      <c r="BG85" s="24"/>
      <c r="BH85" s="25"/>
      <c r="BI85" s="451" t="str">
        <f t="shared" si="8"/>
        <v/>
      </c>
      <c r="BJ85" s="107"/>
      <c r="BK85" s="107" t="str">
        <f t="shared" si="9"/>
        <v/>
      </c>
    </row>
    <row r="86" spans="47:63" ht="14.4" customHeight="1">
      <c r="AU86" s="22"/>
      <c r="AV86" s="23"/>
      <c r="AW86" s="24"/>
      <c r="AX86" s="24"/>
      <c r="AY86" s="25"/>
      <c r="AZ86" s="451" t="str">
        <f t="shared" si="7"/>
        <v/>
      </c>
      <c r="BA86" s="107"/>
      <c r="BB86" s="107" t="str">
        <f t="shared" si="6"/>
        <v/>
      </c>
      <c r="BD86" s="441">
        <f>OBJ!B207</f>
        <v>0</v>
      </c>
      <c r="BE86" s="23" t="e">
        <f>VLOOKUP(BD86,CENY!$B$11:$G$1034,2,FALSE)</f>
        <v>#N/A</v>
      </c>
      <c r="BF86" s="24" t="e">
        <f>VLOOKUP(BD86,CENY!$B$11:$G$1034,3,FALSE)</f>
        <v>#N/A</v>
      </c>
      <c r="BG86" s="24"/>
      <c r="BH86" s="25">
        <f>AY53</f>
        <v>0</v>
      </c>
      <c r="BI86" s="451">
        <f t="shared" si="8"/>
        <v>0</v>
      </c>
      <c r="BJ86" s="449" t="str">
        <f>IF(BD86=0,"",VLOOKUP(BD86,CENY!$B$11:$M$2005,12,FALSE))</f>
        <v/>
      </c>
      <c r="BK86" s="107" t="str">
        <f t="shared" si="9"/>
        <v/>
      </c>
    </row>
    <row r="87" spans="47:63" ht="14.4" customHeight="1">
      <c r="AU87" s="22"/>
      <c r="AV87" s="23"/>
      <c r="AW87" s="24"/>
      <c r="AX87" s="24"/>
      <c r="AY87" s="25"/>
      <c r="AZ87" s="451" t="str">
        <f t="shared" si="7"/>
        <v/>
      </c>
      <c r="BA87" s="107"/>
      <c r="BB87" s="107" t="str">
        <f t="shared" si="6"/>
        <v/>
      </c>
      <c r="BD87" s="441"/>
      <c r="BE87" s="23"/>
      <c r="BF87" s="24"/>
      <c r="BG87" s="24"/>
      <c r="BH87" s="25"/>
      <c r="BI87" s="451" t="str">
        <f t="shared" si="8"/>
        <v/>
      </c>
      <c r="BJ87" s="107"/>
      <c r="BK87" s="107" t="str">
        <f t="shared" si="9"/>
        <v/>
      </c>
    </row>
    <row r="88" spans="47:63">
      <c r="AU88" s="441">
        <f>OBJ!B354</f>
        <v>45167</v>
      </c>
      <c r="AV88" s="23" t="str">
        <f>VLOOKUP(AU88,CENY!$B$11:$G$1034,2,FALSE)</f>
        <v>VRUT PANHEAD 35X12</v>
      </c>
      <c r="AW88" s="24">
        <f>VLOOKUP(AU88,CENY!$B$11:$G$1034,3,FALSE)</f>
        <v>200</v>
      </c>
      <c r="AX88" s="24"/>
      <c r="AY88" s="25">
        <f>SUMPRODUCT(AX5:AX19,AY5:AY19)</f>
        <v>0</v>
      </c>
      <c r="AZ88" s="451">
        <f t="shared" si="7"/>
        <v>0</v>
      </c>
      <c r="BA88" s="107">
        <f>VLOOKUP(AU88,CENY!$B$11:$M$2005,12,FALSE)</f>
        <v>0.54</v>
      </c>
      <c r="BB88" s="107">
        <f t="shared" si="6"/>
        <v>0</v>
      </c>
      <c r="BC88" s="97" t="s">
        <v>506</v>
      </c>
      <c r="BD88" s="441">
        <f>OBJ!B354</f>
        <v>45167</v>
      </c>
      <c r="BE88" s="23" t="str">
        <f>VLOOKUP(BD88,CENY!$B$11:$G$1034,2,FALSE)</f>
        <v>VRUT PANHEAD 35X12</v>
      </c>
      <c r="BF88" s="24">
        <f>VLOOKUP(BD88,CENY!$B$11:$G$1034,3,FALSE)</f>
        <v>200</v>
      </c>
      <c r="BG88" s="24"/>
      <c r="BH88" s="25">
        <f>AY88</f>
        <v>0</v>
      </c>
      <c r="BI88" s="451">
        <f>IF(BH88="","",IF($AW$4=0,BH88,0))</f>
        <v>0</v>
      </c>
      <c r="BJ88" s="107">
        <f>VLOOKUP(BD88,CENY!$B$11:$M$2005,12,FALSE)</f>
        <v>0.54</v>
      </c>
      <c r="BK88" s="107">
        <f>IF(BJ88="","",BJ88*BH88)</f>
        <v>0</v>
      </c>
    </row>
    <row r="89" spans="47:63">
      <c r="AU89" s="441">
        <f>OBJ!B355</f>
        <v>45168</v>
      </c>
      <c r="AV89" s="23" t="str">
        <f>VLOOKUP(AU89,CENY!$B$11:$G$1034,2,FALSE)</f>
        <v>VRUT PANHEAD 35X20</v>
      </c>
      <c r="AW89" s="24">
        <f>VLOOKUP(AU89,CENY!$B$11:$G$1034,3,FALSE)</f>
        <v>200</v>
      </c>
      <c r="AX89" s="24"/>
      <c r="AY89" s="497">
        <v>0</v>
      </c>
      <c r="AZ89" s="451">
        <f t="shared" si="7"/>
        <v>0</v>
      </c>
      <c r="BA89" s="107">
        <f>VLOOKUP(AU89,CENY!$B$11:$M$2005,12,FALSE)</f>
        <v>0.78</v>
      </c>
      <c r="BB89" s="107">
        <f t="shared" si="6"/>
        <v>0</v>
      </c>
      <c r="BC89" s="97" t="s">
        <v>507</v>
      </c>
      <c r="BD89" s="441">
        <f>OBJ!B355</f>
        <v>45168</v>
      </c>
      <c r="BE89" s="23" t="str">
        <f>VLOOKUP(BD89,CENY!$B$11:$G$1034,2,FALSE)</f>
        <v>VRUT PANHEAD 35X20</v>
      </c>
      <c r="BF89" s="24">
        <f>VLOOKUP(BD89,CENY!$B$11:$G$1034,3,FALSE)</f>
        <v>200</v>
      </c>
      <c r="BG89" s="24"/>
      <c r="BH89" s="497">
        <f>IF(FORM!$AM$8=FORM!$AU$10,(BH35*3+BH36*4),0)</f>
        <v>0</v>
      </c>
      <c r="BI89" s="451">
        <f>IF(BH89="","",IF($AW$4=0,BH89,0))</f>
        <v>0</v>
      </c>
      <c r="BJ89" s="107">
        <f>VLOOKUP(BD89,CENY!$B$11:$M$2005,12,FALSE)</f>
        <v>0.78</v>
      </c>
      <c r="BK89" s="107">
        <f>IF(BJ89="","",BJ89*BH89)</f>
        <v>0</v>
      </c>
    </row>
    <row r="90" spans="47:63">
      <c r="AU90" s="441">
        <f>OBJ!B356</f>
        <v>9278224</v>
      </c>
      <c r="AV90" s="23" t="str">
        <f>VLOOKUP(AU90,CENY!$B$11:$G$1034,2,FALSE)</f>
        <v>AVANTECH YOU VRUT 3,5X30 PANHEAD POZINK.</v>
      </c>
      <c r="AW90" s="24">
        <f>VLOOKUP(AU90,CENY!$B$11:$G$1034,3,FALSE)</f>
        <v>200</v>
      </c>
      <c r="AX90" s="24"/>
      <c r="AY90" s="497">
        <v>0</v>
      </c>
      <c r="AZ90" s="451">
        <f t="shared" si="7"/>
        <v>0</v>
      </c>
      <c r="BA90" s="107">
        <f>VLOOKUP(AU90,CENY!$B$11:$M$2005,12,FALSE)</f>
        <v>0.73</v>
      </c>
      <c r="BB90" s="107">
        <f t="shared" si="6"/>
        <v>0</v>
      </c>
      <c r="BC90" s="97" t="s">
        <v>508</v>
      </c>
      <c r="BD90" s="441">
        <f>OBJ!B356</f>
        <v>9278224</v>
      </c>
      <c r="BE90" s="23" t="str">
        <f>VLOOKUP(BD90,CENY!$B$11:$G$1034,2,FALSE)</f>
        <v>AVANTECH YOU VRUT 3,5X30 PANHEAD POZINK.</v>
      </c>
      <c r="BF90" s="24">
        <f>VLOOKUP(BD90,CENY!$B$11:$G$1034,3,FALSE)</f>
        <v>200</v>
      </c>
      <c r="BG90" s="24"/>
      <c r="BH90" s="497">
        <f>2*SUM(BH5:BH18)+2*SUM(BH20:BH33)</f>
        <v>0</v>
      </c>
      <c r="BI90" s="451">
        <f>IF(BH90="","",IF($AW$4=0,BH90,0))</f>
        <v>0</v>
      </c>
      <c r="BJ90" s="107">
        <f>VLOOKUP(BD90,CENY!$B$11:$M$2005,12,FALSE)</f>
        <v>0.73</v>
      </c>
      <c r="BK90" s="107">
        <f>IF(BJ90="","",BJ90*BH90)</f>
        <v>0</v>
      </c>
    </row>
    <row r="91" spans="47:63">
      <c r="AU91" s="441">
        <f>OBJ!B357</f>
        <v>9279197</v>
      </c>
      <c r="AV91" s="23" t="str">
        <f>VLOOKUP(AU91,CENY!$B$11:$G$1034,2,FALSE)</f>
        <v>SAMOŘEZNÝ ŠROUB 3,5X12 PANHEAD POZINK.</v>
      </c>
      <c r="AW91" s="24">
        <f>VLOOKUP(AU91,CENY!$B$11:$G$1034,3,FALSE)</f>
        <v>1000</v>
      </c>
      <c r="AX91" s="24"/>
      <c r="AY91" s="77">
        <v>0</v>
      </c>
      <c r="AZ91" s="451">
        <f t="shared" si="7"/>
        <v>0</v>
      </c>
      <c r="BA91" s="107">
        <f>VLOOKUP(AU91,CENY!$B$11:$M$2005,12,FALSE)</f>
        <v>1.51</v>
      </c>
      <c r="BB91" s="107">
        <f t="shared" si="6"/>
        <v>0</v>
      </c>
      <c r="BC91" s="97" t="s">
        <v>509</v>
      </c>
      <c r="BD91" s="441">
        <f>OBJ!B357</f>
        <v>9279197</v>
      </c>
      <c r="BE91" s="23" t="str">
        <f>VLOOKUP(BD91,CENY!$B$11:$G$1034,2,FALSE)</f>
        <v>SAMOŘEZNÝ ŠROUB 3,5X12 PANHEAD POZINK.</v>
      </c>
      <c r="BF91" s="24">
        <f>VLOOKUP(BD91,CENY!$B$11:$G$1034,3,FALSE)</f>
        <v>1000</v>
      </c>
      <c r="BG91" s="24"/>
      <c r="BH91" s="77">
        <f>AY91</f>
        <v>0</v>
      </c>
      <c r="BI91" s="451">
        <f>IF(BH91="","",IF($AW$4=0,BH91,0))</f>
        <v>0</v>
      </c>
      <c r="BJ91" s="107">
        <f>VLOOKUP(BD91,CENY!$B$11:$M$2005,12,FALSE)</f>
        <v>1.51</v>
      </c>
      <c r="BK91" s="107">
        <f>IF(BJ91="","",BJ91*BH91)</f>
        <v>0</v>
      </c>
    </row>
    <row r="92" spans="47:63">
      <c r="AU92" s="441">
        <f>OBJ!B358</f>
        <v>9137114</v>
      </c>
      <c r="AV92" s="23" t="str">
        <f>VLOOKUP(AU92,CENY!$B$11:$G$1034,2,FALSE)</f>
        <v>EUROŠROUB DBS 60 X 14</v>
      </c>
      <c r="AW92" s="24">
        <f>VLOOKUP(AU92,CENY!$B$11:$G$1034,3,FALSE)</f>
        <v>200</v>
      </c>
      <c r="AX92" s="24"/>
      <c r="AY92" s="25">
        <f>SUMPRODUCT(AX29:AX48,AY29:AY48)</f>
        <v>0</v>
      </c>
      <c r="AZ92" s="451">
        <f t="shared" si="7"/>
        <v>0</v>
      </c>
      <c r="BA92" s="107">
        <f>VLOOKUP(AU92,CENY!$B$11:$M$2005,12,FALSE)</f>
        <v>1.2</v>
      </c>
      <c r="BB92" s="107">
        <f t="shared" si="6"/>
        <v>0</v>
      </c>
      <c r="BC92" s="97" t="s">
        <v>510</v>
      </c>
      <c r="BD92" s="441">
        <f>OBJ!B358</f>
        <v>9137114</v>
      </c>
      <c r="BE92" s="23" t="str">
        <f>VLOOKUP(BD92,CENY!$B$11:$G$1034,2,FALSE)</f>
        <v>EUROŠROUB DBS 60 X 14</v>
      </c>
      <c r="BF92" s="24">
        <f>VLOOKUP(BD92,CENY!$B$11:$G$1034,3,FALSE)</f>
        <v>200</v>
      </c>
      <c r="BG92" s="24"/>
      <c r="BH92" s="25">
        <f>AY92</f>
        <v>0</v>
      </c>
      <c r="BI92" s="451">
        <f>IF(BH92="","",IF($AW$4=0,BH92,0))</f>
        <v>0</v>
      </c>
      <c r="BJ92" s="107">
        <f>VLOOKUP(BD92,CENY!$B$11:$M$2005,12,FALSE)</f>
        <v>1.2</v>
      </c>
      <c r="BK92" s="107">
        <f>IF(BJ92="","",BJ92*BH92)</f>
        <v>0</v>
      </c>
    </row>
    <row r="93" spans="47:63">
      <c r="AU93" s="22"/>
      <c r="AV93" s="23"/>
      <c r="AW93" s="24"/>
      <c r="AX93" s="24"/>
      <c r="AY93" s="25"/>
      <c r="AZ93" s="451"/>
      <c r="BA93" s="107"/>
      <c r="BB93" s="107"/>
      <c r="BD93" s="441"/>
      <c r="BE93" s="23"/>
      <c r="BF93" s="24"/>
      <c r="BG93" s="24"/>
      <c r="BH93" s="25"/>
      <c r="BI93" s="451" t="str">
        <f t="shared" si="8"/>
        <v/>
      </c>
      <c r="BJ93" s="107"/>
      <c r="BK93" s="107" t="str">
        <f t="shared" si="9"/>
        <v/>
      </c>
    </row>
    <row r="94" spans="47:63">
      <c r="AU94" s="22"/>
      <c r="AV94" s="23"/>
      <c r="AW94" s="24"/>
      <c r="AX94" s="24"/>
      <c r="AY94" s="25"/>
      <c r="AZ94" s="451" t="str">
        <f t="shared" si="7"/>
        <v/>
      </c>
      <c r="BA94" s="107"/>
      <c r="BB94" s="107" t="str">
        <f t="shared" si="6"/>
        <v/>
      </c>
      <c r="BD94" s="441"/>
      <c r="BE94" s="23"/>
      <c r="BF94" s="24"/>
      <c r="BG94" s="24"/>
      <c r="BH94" s="25"/>
      <c r="BI94" s="451" t="str">
        <f t="shared" si="8"/>
        <v/>
      </c>
      <c r="BJ94" s="107"/>
      <c r="BK94" s="107" t="str">
        <f t="shared" si="9"/>
        <v/>
      </c>
    </row>
    <row r="95" spans="47:63">
      <c r="AU95" s="22"/>
      <c r="AV95" s="23"/>
      <c r="AW95" s="24"/>
      <c r="AX95" s="24"/>
      <c r="AY95" s="25"/>
      <c r="AZ95" s="451" t="str">
        <f t="shared" si="7"/>
        <v/>
      </c>
      <c r="BA95" s="107"/>
      <c r="BB95" s="107" t="str">
        <f t="shared" si="6"/>
        <v/>
      </c>
      <c r="BD95" s="441"/>
      <c r="BE95" s="23"/>
      <c r="BF95" s="24"/>
      <c r="BG95" s="24"/>
      <c r="BH95" s="25"/>
      <c r="BI95" s="451" t="str">
        <f t="shared" si="8"/>
        <v/>
      </c>
      <c r="BJ95" s="107"/>
      <c r="BK95" s="107" t="str">
        <f t="shared" si="9"/>
        <v/>
      </c>
    </row>
    <row r="96" spans="47:63">
      <c r="AU96" s="22"/>
      <c r="AV96" s="23"/>
      <c r="AW96" s="24"/>
      <c r="AX96" s="24"/>
      <c r="AY96" s="25"/>
      <c r="AZ96" s="451" t="str">
        <f t="shared" si="7"/>
        <v/>
      </c>
      <c r="BA96" s="107"/>
      <c r="BB96" s="107" t="str">
        <f t="shared" si="6"/>
        <v/>
      </c>
      <c r="BD96" s="441"/>
      <c r="BE96" s="23"/>
      <c r="BF96" s="24"/>
      <c r="BG96" s="24"/>
      <c r="BH96" s="25"/>
      <c r="BI96" s="451" t="str">
        <f t="shared" si="8"/>
        <v/>
      </c>
      <c r="BJ96" s="107"/>
      <c r="BK96" s="107" t="str">
        <f t="shared" si="9"/>
        <v/>
      </c>
    </row>
  </sheetData>
  <sheetProtection password="DD97" sheet="1"/>
  <mergeCells count="76">
    <mergeCell ref="U25:V25"/>
    <mergeCell ref="W25:X25"/>
    <mergeCell ref="Y25:Z25"/>
    <mergeCell ref="AA25:AB25"/>
    <mergeCell ref="AC25:AD25"/>
    <mergeCell ref="B25:G25"/>
    <mergeCell ref="H25:L25"/>
    <mergeCell ref="M25:N25"/>
    <mergeCell ref="O25:P25"/>
    <mergeCell ref="Q25:R25"/>
    <mergeCell ref="S25:T25"/>
    <mergeCell ref="AE20:AF20"/>
    <mergeCell ref="O24:P24"/>
    <mergeCell ref="Q24:R24"/>
    <mergeCell ref="S24:T24"/>
    <mergeCell ref="U24:V24"/>
    <mergeCell ref="W24:X24"/>
    <mergeCell ref="Y24:Z24"/>
    <mergeCell ref="AA24:AB24"/>
    <mergeCell ref="AC24:AD24"/>
    <mergeCell ref="S20:T20"/>
    <mergeCell ref="U20:V20"/>
    <mergeCell ref="W20:X20"/>
    <mergeCell ref="Y20:Z20"/>
    <mergeCell ref="AA20:AB20"/>
    <mergeCell ref="AC20:AD20"/>
    <mergeCell ref="U19:V19"/>
    <mergeCell ref="W19:X19"/>
    <mergeCell ref="Y19:Z19"/>
    <mergeCell ref="AA19:AB19"/>
    <mergeCell ref="AC19:AD19"/>
    <mergeCell ref="B20:G20"/>
    <mergeCell ref="H20:L20"/>
    <mergeCell ref="M20:N20"/>
    <mergeCell ref="O20:P20"/>
    <mergeCell ref="Q20:R20"/>
    <mergeCell ref="B19:G19"/>
    <mergeCell ref="H19:L19"/>
    <mergeCell ref="M19:N19"/>
    <mergeCell ref="Q19:R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AZ52:AZ87 BH5:BI35 BH38:BH58 BI37:BI58 AY5:AZ34 AZ36:AZ50 AY36:AY43 BH61:BH84 BH87 BI61:BI87 BH93:BI96 AZ93:AZ96">
    <cfRule type="cellIs" dxfId="101" priority="35" stopIfTrue="1" operator="equal">
      <formula>0</formula>
    </cfRule>
  </conditionalFormatting>
  <conditionalFormatting sqref="O17:AF17 Q19:T19 W20:AF20 O25:T25">
    <cfRule type="expression" dxfId="100" priority="34" stopIfTrue="1">
      <formula>$AW$4=0</formula>
    </cfRule>
  </conditionalFormatting>
  <conditionalFormatting sqref="AY52 AY54:AY56">
    <cfRule type="cellIs" dxfId="99" priority="33" stopIfTrue="1" operator="equal">
      <formula>0</formula>
    </cfRule>
  </conditionalFormatting>
  <conditionalFormatting sqref="AY57">
    <cfRule type="cellIs" dxfId="98" priority="32" stopIfTrue="1" operator="equal">
      <formula>0</formula>
    </cfRule>
  </conditionalFormatting>
  <conditionalFormatting sqref="AY61:AY70">
    <cfRule type="cellIs" dxfId="97" priority="31" stopIfTrue="1" operator="equal">
      <formula>0</formula>
    </cfRule>
  </conditionalFormatting>
  <conditionalFormatting sqref="BH37">
    <cfRule type="cellIs" dxfId="96" priority="30" stopIfTrue="1" operator="equal">
      <formula>0</formula>
    </cfRule>
  </conditionalFormatting>
  <conditionalFormatting sqref="AY44:AY49">
    <cfRule type="cellIs" dxfId="95" priority="29" stopIfTrue="1" operator="equal">
      <formula>0</formula>
    </cfRule>
  </conditionalFormatting>
  <conditionalFormatting sqref="AY50">
    <cfRule type="cellIs" dxfId="94" priority="28" stopIfTrue="1" operator="equal">
      <formula>0</formula>
    </cfRule>
  </conditionalFormatting>
  <conditionalFormatting sqref="AY58:AY60">
    <cfRule type="cellIs" dxfId="93" priority="27" stopIfTrue="1" operator="equal">
      <formula>0</formula>
    </cfRule>
  </conditionalFormatting>
  <conditionalFormatting sqref="BH85">
    <cfRule type="cellIs" dxfId="92" priority="26" stopIfTrue="1" operator="equal">
      <formula>0</formula>
    </cfRule>
  </conditionalFormatting>
  <conditionalFormatting sqref="AY71:AY87 AY93:AY96">
    <cfRule type="cellIs" dxfId="91" priority="24" stopIfTrue="1" operator="equal">
      <formula>0</formula>
    </cfRule>
  </conditionalFormatting>
  <conditionalFormatting sqref="AY53">
    <cfRule type="cellIs" dxfId="90" priority="22" stopIfTrue="1" operator="equal">
      <formula>0</formula>
    </cfRule>
  </conditionalFormatting>
  <conditionalFormatting sqref="BH86">
    <cfRule type="cellIs" dxfId="89" priority="21" stopIfTrue="1" operator="equal">
      <formula>0</formula>
    </cfRule>
  </conditionalFormatting>
  <conditionalFormatting sqref="F13:K13">
    <cfRule type="expression" dxfId="88" priority="20" stopIfTrue="1">
      <formula>$AW$4=1</formula>
    </cfRule>
  </conditionalFormatting>
  <conditionalFormatting sqref="U19:AD19">
    <cfRule type="expression" dxfId="87" priority="16" stopIfTrue="1">
      <formula>$AW$4=0</formula>
    </cfRule>
  </conditionalFormatting>
  <conditionalFormatting sqref="AC25:AD25">
    <cfRule type="expression" dxfId="86" priority="11" stopIfTrue="1">
      <formula>$AW$4=0</formula>
    </cfRule>
  </conditionalFormatting>
  <conditionalFormatting sqref="U25:V25">
    <cfRule type="expression" dxfId="85" priority="15" stopIfTrue="1">
      <formula>$AW$4=0</formula>
    </cfRule>
  </conditionalFormatting>
  <conditionalFormatting sqref="W25:X25">
    <cfRule type="expression" dxfId="84" priority="14" stopIfTrue="1">
      <formula>$AW$4=0</formula>
    </cfRule>
  </conditionalFormatting>
  <conditionalFormatting sqref="Y25:Z25">
    <cfRule type="expression" dxfId="83" priority="13" stopIfTrue="1">
      <formula>$AW$4=0</formula>
    </cfRule>
  </conditionalFormatting>
  <conditionalFormatting sqref="AA25:AB25">
    <cfRule type="expression" dxfId="82" priority="12" stopIfTrue="1">
      <formula>$AW$4=0</formula>
    </cfRule>
  </conditionalFormatting>
  <conditionalFormatting sqref="AZ51">
    <cfRule type="cellIs" dxfId="81" priority="10" stopIfTrue="1" operator="equal">
      <formula>0</formula>
    </cfRule>
  </conditionalFormatting>
  <conditionalFormatting sqref="AY51">
    <cfRule type="cellIs" dxfId="80" priority="9" stopIfTrue="1" operator="equal">
      <formula>0</formula>
    </cfRule>
  </conditionalFormatting>
  <conditionalFormatting sqref="BH36:BI36">
    <cfRule type="cellIs" dxfId="79" priority="8" stopIfTrue="1" operator="equal">
      <formula>0</formula>
    </cfRule>
  </conditionalFormatting>
  <conditionalFormatting sqref="AY35:AZ35">
    <cfRule type="cellIs" dxfId="78" priority="7" stopIfTrue="1" operator="equal">
      <formula>0</formula>
    </cfRule>
  </conditionalFormatting>
  <conditionalFormatting sqref="BH59:BI60">
    <cfRule type="cellIs" dxfId="77" priority="6" stopIfTrue="1" operator="equal">
      <formula>0</formula>
    </cfRule>
  </conditionalFormatting>
  <conditionalFormatting sqref="AZ88:AZ92">
    <cfRule type="cellIs" dxfId="76" priority="5" stopIfTrue="1" operator="equal">
      <formula>0</formula>
    </cfRule>
  </conditionalFormatting>
  <conditionalFormatting sqref="AY88:AY92">
    <cfRule type="cellIs" dxfId="75" priority="4" stopIfTrue="1" operator="equal">
      <formula>0</formula>
    </cfRule>
  </conditionalFormatting>
  <conditionalFormatting sqref="BH88 BH91:BH92">
    <cfRule type="cellIs" dxfId="74" priority="3" stopIfTrue="1" operator="equal">
      <formula>0</formula>
    </cfRule>
  </conditionalFormatting>
  <conditionalFormatting sqref="BI88:BI92">
    <cfRule type="cellIs" dxfId="73" priority="2" stopIfTrue="1" operator="equal">
      <formula>0</formula>
    </cfRule>
  </conditionalFormatting>
  <conditionalFormatting sqref="BH89:BH90">
    <cfRule type="cellIs" dxfId="72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9" tint="-0.249977111117893"/>
  </sheetPr>
  <dimension ref="A1:BK99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SUM(BB5:BB948)</f>
        <v>0</v>
      </c>
      <c r="BD4" s="105" t="s">
        <v>40</v>
      </c>
      <c r="BK4" s="444">
        <f>SUM(BK5:BK941)</f>
        <v>0</v>
      </c>
    </row>
    <row r="5" spans="1:63" ht="14.4" customHeight="1">
      <c r="AU5" s="441">
        <f>OBJ!B106</f>
        <v>9255262</v>
      </c>
      <c r="AV5" s="23" t="str">
        <f>VLOOKUP(AU5,CENY!$B$11:$G$1034,2,FALSE)</f>
        <v>AVANTECH YOU BOKY V SADĚ V187 MM NL270 MM STŘÍBRNÁ</v>
      </c>
      <c r="AW5" s="24">
        <f>VLOOKUP(AU5,CENY!$B$11:$G$1034,3,FALSE)</f>
        <v>1</v>
      </c>
      <c r="AX5" s="499">
        <v>4</v>
      </c>
      <c r="AY5" s="25">
        <f>2*(O19+O25)</f>
        <v>0</v>
      </c>
      <c r="AZ5" s="451">
        <f>IF(AY5="","",IF($AW$4=1,AY5,0))</f>
        <v>0</v>
      </c>
      <c r="BA5" s="107">
        <f>VLOOKUP(AU5,CENY!$B$11:$M$2005,12,FALSE)</f>
        <v>847.2</v>
      </c>
      <c r="BB5" s="107">
        <f t="shared" ref="BB5:BB58" si="0">IF(BA5="","",BA5*AY5)</f>
        <v>0</v>
      </c>
      <c r="BD5" s="441">
        <f>OBJ!B116</f>
        <v>9255044</v>
      </c>
      <c r="BE5" s="23" t="str">
        <f>VLOOKUP(BD5,CENY!$B$11:$G$1034,2,FALSE)</f>
        <v>AVANTECH YOU BOK V187 MM NL270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293.88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499</v>
      </c>
      <c r="G6" s="554"/>
      <c r="H6" s="554"/>
      <c r="I6" s="554"/>
      <c r="J6" s="554"/>
      <c r="K6" s="554"/>
      <c r="AU6" s="441">
        <f>OBJ!B107</f>
        <v>9255263</v>
      </c>
      <c r="AV6" s="23" t="str">
        <f>VLOOKUP(AU6,CENY!$B$11:$G$1034,2,FALSE)</f>
        <v>AVANTECH YOU BOKY V SADĚ V187 MM NL300 MM STŘÍBRNÁ</v>
      </c>
      <c r="AW6" s="24">
        <f>VLOOKUP(AU6,CENY!$B$11:$G$1034,3,FALSE)</f>
        <v>1</v>
      </c>
      <c r="AX6" s="499">
        <v>4</v>
      </c>
      <c r="AY6" s="25">
        <f>2*(Q19+Q25)</f>
        <v>0</v>
      </c>
      <c r="AZ6" s="451">
        <f t="shared" ref="AZ6:AZ59" si="1">IF(AY6="","",IF($AW$4=1,AY6,0))</f>
        <v>0</v>
      </c>
      <c r="BA6" s="107">
        <f>VLOOKUP(AU6,CENY!$B$11:$M$2005,12,FALSE)</f>
        <v>853.97</v>
      </c>
      <c r="BB6" s="107">
        <f t="shared" si="0"/>
        <v>0</v>
      </c>
      <c r="BD6" s="441">
        <f>OBJ!B117</f>
        <v>9255045</v>
      </c>
      <c r="BE6" s="23" t="str">
        <f>VLOOKUP(BD6,CENY!$B$11:$G$1034,2,FALSE)</f>
        <v>AVANTECH YOU BOK V187 MM NL270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2" si="2">IF(BH6="","",IF($AW$4=0,BH6,0))</f>
        <v>0</v>
      </c>
      <c r="BJ6" s="107">
        <f>VLOOKUP(BD6,CENY!$B$11:$M$2005,12,FALSE)</f>
        <v>293.88</v>
      </c>
      <c r="BK6" s="107">
        <f t="shared" ref="BK6:BK62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OBJ!B108</f>
        <v>9255264</v>
      </c>
      <c r="AV7" s="23" t="str">
        <f>VLOOKUP(AU7,CENY!$B$11:$G$1034,2,FALSE)</f>
        <v>AVANTECH YOU BOKY V SADĚ V187 MM NL350 MM STŘÍBRNÁ</v>
      </c>
      <c r="AW7" s="24">
        <f>VLOOKUP(AU7,CENY!$B$11:$G$1034,3,FALSE)</f>
        <v>1</v>
      </c>
      <c r="AX7" s="499">
        <v>6</v>
      </c>
      <c r="AY7" s="25">
        <f>2*(S19+S25)</f>
        <v>0</v>
      </c>
      <c r="AZ7" s="451">
        <f t="shared" si="1"/>
        <v>0</v>
      </c>
      <c r="BA7" s="107">
        <f>VLOOKUP(AU7,CENY!$B$11:$M$2005,12,FALSE)</f>
        <v>865.25</v>
      </c>
      <c r="BB7" s="107">
        <f t="shared" si="0"/>
        <v>0</v>
      </c>
      <c r="BD7" s="441">
        <f>OBJ!B118</f>
        <v>9255046</v>
      </c>
      <c r="BE7" s="23" t="str">
        <f>VLOOKUP(BD7,CENY!$B$11:$G$1034,2,FALSE)</f>
        <v>AVANTECH YOU BOK V187 MM NL300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297.16000000000003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OBJ!B109</f>
        <v>9255265</v>
      </c>
      <c r="AV8" s="23" t="str">
        <f>VLOOKUP(AU8,CENY!$B$11:$G$1034,2,FALSE)</f>
        <v>AVANTECH YOU BOKY V SADĚ V187 MM NL400 MM STŘÍBRNÁ</v>
      </c>
      <c r="AW8" s="24">
        <f>VLOOKUP(AU8,CENY!$B$11:$G$1034,3,FALSE)</f>
        <v>1</v>
      </c>
      <c r="AX8" s="499">
        <v>6</v>
      </c>
      <c r="AY8" s="25">
        <f>2*(U19+U25)</f>
        <v>0</v>
      </c>
      <c r="AZ8" s="451">
        <f t="shared" si="1"/>
        <v>0</v>
      </c>
      <c r="BA8" s="107">
        <f>VLOOKUP(AU8,CENY!$B$11:$M$2005,12,FALSE)</f>
        <v>876.53</v>
      </c>
      <c r="BB8" s="107">
        <f t="shared" si="0"/>
        <v>0</v>
      </c>
      <c r="BD8" s="441">
        <f>OBJ!B119</f>
        <v>9255047</v>
      </c>
      <c r="BE8" s="23" t="str">
        <f>VLOOKUP(BD8,CENY!$B$11:$G$1034,2,FALSE)</f>
        <v>AVANTECH YOU BOK V187 MM NL300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297.16000000000003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OBJ!B110</f>
        <v>9255266</v>
      </c>
      <c r="AV9" s="23" t="str">
        <f>VLOOKUP(AU9,CENY!$B$11:$G$1034,2,FALSE)</f>
        <v>AVANTECH YOU BOKY V SADĚ V187 MM NL450 MM STŘÍBRNÁ</v>
      </c>
      <c r="AW9" s="24">
        <f>VLOOKUP(AU9,CENY!$B$11:$G$1034,3,FALSE)</f>
        <v>1</v>
      </c>
      <c r="AX9" s="499">
        <v>6</v>
      </c>
      <c r="AY9" s="25">
        <f>2*(W19+W20+W25)</f>
        <v>0</v>
      </c>
      <c r="AZ9" s="451">
        <f t="shared" si="1"/>
        <v>0</v>
      </c>
      <c r="BA9" s="107">
        <f>VLOOKUP(AU9,CENY!$B$11:$M$2005,12,FALSE)</f>
        <v>887.81</v>
      </c>
      <c r="BB9" s="107">
        <f t="shared" si="0"/>
        <v>0</v>
      </c>
      <c r="BD9" s="441">
        <f>OBJ!B120</f>
        <v>9255048</v>
      </c>
      <c r="BE9" s="23" t="str">
        <f>VLOOKUP(BD9,CENY!$B$11:$G$1034,2,FALSE)</f>
        <v>AVANTECH YOU BOK V187 MM NL350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302.63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OBJ!B111</f>
        <v>9255267</v>
      </c>
      <c r="AV10" s="23" t="str">
        <f>VLOOKUP(AU10,CENY!$B$11:$G$1034,2,FALSE)</f>
        <v>AVANTECH YOU BOKY V SADĚ V187 MM NL500 MM STŘÍBRNÁ</v>
      </c>
      <c r="AW10" s="24">
        <f>VLOOKUP(AU10,CENY!$B$11:$G$1034,3,FALSE)</f>
        <v>1</v>
      </c>
      <c r="AX10" s="499">
        <v>8</v>
      </c>
      <c r="AY10" s="25">
        <f>2*(Y19+Y20+Y25)</f>
        <v>0</v>
      </c>
      <c r="AZ10" s="451">
        <f t="shared" si="1"/>
        <v>0</v>
      </c>
      <c r="BA10" s="107">
        <f>VLOOKUP(AU10,CENY!$B$11:$M$2005,12,FALSE)</f>
        <v>899.09</v>
      </c>
      <c r="BB10" s="107">
        <f t="shared" si="0"/>
        <v>0</v>
      </c>
      <c r="BD10" s="441">
        <f>OBJ!B121</f>
        <v>9255049</v>
      </c>
      <c r="BE10" s="23" t="str">
        <f>VLOOKUP(BD10,CENY!$B$11:$G$1034,2,FALSE)</f>
        <v>AVANTECH YOU BOK V187 MM NL350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302.63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OBJ!B112</f>
        <v>9255268</v>
      </c>
      <c r="AV11" s="23" t="str">
        <f>VLOOKUP(AU11,CENY!$B$11:$G$1034,2,FALSE)</f>
        <v>AVANTECH YOU BOKY V SADĚ V187 MM NL550 MM STŘÍBRNÁ</v>
      </c>
      <c r="AW11" s="24">
        <f>VLOOKUP(AU11,CENY!$B$11:$G$1034,3,FALSE)</f>
        <v>1</v>
      </c>
      <c r="AX11" s="499">
        <v>8</v>
      </c>
      <c r="AY11" s="25">
        <f>2*(AA19+AA20+AA25)</f>
        <v>0</v>
      </c>
      <c r="AZ11" s="451">
        <f t="shared" si="1"/>
        <v>0</v>
      </c>
      <c r="BA11" s="107">
        <f>VLOOKUP(AU11,CENY!$B$11:$M$2005,12,FALSE)</f>
        <v>910.37</v>
      </c>
      <c r="BB11" s="107">
        <f t="shared" si="0"/>
        <v>0</v>
      </c>
      <c r="BD11" s="441">
        <f>OBJ!B122</f>
        <v>9255050</v>
      </c>
      <c r="BE11" s="23" t="str">
        <f>VLOOKUP(BD11,CENY!$B$11:$G$1034,2,FALSE)</f>
        <v>AVANTECH YOU BOK V187 MM NL400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308.10000000000002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OBJ!B113</f>
        <v>9255269</v>
      </c>
      <c r="AV12" s="23" t="str">
        <f>VLOOKUP(AU12,CENY!$B$11:$G$1034,2,FALSE)</f>
        <v>AVANTECH YOU BOKY V SADĚ V187 MM NL600 MM STŘÍBRNÁ</v>
      </c>
      <c r="AW12" s="24">
        <f>VLOOKUP(AU12,CENY!$B$11:$G$1034,3,FALSE)</f>
        <v>1</v>
      </c>
      <c r="AX12" s="499">
        <v>8</v>
      </c>
      <c r="AY12" s="25">
        <f>2*(AC19+AC20+AC25)</f>
        <v>0</v>
      </c>
      <c r="AZ12" s="451">
        <f t="shared" si="1"/>
        <v>0</v>
      </c>
      <c r="BA12" s="107">
        <f>VLOOKUP(AU12,CENY!$B$11:$M$2005,12,FALSE)</f>
        <v>927.39</v>
      </c>
      <c r="BB12" s="107">
        <f t="shared" si="0"/>
        <v>0</v>
      </c>
      <c r="BD12" s="441">
        <f>OBJ!B123</f>
        <v>9255051</v>
      </c>
      <c r="BE12" s="23" t="str">
        <f>VLOOKUP(BD12,CENY!$B$11:$G$1034,2,FALSE)</f>
        <v>AVANTECH YOU BOK V187 MM NL400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308.10000000000002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OBJ!B114</f>
        <v>9255270</v>
      </c>
      <c r="AV13" s="23" t="str">
        <f>VLOOKUP(AU13,CENY!$B$11:$G$1034,2,FALSE)</f>
        <v>AVANTECH YOU BOKY V SADĚ V187 MM NL650 MM STŘÍBRNÁ</v>
      </c>
      <c r="AW13" s="24">
        <f>VLOOKUP(AU13,CENY!$B$11:$G$1034,3,FALSE)</f>
        <v>1</v>
      </c>
      <c r="AX13" s="499">
        <v>10</v>
      </c>
      <c r="AY13" s="25">
        <f>2*(AE20)</f>
        <v>0</v>
      </c>
      <c r="AZ13" s="451">
        <f t="shared" si="1"/>
        <v>0</v>
      </c>
      <c r="BA13" s="107">
        <f>VLOOKUP(AU13,CENY!$B$11:$M$2005,12,FALSE)</f>
        <v>950.52</v>
      </c>
      <c r="BB13" s="107">
        <f t="shared" si="0"/>
        <v>0</v>
      </c>
      <c r="BD13" s="441">
        <f>OBJ!B124</f>
        <v>9255052</v>
      </c>
      <c r="BE13" s="23" t="str">
        <f>VLOOKUP(BD13,CENY!$B$11:$G$1034,2,FALSE)</f>
        <v>AVANTECH YOU BOK V187 MM NL450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313.57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OBJ!B125</f>
        <v>9255053</v>
      </c>
      <c r="BE14" s="23" t="str">
        <f>VLOOKUP(BD14,CENY!$B$11:$G$1034,2,FALSE)</f>
        <v>AVANTECH YOU BOK V187 MM NL450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313.57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AVANTECH YOU DEKORATIVNÍ PROFIL NL270 MM STŘÍBRNÝ</v>
      </c>
      <c r="AW15" s="24">
        <f>VLOOKUP(AU15,CENY!$B$11:$G$1034,3,FALSE)</f>
        <v>200</v>
      </c>
      <c r="AX15" s="24"/>
      <c r="AY15" s="25">
        <f>IF(FORM!AM18=FORM!AU16,0,4*(O19+O25))</f>
        <v>0</v>
      </c>
      <c r="AZ15" s="451">
        <f t="shared" si="1"/>
        <v>0</v>
      </c>
      <c r="BA15" s="107">
        <f>VLOOKUP(AU15,CENY!$B$11:$M$2005,12,FALSE)</f>
        <v>9.18</v>
      </c>
      <c r="BB15" s="107">
        <f t="shared" si="0"/>
        <v>0</v>
      </c>
      <c r="BD15" s="441">
        <f>OBJ!B126</f>
        <v>9255054</v>
      </c>
      <c r="BE15" s="23" t="str">
        <f>VLOOKUP(BD15,CENY!$B$11:$G$1034,2,FALSE)</f>
        <v>AVANTECH YOU BOK V187 MM NL500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319.02999999999997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AVANTECH YOU DEKORATIVNÍ PROFIL NL300 MM STŘÍBRNÝ</v>
      </c>
      <c r="AW16" s="24">
        <f>VLOOKUP(AU16,CENY!$B$11:$G$1034,3,FALSE)</f>
        <v>200</v>
      </c>
      <c r="AX16" s="24"/>
      <c r="AY16" s="25">
        <f>IF(FORM!AM18=FORM!AU16,0,4*(Q19+Q25))</f>
        <v>0</v>
      </c>
      <c r="AZ16" s="451">
        <f t="shared" si="1"/>
        <v>0</v>
      </c>
      <c r="BA16" s="107">
        <f>VLOOKUP(AU16,CENY!$B$11:$M$2005,12,FALSE)</f>
        <v>9.2799999999999994</v>
      </c>
      <c r="BB16" s="107">
        <f t="shared" si="0"/>
        <v>0</v>
      </c>
      <c r="BD16" s="441">
        <f>OBJ!B127</f>
        <v>9255055</v>
      </c>
      <c r="BE16" s="23" t="str">
        <f>VLOOKUP(BD16,CENY!$B$11:$G$1034,2,FALSE)</f>
        <v>AVANTECH YOU BOK V187 MM NL500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319.02999999999997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OBJ!B73</f>
        <v>9255806</v>
      </c>
      <c r="AV17" s="23" t="str">
        <f>VLOOKUP(AU17,CENY!$B$11:$G$1034,2,FALSE)</f>
        <v>AVANTECH YOU DEKORATIVNÍ PROFIL NL350 MM STŘÍBRNÝ</v>
      </c>
      <c r="AW17" s="24">
        <f>VLOOKUP(AU17,CENY!$B$11:$G$1034,3,FALSE)</f>
        <v>200</v>
      </c>
      <c r="AX17" s="24"/>
      <c r="AY17" s="25">
        <f>IF(FORM!AM18=FORM!AU16,0,4*(S19+S25))</f>
        <v>0</v>
      </c>
      <c r="AZ17" s="451">
        <f t="shared" si="1"/>
        <v>0</v>
      </c>
      <c r="BA17" s="107">
        <f>VLOOKUP(AU17,CENY!$B$11:$M$2005,12,FALSE)</f>
        <v>9.4499999999999993</v>
      </c>
      <c r="BB17" s="107">
        <f t="shared" si="0"/>
        <v>0</v>
      </c>
      <c r="BD17" s="441">
        <f>OBJ!B128</f>
        <v>9255056</v>
      </c>
      <c r="BE17" s="23" t="str">
        <f>VLOOKUP(BD17,CENY!$B$11:$G$1034,2,FALSE)</f>
        <v>AVANTECH YOU BOK V187 MM NL550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324.5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OBJ!B74</f>
        <v>9255807</v>
      </c>
      <c r="AV18" s="23" t="str">
        <f>VLOOKUP(AU18,CENY!$B$11:$G$1034,2,FALSE)</f>
        <v>AVANTECH YOU DEKORATIVNÍ PROFIL NL400 MM STŘÍBRNÝ</v>
      </c>
      <c r="AW18" s="24">
        <f>VLOOKUP(AU18,CENY!$B$11:$G$1034,3,FALSE)</f>
        <v>200</v>
      </c>
      <c r="AX18" s="24"/>
      <c r="AY18" s="25">
        <f>IF(FORM!AM18=FORM!AU16,0,4*(U19+U25))</f>
        <v>0</v>
      </c>
      <c r="AZ18" s="451">
        <f t="shared" si="1"/>
        <v>0</v>
      </c>
      <c r="BA18" s="107">
        <f>VLOOKUP(AU18,CENY!$B$11:$M$2005,12,FALSE)</f>
        <v>9.6199999999999992</v>
      </c>
      <c r="BB18" s="107">
        <f t="shared" si="0"/>
        <v>0</v>
      </c>
      <c r="BD18" s="441">
        <f>OBJ!B129</f>
        <v>9255057</v>
      </c>
      <c r="BE18" s="23" t="str">
        <f>VLOOKUP(BD18,CENY!$B$11:$G$1034,2,FALSE)</f>
        <v>AVANTECH YOU BOK V187 MM NL550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324.5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617"/>
      <c r="P19" s="672"/>
      <c r="Q19" s="673"/>
      <c r="R19" s="618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OBJ!B75</f>
        <v>9255808</v>
      </c>
      <c r="AV19" s="23" t="str">
        <f>VLOOKUP(AU19,CENY!$B$11:$G$1034,2,FALSE)</f>
        <v>AVANTECH YOU DEKORATIVNÍ PROFIL NL450 MM STŘÍBRNÝ</v>
      </c>
      <c r="AW19" s="24">
        <f>VLOOKUP(AU19,CENY!$B$11:$G$1034,3,FALSE)</f>
        <v>200</v>
      </c>
      <c r="AX19" s="24"/>
      <c r="AY19" s="25">
        <f>IF(FORM!AM18=FORM!AU16,0,4*(W19+W20+W25))</f>
        <v>0</v>
      </c>
      <c r="AZ19" s="451">
        <f t="shared" si="1"/>
        <v>0</v>
      </c>
      <c r="BA19" s="107">
        <f>VLOOKUP(AU19,CENY!$B$11:$M$2005,12,FALSE)</f>
        <v>9.8000000000000007</v>
      </c>
      <c r="BB19" s="107">
        <f t="shared" si="0"/>
        <v>0</v>
      </c>
      <c r="BD19" s="441">
        <f>OBJ!B130</f>
        <v>9255058</v>
      </c>
      <c r="BE19" s="23" t="str">
        <f>VLOOKUP(BD19,CENY!$B$11:$G$1034,2,FALSE)</f>
        <v>AVANTECH YOU BOK V187 MM NL600 MM STŘÍBRNÝ LEVÝ</v>
      </c>
      <c r="BF19" s="24">
        <f>VLOOKUP(BD19,CENY!$B$11:$G$1034,3,FALSE)</f>
        <v>10</v>
      </c>
      <c r="BG19" s="24"/>
      <c r="BH19" s="25">
        <f>AY12</f>
        <v>0</v>
      </c>
      <c r="BI19" s="451">
        <f t="shared" si="2"/>
        <v>0</v>
      </c>
      <c r="BJ19" s="107">
        <f>VLOOKUP(BD19,CENY!$B$11:$M$2005,12,FALSE)</f>
        <v>332.75</v>
      </c>
      <c r="BK19" s="107">
        <f t="shared" si="3"/>
        <v>0</v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43"/>
      <c r="AF20" s="674"/>
      <c r="AU20" s="441">
        <f>OBJ!B76</f>
        <v>9255809</v>
      </c>
      <c r="AV20" s="23" t="str">
        <f>VLOOKUP(AU20,CENY!$B$11:$G$1034,2,FALSE)</f>
        <v>AVANTECH YOU DEKORATIVNÍ PROFIL NL500 MM STŘÍBRNÝ</v>
      </c>
      <c r="AW20" s="24">
        <f>VLOOKUP(AU20,CENY!$B$11:$G$1034,3,FALSE)</f>
        <v>200</v>
      </c>
      <c r="AX20" s="24"/>
      <c r="AY20" s="25">
        <f>IF(FORM!AM18=FORM!AU16,0,4*(Y19+Y20+Y25))</f>
        <v>0</v>
      </c>
      <c r="AZ20" s="451">
        <f t="shared" si="1"/>
        <v>0</v>
      </c>
      <c r="BA20" s="107">
        <f>VLOOKUP(AU20,CENY!$B$11:$M$2005,12,FALSE)</f>
        <v>9.9700000000000006</v>
      </c>
      <c r="BB20" s="107">
        <f t="shared" si="0"/>
        <v>0</v>
      </c>
      <c r="BD20" s="441">
        <f>OBJ!B131</f>
        <v>9255059</v>
      </c>
      <c r="BE20" s="23" t="str">
        <f>VLOOKUP(BD20,CENY!$B$11:$G$1034,2,FALSE)</f>
        <v>AVANTECH YOU BOK V187 MM NL600 MM STŘÍBRNÝ PRAVÝ</v>
      </c>
      <c r="BF20" s="24">
        <f>VLOOKUP(BD20,CENY!$B$11:$G$1034,3,FALSE)</f>
        <v>10</v>
      </c>
      <c r="BG20" s="24"/>
      <c r="BH20" s="25">
        <f>AY12</f>
        <v>0</v>
      </c>
      <c r="BI20" s="451">
        <f t="shared" si="2"/>
        <v>0</v>
      </c>
      <c r="BJ20" s="107">
        <f>VLOOKUP(BD20,CENY!$B$11:$M$2005,12,FALSE)</f>
        <v>332.75</v>
      </c>
      <c r="BK20" s="107">
        <f t="shared" si="3"/>
        <v>0</v>
      </c>
    </row>
    <row r="21" spans="2:63" ht="14.4" customHeight="1">
      <c r="O21" s="4"/>
      <c r="P21" s="4"/>
      <c r="AU21" s="441">
        <f>OBJ!B77</f>
        <v>9255810</v>
      </c>
      <c r="AV21" s="23" t="str">
        <f>VLOOKUP(AU21,CENY!$B$11:$G$1034,2,FALSE)</f>
        <v>AVANTECH YOU DEKORATIVNÍ PROFIL NL550 MM STŘÍBRNÝ</v>
      </c>
      <c r="AW21" s="24">
        <f>VLOOKUP(AU21,CENY!$B$11:$G$1034,3,FALSE)</f>
        <v>200</v>
      </c>
      <c r="AX21" s="24"/>
      <c r="AY21" s="25">
        <f>IF(FORM!AM18=FORM!AU16,0,4*(AA19+AA20+AA25))</f>
        <v>0</v>
      </c>
      <c r="AZ21" s="451">
        <f t="shared" si="1"/>
        <v>0</v>
      </c>
      <c r="BA21" s="107">
        <f>VLOOKUP(AU21,CENY!$B$11:$M$2005,12,FALSE)</f>
        <v>10.14</v>
      </c>
      <c r="BB21" s="107">
        <f t="shared" si="0"/>
        <v>0</v>
      </c>
      <c r="BD21" s="441">
        <f>OBJ!B132</f>
        <v>9255060</v>
      </c>
      <c r="BE21" s="23" t="str">
        <f>VLOOKUP(BD21,CENY!$B$11:$G$1034,2,FALSE)</f>
        <v>AVANTECH YOU BOK V187 MM NL650 MM STŘÍBRNÝ LEVÝ</v>
      </c>
      <c r="BF21" s="24">
        <f>VLOOKUP(BD21,CENY!$B$11:$G$1034,3,FALSE)</f>
        <v>10</v>
      </c>
      <c r="BG21" s="24"/>
      <c r="BH21" s="25">
        <f>AY13</f>
        <v>0</v>
      </c>
      <c r="BI21" s="451">
        <f t="shared" si="2"/>
        <v>0</v>
      </c>
      <c r="BJ21" s="107">
        <f>VLOOKUP(BD21,CENY!$B$11:$M$2005,12,FALSE)</f>
        <v>343.97</v>
      </c>
      <c r="BK21" s="107">
        <f t="shared" si="3"/>
        <v>0</v>
      </c>
    </row>
    <row r="22" spans="2:63" ht="14.4" customHeight="1">
      <c r="AU22" s="441">
        <f>OBJ!B78</f>
        <v>9255811</v>
      </c>
      <c r="AV22" s="23" t="str">
        <f>VLOOKUP(AU22,CENY!$B$11:$G$1034,2,FALSE)</f>
        <v>AVANTECH YOU DEKORATIVNÍ PROFIL NL600 MM STŘÍBRNÝ</v>
      </c>
      <c r="AW22" s="24">
        <f>VLOOKUP(AU22,CENY!$B$11:$G$1034,3,FALSE)</f>
        <v>200</v>
      </c>
      <c r="AX22" s="24"/>
      <c r="AY22" s="25">
        <f>IF(FORM!AM18=FORM!AU16,0,4*(AC19+AC20+AC25))</f>
        <v>0</v>
      </c>
      <c r="AZ22" s="451">
        <f t="shared" si="1"/>
        <v>0</v>
      </c>
      <c r="BA22" s="107">
        <f>VLOOKUP(AU22,CENY!$B$11:$M$2005,12,FALSE)</f>
        <v>10.39</v>
      </c>
      <c r="BB22" s="107">
        <f t="shared" si="0"/>
        <v>0</v>
      </c>
      <c r="BD22" s="441">
        <f>OBJ!B133</f>
        <v>9255061</v>
      </c>
      <c r="BE22" s="23" t="str">
        <f>VLOOKUP(BD22,CENY!$B$11:$G$1034,2,FALSE)</f>
        <v>AVANTECH YOU BOK V187 MM NL650 MM STŘÍBRNÝ PRAVÝ</v>
      </c>
      <c r="BF22" s="24">
        <f>VLOOKUP(BD22,CENY!$B$11:$G$1034,3,FALSE)</f>
        <v>10</v>
      </c>
      <c r="BG22" s="24"/>
      <c r="BH22" s="25">
        <f>AY13</f>
        <v>0</v>
      </c>
      <c r="BI22" s="451">
        <f t="shared" si="2"/>
        <v>0</v>
      </c>
      <c r="BJ22" s="107">
        <f>VLOOKUP(BD22,CENY!$B$11:$M$2005,12,FALSE)</f>
        <v>343.97</v>
      </c>
      <c r="BK22" s="107">
        <f t="shared" si="3"/>
        <v>0</v>
      </c>
    </row>
    <row r="23" spans="2:63" ht="14.4" customHeight="1" thickBot="1">
      <c r="B23" s="2" t="s">
        <v>391</v>
      </c>
      <c r="AU23" s="441">
        <f>OBJ!B79</f>
        <v>9255812</v>
      </c>
      <c r="AV23" s="23" t="str">
        <f>VLOOKUP(AU23,CENY!$B$11:$G$1034,2,FALSE)</f>
        <v>AVANTECH YOU DEKORATIVNÍ PROFIL NL650 MM STŘÍBRNÝ</v>
      </c>
      <c r="AW23" s="24">
        <f>VLOOKUP(AU23,CENY!$B$11:$G$1034,3,FALSE)</f>
        <v>200</v>
      </c>
      <c r="AX23" s="24"/>
      <c r="AY23" s="25">
        <f>IF(FORM!AM18=FORM!AU16,0,4*AE20)</f>
        <v>0</v>
      </c>
      <c r="AZ23" s="451">
        <f t="shared" si="1"/>
        <v>0</v>
      </c>
      <c r="BA23" s="107">
        <f>VLOOKUP(AU23,CENY!$B$11:$M$2005,12,FALSE)</f>
        <v>10.74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Jmenovitá délka: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OBJ!B135</f>
        <v>9255838</v>
      </c>
      <c r="BE24" s="23" t="str">
        <f>VLOOKUP(BD24,CENY!$B$11:$G$1034,2,FALSE)</f>
        <v>AVANTECH YOU PŘÍCHYTKA ČELA V187 / 251 MM K NAŠROUBOVÁNÍ</v>
      </c>
      <c r="BF24" s="24">
        <f>VLOOKUP(BD24,CENY!$B$11:$G$1034,3,FALSE)</f>
        <v>200</v>
      </c>
      <c r="BG24" s="24"/>
      <c r="BH24" s="25">
        <f>4*(SUM(O19:AD19)+SUM(W20:AF20)+SUM(O25:AD25))</f>
        <v>0</v>
      </c>
      <c r="BI24" s="451">
        <f t="shared" si="2"/>
        <v>0</v>
      </c>
      <c r="BJ24" s="107">
        <f>VLOOKUP(BD24,CENY!$B$11:$M$2005,12,FALSE)</f>
        <v>53.15</v>
      </c>
      <c r="BK24" s="107">
        <f t="shared" si="3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617"/>
      <c r="P25" s="672"/>
      <c r="Q25" s="673"/>
      <c r="R25" s="672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OBJ!B236</f>
        <v>9256999</v>
      </c>
      <c r="AV25" s="23" t="str">
        <f>VLOOKUP(AU25,CENY!$B$11:$G$1034,2,FALSE)</f>
        <v>ACTRO YOU 40KG PLNOVÝSUV 270 MM EB21 SILENT SYSTEM SADA</v>
      </c>
      <c r="AW25" s="24">
        <f>VLOOKUP(AU25,CENY!$B$11:$G$1034,3,FALSE)</f>
        <v>1</v>
      </c>
      <c r="AX25" s="499">
        <v>8</v>
      </c>
      <c r="AY25" s="25">
        <f>O19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AVANTECH YOU STABILIZÁTOR ZAD V101/139/187/251 MM</v>
      </c>
      <c r="BF25" s="24">
        <f>VLOOKUP(BD25,CENY!$B$11:$G$1034,3,FALSE)</f>
        <v>200</v>
      </c>
      <c r="BG25" s="24"/>
      <c r="BH25" s="25">
        <f>0*(SUM(O19:AD19)+SUM(W20:AF20)+SUM(O25:AD25))</f>
        <v>0</v>
      </c>
      <c r="BI25" s="451">
        <f t="shared" si="2"/>
        <v>0</v>
      </c>
      <c r="BJ25" s="107">
        <f>VLOOKUP(BD25,CENY!$B$11:$M$2005,12,FALSE)</f>
        <v>13.29</v>
      </c>
      <c r="BK25" s="107">
        <f t="shared" si="3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OBJ!B237</f>
        <v>9257000</v>
      </c>
      <c r="AV26" s="23" t="str">
        <f>VLOOKUP(AU26,CENY!$B$11:$G$1034,2,FALSE)</f>
        <v>ACTRO YOU 40KG PLNOVÝSUV 300 MM EB21 SILENT SYSTEM SADA</v>
      </c>
      <c r="AW26" s="24">
        <f>VLOOKUP(AU26,CENY!$B$11:$G$1034,3,FALSE)</f>
        <v>1</v>
      </c>
      <c r="AX26" s="499">
        <v>8</v>
      </c>
      <c r="AY26" s="25">
        <f>Q19</f>
        <v>0</v>
      </c>
      <c r="AZ26" s="451">
        <f t="shared" si="1"/>
        <v>0</v>
      </c>
      <c r="BA26" s="107">
        <f>VLOOKUP(AU26,CENY!$B$11:$M$2005,12,FALSE)</f>
        <v>561.63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>
      <c r="B27" s="505" t="str">
        <f>verze!E201</f>
        <v>SiSy = tlumení Silent System</v>
      </c>
      <c r="AU27" s="441">
        <f>OBJ!B238</f>
        <v>9257002</v>
      </c>
      <c r="AV27" s="23" t="str">
        <f>VLOOKUP(AU27,CENY!$B$11:$G$1034,2,FALSE)</f>
        <v>ACTRO YOU 40KG PLNOVÝSUV 350 MM EB21 SILENT SYSTEM SADA</v>
      </c>
      <c r="AW27" s="24">
        <f>VLOOKUP(AU27,CENY!$B$11:$G$1034,3,FALSE)</f>
        <v>1</v>
      </c>
      <c r="AX27" s="499">
        <v>8</v>
      </c>
      <c r="AY27" s="25">
        <f>S19</f>
        <v>0</v>
      </c>
      <c r="AZ27" s="451">
        <f t="shared" si="1"/>
        <v>0</v>
      </c>
      <c r="BA27" s="107">
        <f>VLOOKUP(AU27,CENY!$B$11:$M$2005,12,FALSE)</f>
        <v>561.63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AVANTECH YOU DEKORATIVNÍ PROFIL NL270 MM STŘÍBRNÝ</v>
      </c>
      <c r="BF27" s="24">
        <f>VLOOKUP(BD27,CENY!$B$11:$G$1034,3,FALSE)</f>
        <v>200</v>
      </c>
      <c r="BG27" s="24"/>
      <c r="BH27" s="25">
        <f>4*(O19+O25)</f>
        <v>0</v>
      </c>
      <c r="BI27" s="451">
        <f t="shared" si="2"/>
        <v>0</v>
      </c>
      <c r="BJ27" s="107">
        <f>VLOOKUP(BD27,CENY!$B$11:$M$2005,12,FALSE)</f>
        <v>9.18</v>
      </c>
      <c r="BK27" s="107">
        <f t="shared" si="3"/>
        <v>0</v>
      </c>
    </row>
    <row r="28" spans="2:63" ht="14.4" customHeight="1">
      <c r="B28" s="505"/>
      <c r="O28" s="476" t="str">
        <f>verze!E189</f>
        <v>Maximální výška korpusu skříňky = 750mm.   Maximální šířka korpusu skříňky = 300mm.</v>
      </c>
      <c r="AU28" s="441">
        <f>OBJ!B239</f>
        <v>9257004</v>
      </c>
      <c r="AV28" s="23" t="str">
        <f>VLOOKUP(AU28,CENY!$B$11:$G$1034,2,FALSE)</f>
        <v>ACTRO YOU 40KG PLNOVÝSUV 400 MM EB21 SILENT SYSTEM SADA</v>
      </c>
      <c r="AW28" s="24">
        <f>VLOOKUP(AU28,CENY!$B$11:$G$1034,3,FALSE)</f>
        <v>1</v>
      </c>
      <c r="AX28" s="499">
        <v>8</v>
      </c>
      <c r="AY28" s="25">
        <f>U19</f>
        <v>0</v>
      </c>
      <c r="AZ28" s="451">
        <f t="shared" si="1"/>
        <v>0</v>
      </c>
      <c r="BA28" s="107">
        <f>VLOOKUP(AU28,CENY!$B$11:$M$2005,12,FALSE)</f>
        <v>567.85</v>
      </c>
      <c r="BB28" s="107">
        <f t="shared" si="0"/>
        <v>0</v>
      </c>
      <c r="BD28" s="441">
        <f>OBJ!B72</f>
        <v>9255805</v>
      </c>
      <c r="BE28" s="23" t="str">
        <f>VLOOKUP(BD28,CENY!$B$11:$G$1034,2,FALSE)</f>
        <v>AVANTECH YOU DEKORATIVNÍ PROFIL NL300 MM STŘÍBRNÝ</v>
      </c>
      <c r="BF28" s="24">
        <f>VLOOKUP(BD28,CENY!$B$11:$G$1034,3,FALSE)</f>
        <v>200</v>
      </c>
      <c r="BG28" s="24"/>
      <c r="BH28" s="25">
        <f>4*(Q19+Q25)</f>
        <v>0</v>
      </c>
      <c r="BI28" s="451">
        <f t="shared" si="2"/>
        <v>0</v>
      </c>
      <c r="BJ28" s="107">
        <f>VLOOKUP(BD28,CENY!$B$11:$M$2005,12,FALSE)</f>
        <v>9.2799999999999994</v>
      </c>
      <c r="BK28" s="107">
        <f t="shared" si="3"/>
        <v>0</v>
      </c>
    </row>
    <row r="29" spans="2:63" ht="14.4" customHeight="1">
      <c r="B29" s="505"/>
      <c r="Q29" s="476"/>
      <c r="AU29" s="441">
        <f>OBJ!B240</f>
        <v>9257006</v>
      </c>
      <c r="AV29" s="23" t="str">
        <f>VLOOKUP(AU29,CENY!$B$11:$G$1034,2,FALSE)</f>
        <v>ACTRO YOU 40KG PLNOVÝSUV 450 MM EB21 SILENT SYSTEM SADA</v>
      </c>
      <c r="AW29" s="24">
        <f>VLOOKUP(AU29,CENY!$B$11:$G$1034,3,FALSE)</f>
        <v>1</v>
      </c>
      <c r="AX29" s="499">
        <v>10</v>
      </c>
      <c r="AY29" s="25">
        <f>W19</f>
        <v>0</v>
      </c>
      <c r="AZ29" s="451">
        <f t="shared" si="1"/>
        <v>0</v>
      </c>
      <c r="BA29" s="107">
        <f>VLOOKUP(AU29,CENY!$B$11:$M$2005,12,FALSE)</f>
        <v>574.04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AVANTECH YOU DEKORATIVNÍ PROFIL NL350 MM STŘÍBRNÝ</v>
      </c>
      <c r="BF29" s="24">
        <f>VLOOKUP(BD29,CENY!$B$11:$G$1034,3,FALSE)</f>
        <v>200</v>
      </c>
      <c r="BG29" s="24"/>
      <c r="BH29" s="25">
        <f>4*(S19+S25)</f>
        <v>0</v>
      </c>
      <c r="BI29" s="451">
        <f t="shared" si="2"/>
        <v>0</v>
      </c>
      <c r="BJ29" s="107">
        <f>VLOOKUP(BD29,CENY!$B$11:$M$2005,12,FALSE)</f>
        <v>9.4499999999999993</v>
      </c>
      <c r="BK29" s="107">
        <f t="shared" si="3"/>
        <v>0</v>
      </c>
    </row>
    <row r="30" spans="2:63" ht="14.4" customHeight="1">
      <c r="AU30" s="441">
        <f>OBJ!B241</f>
        <v>9257008</v>
      </c>
      <c r="AV30" s="23" t="str">
        <f>VLOOKUP(AU30,CENY!$B$11:$G$1034,2,FALSE)</f>
        <v>ACTRO YOU 40KG PLNOVÝSUV 500 MM EB21 SILENT SYSTEM SADA</v>
      </c>
      <c r="AW30" s="24">
        <f>VLOOKUP(AU30,CENY!$B$11:$G$1034,3,FALSE)</f>
        <v>1</v>
      </c>
      <c r="AX30" s="499">
        <v>10</v>
      </c>
      <c r="AY30" s="25">
        <f>Y19</f>
        <v>0</v>
      </c>
      <c r="AZ30" s="451">
        <f t="shared" si="1"/>
        <v>0</v>
      </c>
      <c r="BA30" s="107">
        <f>VLOOKUP(AU30,CENY!$B$11:$M$2005,12,FALSE)</f>
        <v>580.26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AVANTECH YOU DEKORATIVNÍ PROFIL NL400 MM STŘÍBRNÝ</v>
      </c>
      <c r="BF30" s="24">
        <f>VLOOKUP(BD30,CENY!$B$11:$G$1034,3,FALSE)</f>
        <v>200</v>
      </c>
      <c r="BG30" s="24"/>
      <c r="BH30" s="25">
        <f>4*(U19+U25)</f>
        <v>0</v>
      </c>
      <c r="BI30" s="451">
        <f t="shared" si="2"/>
        <v>0</v>
      </c>
      <c r="BJ30" s="107">
        <f>VLOOKUP(BD30,CENY!$B$11:$M$2005,12,FALSE)</f>
        <v>9.6199999999999992</v>
      </c>
      <c r="BK30" s="107">
        <f t="shared" si="3"/>
        <v>0</v>
      </c>
    </row>
    <row r="31" spans="2:63" ht="14.4" customHeight="1">
      <c r="AU31" s="441">
        <f>OBJ!B242</f>
        <v>9257010</v>
      </c>
      <c r="AV31" s="23" t="str">
        <f>VLOOKUP(AU31,CENY!$B$11:$G$1034,2,FALSE)</f>
        <v>ACTRO YOU 40KG PLNOVÝSUV 550 MM EB21 SILENT SYSTEM SADA</v>
      </c>
      <c r="AW31" s="24">
        <f>VLOOKUP(AU31,CENY!$B$11:$G$1034,3,FALSE)</f>
        <v>1</v>
      </c>
      <c r="AX31" s="499">
        <v>10</v>
      </c>
      <c r="AY31" s="25">
        <f>AA19</f>
        <v>0</v>
      </c>
      <c r="AZ31" s="451">
        <f t="shared" si="1"/>
        <v>0</v>
      </c>
      <c r="BA31" s="107">
        <f>VLOOKUP(AU31,CENY!$B$11:$M$2005,12,FALSE)</f>
        <v>613.44000000000005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AVANTECH YOU DEKORATIVNÍ PROFIL NL450 MM STŘÍBRNÝ</v>
      </c>
      <c r="BF31" s="24">
        <f>VLOOKUP(BD31,CENY!$B$11:$G$1034,3,FALSE)</f>
        <v>200</v>
      </c>
      <c r="BG31" s="24"/>
      <c r="BH31" s="25">
        <f>4*(W19+W20+W25)</f>
        <v>0</v>
      </c>
      <c r="BI31" s="451">
        <f t="shared" si="2"/>
        <v>0</v>
      </c>
      <c r="BJ31" s="107">
        <f>VLOOKUP(BD31,CENY!$B$11:$M$2005,12,FALSE)</f>
        <v>9.8000000000000007</v>
      </c>
      <c r="BK31" s="107">
        <f t="shared" si="3"/>
        <v>0</v>
      </c>
    </row>
    <row r="32" spans="2:63" ht="14.4" customHeight="1">
      <c r="AU32" s="441">
        <f>OBJ!B243</f>
        <v>9268681</v>
      </c>
      <c r="AV32" s="23" t="str">
        <f>VLOOKUP(AU32,CENY!$B$11:$G$1034,2,FALSE)</f>
        <v>ACTRO YOU 40KG PLNOVÝSUV 600 MM EB21 SILENT SYSTÉM SADA</v>
      </c>
      <c r="AW32" s="24">
        <f>VLOOKUP(AU32,CENY!$B$11:$G$1034,3,FALSE)</f>
        <v>1</v>
      </c>
      <c r="AX32" s="499">
        <v>10</v>
      </c>
      <c r="AY32" s="25">
        <f>AC19</f>
        <v>0</v>
      </c>
      <c r="AZ32" s="451">
        <f t="shared" si="1"/>
        <v>0</v>
      </c>
      <c r="BA32" s="107">
        <f>VLOOKUP(AU32,CENY!$B$11:$M$2005,12,FALSE)</f>
        <v>620.78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AVANTECH YOU DEKORATIVNÍ PROFIL NL500 MM STŘÍBRNÝ</v>
      </c>
      <c r="BF32" s="24">
        <f>VLOOKUP(BD32,CENY!$B$11:$G$1034,3,FALSE)</f>
        <v>200</v>
      </c>
      <c r="BG32" s="24"/>
      <c r="BH32" s="25">
        <f>4*(Y19+Y20+Y25)</f>
        <v>0</v>
      </c>
      <c r="BI32" s="451">
        <f t="shared" si="2"/>
        <v>0</v>
      </c>
      <c r="BJ32" s="107">
        <f>VLOOKUP(BD32,CENY!$B$11:$M$2005,12,FALSE)</f>
        <v>9.9700000000000006</v>
      </c>
      <c r="BK32" s="107">
        <f t="shared" si="3"/>
        <v>0</v>
      </c>
    </row>
    <row r="33" spans="47:63" ht="14.4" customHeight="1">
      <c r="AU33" s="441"/>
      <c r="AV33" s="23"/>
      <c r="AW33" s="24"/>
      <c r="AX33" s="24"/>
      <c r="AY33" s="25"/>
      <c r="AZ33" s="451" t="str">
        <f t="shared" si="1"/>
        <v/>
      </c>
      <c r="BA33" s="107"/>
      <c r="BB33" s="107" t="str">
        <f t="shared" si="0"/>
        <v/>
      </c>
      <c r="BD33" s="441">
        <f>OBJ!B77</f>
        <v>9255810</v>
      </c>
      <c r="BE33" s="23" t="str">
        <f>VLOOKUP(BD33,CENY!$B$11:$G$1034,2,FALSE)</f>
        <v>AVANTECH YOU DEKORATIVNÍ PROFIL NL550 MM STŘÍBRNÝ</v>
      </c>
      <c r="BF33" s="24">
        <f>VLOOKUP(BD33,CENY!$B$11:$G$1034,3,FALSE)</f>
        <v>200</v>
      </c>
      <c r="BG33" s="24"/>
      <c r="BH33" s="25">
        <f>4*(AA19+AA20+AA25)</f>
        <v>0</v>
      </c>
      <c r="BI33" s="451">
        <f t="shared" si="2"/>
        <v>0</v>
      </c>
      <c r="BJ33" s="107">
        <f>VLOOKUP(BD33,CENY!$B$11:$M$2005,12,FALSE)</f>
        <v>10.14</v>
      </c>
      <c r="BK33" s="107">
        <f t="shared" si="3"/>
        <v>0</v>
      </c>
    </row>
    <row r="34" spans="47:63" ht="14.4" customHeight="1">
      <c r="AU34" s="441">
        <f>OBJ!B261</f>
        <v>9257034</v>
      </c>
      <c r="AV34" s="23" t="str">
        <f>VLOOKUP(AU34,CENY!$B$11:$G$1034,2,FALSE)</f>
        <v>ACTRO YOU 70KG PLNOVÝSUV 450 MM EB21 SILENT SYSTEM SADA</v>
      </c>
      <c r="AW34" s="24">
        <f>VLOOKUP(AU34,CENY!$B$11:$G$1034,3,FALSE)</f>
        <v>1</v>
      </c>
      <c r="AX34" s="499">
        <v>10</v>
      </c>
      <c r="AY34" s="25">
        <f>W20</f>
        <v>0</v>
      </c>
      <c r="AZ34" s="451">
        <f t="shared" si="1"/>
        <v>0</v>
      </c>
      <c r="BA34" s="107">
        <f>VLOOKUP(AU34,CENY!$B$11:$M$2005,12,FALSE)</f>
        <v>691.9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AVANTECH YOU DEKORATIVNÍ PROFIL NL600 MM STŘÍBRNÝ</v>
      </c>
      <c r="BF34" s="24">
        <f>VLOOKUP(BD34,CENY!$B$11:$G$1034,3,FALSE)</f>
        <v>200</v>
      </c>
      <c r="BG34" s="24"/>
      <c r="BH34" s="25">
        <f>4*(AC19+AC20+AC25)</f>
        <v>0</v>
      </c>
      <c r="BI34" s="451">
        <f t="shared" si="2"/>
        <v>0</v>
      </c>
      <c r="BJ34" s="107">
        <f>VLOOKUP(BD34,CENY!$B$11:$M$2005,12,FALSE)</f>
        <v>10.39</v>
      </c>
      <c r="BK34" s="107">
        <f t="shared" si="3"/>
        <v>0</v>
      </c>
    </row>
    <row r="35" spans="47:63" ht="14.4" customHeight="1">
      <c r="AU35" s="441">
        <f>OBJ!B262</f>
        <v>9257036</v>
      </c>
      <c r="AV35" s="23" t="str">
        <f>VLOOKUP(AU35,CENY!$B$11:$G$1034,2,FALSE)</f>
        <v>ACTRO YOU 70KG PLNOVÝSUV 500 MM EB21 SILENT SYSTEM SADA</v>
      </c>
      <c r="AW35" s="24">
        <f>VLOOKUP(AU35,CENY!$B$11:$G$1034,3,FALSE)</f>
        <v>1</v>
      </c>
      <c r="AX35" s="499">
        <v>10</v>
      </c>
      <c r="AY35" s="25">
        <f>Y20</f>
        <v>0</v>
      </c>
      <c r="AZ35" s="451">
        <f t="shared" si="1"/>
        <v>0</v>
      </c>
      <c r="BA35" s="107">
        <f>VLOOKUP(AU35,CENY!$B$11:$M$2005,12,FALSE)</f>
        <v>698.13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AVANTECH YOU DEKORATIVNÍ PROFIL NL650 MM STŘÍBRNÝ</v>
      </c>
      <c r="BF35" s="24">
        <f>VLOOKUP(BD35,CENY!$B$11:$G$1034,3,FALSE)</f>
        <v>200</v>
      </c>
      <c r="BG35" s="24"/>
      <c r="BH35" s="25">
        <f>4*AE20</f>
        <v>0</v>
      </c>
      <c r="BI35" s="451">
        <f t="shared" si="2"/>
        <v>0</v>
      </c>
      <c r="BJ35" s="107">
        <f>VLOOKUP(BD35,CENY!$B$11:$M$2005,12,FALSE)</f>
        <v>10.74</v>
      </c>
      <c r="BK35" s="107">
        <f t="shared" si="3"/>
        <v>0</v>
      </c>
    </row>
    <row r="36" spans="47:63" ht="14.4" customHeight="1">
      <c r="AU36" s="441">
        <f>OBJ!B263</f>
        <v>9257038</v>
      </c>
      <c r="AV36" s="23" t="str">
        <f>VLOOKUP(AU36,CENY!$B$11:$G$1034,2,FALSE)</f>
        <v>ACTRO YOU 70KG PLNOVÝSUV 550 MM EB21 SILENT SYSTEM SADA</v>
      </c>
      <c r="AW36" s="24">
        <f>VLOOKUP(AU36,CENY!$B$11:$G$1034,3,FALSE)</f>
        <v>1</v>
      </c>
      <c r="AX36" s="499">
        <v>10</v>
      </c>
      <c r="AY36" s="25">
        <f>AA20</f>
        <v>0</v>
      </c>
      <c r="AZ36" s="451">
        <f t="shared" si="1"/>
        <v>0</v>
      </c>
      <c r="BA36" s="107">
        <f>VLOOKUP(AU36,CENY!$B$11:$M$2005,12,FALSE)</f>
        <v>731.3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47:63" ht="14.4" customHeight="1">
      <c r="AU37" s="441">
        <f>OBJ!B264</f>
        <v>9257040</v>
      </c>
      <c r="AV37" s="23" t="str">
        <f>VLOOKUP(AU37,CENY!$B$11:$G$1034,2,FALSE)</f>
        <v>ACTRO YOU 70KG PLNOVÝSUV 600 MM EB21 SILENT SYSTEM SADA</v>
      </c>
      <c r="AW37" s="24">
        <f>VLOOKUP(AU37,CENY!$B$11:$G$1034,3,FALSE)</f>
        <v>1</v>
      </c>
      <c r="AX37" s="499">
        <v>10</v>
      </c>
      <c r="AY37" s="25">
        <f>AC20</f>
        <v>0</v>
      </c>
      <c r="AZ37" s="451">
        <f t="shared" si="1"/>
        <v>0</v>
      </c>
      <c r="BA37" s="107">
        <f>VLOOKUP(AU37,CENY!$B$11:$M$2005,12,FALSE)</f>
        <v>798.31</v>
      </c>
      <c r="BB37" s="107">
        <f t="shared" si="0"/>
        <v>0</v>
      </c>
      <c r="BD37" s="441">
        <f>OBJ!B244</f>
        <v>9256974</v>
      </c>
      <c r="BE37" s="23" t="str">
        <f>VLOOKUP(BD37,CENY!$B$11:$G$1034,2,FALSE)</f>
        <v>ACTRO YOU 40KG PLNOVÝSUV 270 MM EB21 SILENT SYSTEM LEVÝ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47:63" ht="14.4" customHeight="1">
      <c r="AU38" s="441">
        <f>OBJ!B265</f>
        <v>9257041</v>
      </c>
      <c r="AV38" s="23" t="str">
        <f>VLOOKUP(AU38,CENY!$B$11:$G$1034,2,FALSE)</f>
        <v>ACTRO YOU 70KG PLNOVÝSUV 650 MM EB21 SILENT SYSTEM SADA</v>
      </c>
      <c r="AW38" s="24">
        <f>VLOOKUP(AU38,CENY!$B$11:$G$1034,3,FALSE)</f>
        <v>1</v>
      </c>
      <c r="AX38" s="499">
        <v>10</v>
      </c>
      <c r="AY38" s="25">
        <f>AE20</f>
        <v>0</v>
      </c>
      <c r="AZ38" s="451">
        <f t="shared" si="1"/>
        <v>0</v>
      </c>
      <c r="BA38" s="107">
        <f>VLOOKUP(AU38,CENY!$B$11:$M$2005,12,FALSE)</f>
        <v>828.55</v>
      </c>
      <c r="BB38" s="107">
        <f t="shared" si="0"/>
        <v>0</v>
      </c>
      <c r="BD38" s="441">
        <f>OBJ!B245</f>
        <v>9256975</v>
      </c>
      <c r="BE38" s="23" t="str">
        <f>VLOOKUP(BD38,CENY!$B$11:$G$1034,2,FALSE)</f>
        <v>ACTRO YOU 40KG PLNOVÝSUV 270 MM EB21 SILENT SYSTEM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47:63" ht="14.4" customHeight="1">
      <c r="AU39" s="441"/>
      <c r="AV39" s="23"/>
      <c r="AW39" s="24"/>
      <c r="AX39" s="24"/>
      <c r="AY39" s="25"/>
      <c r="AZ39" s="451" t="str">
        <f t="shared" si="1"/>
        <v/>
      </c>
      <c r="BA39" s="107"/>
      <c r="BB39" s="107" t="str">
        <f t="shared" si="0"/>
        <v/>
      </c>
      <c r="BD39" s="441">
        <f>OBJ!B246</f>
        <v>9256976</v>
      </c>
      <c r="BE39" s="23" t="str">
        <f>VLOOKUP(BD39,CENY!$B$11:$G$1034,2,FALSE)</f>
        <v>ACTRO YOU 40KG PLNOVÝSUV 300 MM EB21 SILENT SYSTEM LEVÝ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47:63" ht="14.4" customHeight="1">
      <c r="AU40" s="441">
        <f>OBJ!B297</f>
        <v>9256883</v>
      </c>
      <c r="AV40" s="23" t="str">
        <f>VLOOKUP(AU40,CENY!$B$11:$G$1034,2,FALSE)</f>
        <v>QUADRO YOU PLNOVÝSUV 270 MM EB21 SILENT SYSTEM SADA</v>
      </c>
      <c r="AW40" s="24">
        <f>VLOOKUP(AU40,CENY!$B$11:$G$1034,3,FALSE)</f>
        <v>1</v>
      </c>
      <c r="AX40" s="499">
        <v>8</v>
      </c>
      <c r="AY40" s="25">
        <f>O25</f>
        <v>0</v>
      </c>
      <c r="AZ40" s="451">
        <f t="shared" si="1"/>
        <v>0</v>
      </c>
      <c r="BA40" s="107">
        <f>VLOOKUP(AU40,CENY!$B$11:$M$2005,12,FALSE)</f>
        <v>372.29</v>
      </c>
      <c r="BB40" s="107">
        <f t="shared" si="0"/>
        <v>0</v>
      </c>
      <c r="BD40" s="441">
        <f>OBJ!B247</f>
        <v>9256977</v>
      </c>
      <c r="BE40" s="23" t="str">
        <f>VLOOKUP(BD40,CENY!$B$11:$G$1034,2,FALSE)</f>
        <v>ACTRO YOU 40KG PLNOVÝSUV 300 MM EB21 SILENT SYSTEM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243.93</v>
      </c>
      <c r="BK40" s="107">
        <f t="shared" si="3"/>
        <v>0</v>
      </c>
    </row>
    <row r="41" spans="47:63" ht="14.4" customHeight="1">
      <c r="AU41" s="441">
        <f>OBJ!B298</f>
        <v>9256884</v>
      </c>
      <c r="AV41" s="23" t="str">
        <f>VLOOKUP(AU41,CENY!$B$11:$G$1034,2,FALSE)</f>
        <v>QUADRO YOU PLNOVÝSUV 300 MM EB21 SILENT SYSTEM SADA</v>
      </c>
      <c r="AW41" s="24">
        <f>VLOOKUP(AU41,CENY!$B$11:$G$1034,3,FALSE)</f>
        <v>1</v>
      </c>
      <c r="AX41" s="499">
        <v>8</v>
      </c>
      <c r="AY41" s="25">
        <f>Q25</f>
        <v>0</v>
      </c>
      <c r="AZ41" s="451">
        <f t="shared" si="1"/>
        <v>0</v>
      </c>
      <c r="BA41" s="107">
        <f>VLOOKUP(AU41,CENY!$B$11:$M$2005,12,FALSE)</f>
        <v>369.3</v>
      </c>
      <c r="BB41" s="107">
        <f t="shared" si="0"/>
        <v>0</v>
      </c>
      <c r="BD41" s="441">
        <f>OBJ!B248</f>
        <v>9256980</v>
      </c>
      <c r="BE41" s="23" t="str">
        <f>VLOOKUP(BD41,CENY!$B$11:$G$1034,2,FALSE)</f>
        <v>ACTRO YOU 40KG PLNOVÝSUV 350 MM EB21 SILENT SYSTEM LEVÝ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243.93</v>
      </c>
      <c r="BK41" s="107">
        <f t="shared" si="3"/>
        <v>0</v>
      </c>
    </row>
    <row r="42" spans="47:63" ht="14.4" customHeight="1">
      <c r="AU42" s="441">
        <f>OBJ!B299</f>
        <v>9256886</v>
      </c>
      <c r="AV42" s="23" t="str">
        <f>VLOOKUP(AU42,CENY!$B$11:$G$1034,2,FALSE)</f>
        <v>QUADRO YOU PLNOVÝSUV 350 MM EB21 SILENT SYSTEM SADA</v>
      </c>
      <c r="AW42" s="24">
        <f>VLOOKUP(AU42,CENY!$B$11:$G$1034,3,FALSE)</f>
        <v>1</v>
      </c>
      <c r="AX42" s="499">
        <v>8</v>
      </c>
      <c r="AY42" s="25">
        <f>S25</f>
        <v>0</v>
      </c>
      <c r="AZ42" s="451">
        <f t="shared" si="1"/>
        <v>0</v>
      </c>
      <c r="BA42" s="107">
        <f>VLOOKUP(AU42,CENY!$B$11:$M$2005,12,FALSE)</f>
        <v>376.77</v>
      </c>
      <c r="BB42" s="107">
        <f t="shared" si="0"/>
        <v>0</v>
      </c>
      <c r="BD42" s="441">
        <f>OBJ!B249</f>
        <v>9256981</v>
      </c>
      <c r="BE42" s="23" t="str">
        <f>VLOOKUP(BD42,CENY!$B$11:$G$1034,2,FALSE)</f>
        <v>ACTRO YOU 40KG PLNOVÝSUV 350 MM EB21 SILENT SYSTEM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243.93</v>
      </c>
      <c r="BK42" s="107">
        <f t="shared" si="3"/>
        <v>0</v>
      </c>
    </row>
    <row r="43" spans="47:63" ht="14.4" customHeight="1">
      <c r="AU43" s="441">
        <f>OBJ!B300</f>
        <v>9256888</v>
      </c>
      <c r="AV43" s="23" t="str">
        <f>VLOOKUP(AU43,CENY!$B$11:$G$1034,2,FALSE)</f>
        <v>QUADRO YOU PLNOVÝSUV 400 MM EB21 SILENT SYSTEM SADA</v>
      </c>
      <c r="AW43" s="24">
        <f>VLOOKUP(AU43,CENY!$B$11:$G$1034,3,FALSE)</f>
        <v>1</v>
      </c>
      <c r="AX43" s="499">
        <v>8</v>
      </c>
      <c r="AY43" s="25">
        <f>U25</f>
        <v>0</v>
      </c>
      <c r="AZ43" s="451">
        <f t="shared" si="1"/>
        <v>0</v>
      </c>
      <c r="BA43" s="107">
        <f>VLOOKUP(AU43,CENY!$B$11:$M$2005,12,FALSE)</f>
        <v>384.24</v>
      </c>
      <c r="BB43" s="107">
        <f t="shared" si="0"/>
        <v>0</v>
      </c>
      <c r="BD43" s="441">
        <f>OBJ!B250</f>
        <v>9256984</v>
      </c>
      <c r="BE43" s="23" t="str">
        <f>VLOOKUP(BD43,CENY!$B$11:$G$1034,2,FALSE)</f>
        <v>ACTRO YOU 40KG PLNOVÝSUV 400 MM EB21 SILENT SYSTEM LEVÝ</v>
      </c>
      <c r="BF43" s="24">
        <f>VLOOKUP(BD43,CENY!$B$11:$G$1034,3,FALSE)</f>
        <v>10</v>
      </c>
      <c r="BG43" s="24"/>
      <c r="BH43" s="25">
        <f>AY28</f>
        <v>0</v>
      </c>
      <c r="BI43" s="451">
        <f t="shared" si="2"/>
        <v>0</v>
      </c>
      <c r="BJ43" s="107">
        <f>VLOOKUP(BD43,CENY!$B$11:$M$2005,12,FALSE)</f>
        <v>247.05</v>
      </c>
      <c r="BK43" s="107">
        <f t="shared" si="3"/>
        <v>0</v>
      </c>
    </row>
    <row r="44" spans="47:63" ht="14.4" customHeight="1">
      <c r="AU44" s="441">
        <f>OBJ!B301</f>
        <v>9256890</v>
      </c>
      <c r="AV44" s="23" t="str">
        <f>VLOOKUP(AU44,CENY!$B$11:$G$1034,2,FALSE)</f>
        <v>QUADRO YOU PLNOVÝSUV 450 MM EB21 SILENT SYSTEM SADA</v>
      </c>
      <c r="AW44" s="24">
        <f>VLOOKUP(AU44,CENY!$B$11:$G$1034,3,FALSE)</f>
        <v>1</v>
      </c>
      <c r="AX44" s="499">
        <v>8</v>
      </c>
      <c r="AY44" s="25">
        <f>W25</f>
        <v>0</v>
      </c>
      <c r="AZ44" s="451">
        <f t="shared" si="1"/>
        <v>0</v>
      </c>
      <c r="BA44" s="107">
        <f>VLOOKUP(AU44,CENY!$B$11:$M$2005,12,FALSE)</f>
        <v>391.72</v>
      </c>
      <c r="BB44" s="107">
        <f t="shared" si="0"/>
        <v>0</v>
      </c>
      <c r="BD44" s="441">
        <f>OBJ!B251</f>
        <v>9256985</v>
      </c>
      <c r="BE44" s="23" t="str">
        <f>VLOOKUP(BD44,CENY!$B$11:$G$1034,2,FALSE)</f>
        <v>ACTRO YOU 40KG PLNOVÝSUV 400 MM EB21 SILENT SYSTEM PRAVÝ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247.05</v>
      </c>
      <c r="BK44" s="107">
        <f t="shared" si="3"/>
        <v>0</v>
      </c>
    </row>
    <row r="45" spans="47:63" ht="14.4" customHeight="1">
      <c r="AU45" s="441">
        <f>OBJ!B302</f>
        <v>9256892</v>
      </c>
      <c r="AV45" s="23" t="str">
        <f>VLOOKUP(AU45,CENY!$B$11:$G$1034,2,FALSE)</f>
        <v>QUADRO YOU PLNOVÝSUV 500 MM EB21 SILENT SYSTEM SADA</v>
      </c>
      <c r="AW45" s="24">
        <f>VLOOKUP(AU45,CENY!$B$11:$G$1034,3,FALSE)</f>
        <v>1</v>
      </c>
      <c r="AX45" s="499">
        <v>8</v>
      </c>
      <c r="AY45" s="25">
        <f>Y25</f>
        <v>0</v>
      </c>
      <c r="AZ45" s="451">
        <f t="shared" si="1"/>
        <v>0</v>
      </c>
      <c r="BA45" s="107">
        <f>VLOOKUP(AU45,CENY!$B$11:$M$2005,12,FALSE)</f>
        <v>399.19</v>
      </c>
      <c r="BB45" s="107">
        <f t="shared" si="0"/>
        <v>0</v>
      </c>
      <c r="BD45" s="441">
        <f>OBJ!B252</f>
        <v>9256988</v>
      </c>
      <c r="BE45" s="23" t="str">
        <f>VLOOKUP(BD45,CENY!$B$11:$G$1034,2,FALSE)</f>
        <v>ACTRO YOU 40KG PLNOVÝSUV 450 MM EB21 SILENT SYSTEM LEVÝ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250.14</v>
      </c>
      <c r="BK45" s="107">
        <f t="shared" si="3"/>
        <v>0</v>
      </c>
    </row>
    <row r="46" spans="47:63" ht="14.4" customHeight="1">
      <c r="AU46" s="441">
        <f>OBJ!B303</f>
        <v>9256894</v>
      </c>
      <c r="AV46" s="23" t="str">
        <f>VLOOKUP(AU46,CENY!$B$11:$G$1034,2,FALSE)</f>
        <v>QUADRO YOU PLNOVÝSUV 550 MM EB21 SILENT SYSTEM SADA</v>
      </c>
      <c r="AW46" s="24">
        <f>VLOOKUP(AU46,CENY!$B$11:$G$1034,3,FALSE)</f>
        <v>1</v>
      </c>
      <c r="AX46" s="499">
        <v>8</v>
      </c>
      <c r="AY46" s="25">
        <f>AA25</f>
        <v>0</v>
      </c>
      <c r="AZ46" s="451">
        <f t="shared" si="1"/>
        <v>0</v>
      </c>
      <c r="BA46" s="107">
        <f>VLOOKUP(AU46,CENY!$B$11:$M$2005,12,FALSE)</f>
        <v>412.64</v>
      </c>
      <c r="BB46" s="107">
        <f t="shared" si="0"/>
        <v>0</v>
      </c>
      <c r="BD46" s="441">
        <f>OBJ!B253</f>
        <v>9256989</v>
      </c>
      <c r="BE46" s="23" t="str">
        <f>VLOOKUP(BD46,CENY!$B$11:$G$1034,2,FALSE)</f>
        <v>ACTRO YOU 40KG PLNOVÝSUV 450 MM EB21 SILENT SYSTEM PRAVÝ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250.14</v>
      </c>
      <c r="BK46" s="107">
        <f t="shared" si="3"/>
        <v>0</v>
      </c>
    </row>
    <row r="47" spans="47:63" ht="14.4" customHeight="1">
      <c r="AU47" s="441">
        <f>OBJ!B304</f>
        <v>9256896</v>
      </c>
      <c r="AV47" s="23" t="str">
        <f>VLOOKUP(AU47,CENY!$B$11:$G$1034,2,FALSE)</f>
        <v>QUADRO YOU PLNOVÝSUV 600 MM EB21 SILENT SYSTEM SADA</v>
      </c>
      <c r="AW47" s="24">
        <f>VLOOKUP(AU47,CENY!$B$11:$G$1034,3,FALSE)</f>
        <v>1</v>
      </c>
      <c r="AX47" s="499">
        <v>8</v>
      </c>
      <c r="AY47" s="25">
        <f>AC25</f>
        <v>0</v>
      </c>
      <c r="AZ47" s="451">
        <f t="shared" si="1"/>
        <v>0</v>
      </c>
      <c r="BA47" s="107">
        <f>VLOOKUP(AU47,CENY!$B$11:$M$2005,12,FALSE)</f>
        <v>420.11</v>
      </c>
      <c r="BB47" s="107">
        <f t="shared" si="0"/>
        <v>0</v>
      </c>
      <c r="BD47" s="441">
        <f>OBJ!B254</f>
        <v>9256992</v>
      </c>
      <c r="BE47" s="23" t="str">
        <f>VLOOKUP(BD47,CENY!$B$11:$G$1034,2,FALSE)</f>
        <v>ACTRO YOU 40KG PLNOVÝSUV 500 MM EB21 SILENT SYSTEM LEVÝ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253.25</v>
      </c>
      <c r="BK47" s="107">
        <f t="shared" si="3"/>
        <v>0</v>
      </c>
    </row>
    <row r="48" spans="47:63" ht="14.4" customHeight="1">
      <c r="AU48" s="441"/>
      <c r="AV48" s="23"/>
      <c r="AW48" s="24"/>
      <c r="AX48" s="24"/>
      <c r="AY48" s="25"/>
      <c r="AZ48" s="451" t="str">
        <f t="shared" si="1"/>
        <v/>
      </c>
      <c r="BA48" s="107"/>
      <c r="BB48" s="107" t="str">
        <f t="shared" si="0"/>
        <v/>
      </c>
      <c r="BD48" s="441">
        <f>OBJ!B255</f>
        <v>9256993</v>
      </c>
      <c r="BE48" s="23" t="str">
        <f>VLOOKUP(BD48,CENY!$B$11:$G$1034,2,FALSE)</f>
        <v>ACTRO YOU 40KG PLNOVÝSUV 500 MM EB21 SILENT SYSTEM PRAVÝ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253.25</v>
      </c>
      <c r="BK48" s="107">
        <f t="shared" si="3"/>
        <v>0</v>
      </c>
    </row>
    <row r="49" spans="47:63" ht="14.4" customHeight="1">
      <c r="AU49" s="442">
        <v>9255839</v>
      </c>
      <c r="AV49" s="443" t="str">
        <f>VLOOKUP(AU49,CENY!$B$11:$G$1034,2,FALSE)</f>
        <v>AVANTECH YOU PŘÍCHYTKA ČELA V187 / 251 MM K ZALISOVÁNÍ</v>
      </c>
      <c r="AW49" s="24">
        <f>VLOOKUP(AU49,CENY!$B$11:$G$1034,3,FALSE)</f>
        <v>200</v>
      </c>
      <c r="AX49" s="24"/>
      <c r="AY49" s="77">
        <f>IF(FORM!AM8=FORM!AU11,(4*(SUM(O19:AD19)+SUM(W20:AF20)+SUM(O25:AD25))),0)</f>
        <v>0</v>
      </c>
      <c r="AZ49" s="451">
        <f t="shared" si="1"/>
        <v>0</v>
      </c>
      <c r="BA49" s="107">
        <f>VLOOKUP(AU49,CENY!$B$11:$M$2005,12,FALSE)</f>
        <v>53.8</v>
      </c>
      <c r="BB49" s="107">
        <f t="shared" si="0"/>
        <v>0</v>
      </c>
      <c r="BD49" s="441">
        <f>OBJ!B256</f>
        <v>9256996</v>
      </c>
      <c r="BE49" s="23" t="str">
        <f>VLOOKUP(BD49,CENY!$B$11:$G$1034,2,FALSE)</f>
        <v>ACTRO YOU 40KG PLNOVÝSUV 550 MM EB21 SILENT SYSTEM LEVÝ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269.83999999999997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0"/>
        <v/>
      </c>
      <c r="BD50" s="441">
        <f>OBJ!B257</f>
        <v>9256997</v>
      </c>
      <c r="BE50" s="23" t="str">
        <f>VLOOKUP(BD50,CENY!$B$11:$G$1034,2,FALSE)</f>
        <v>ACTRO YOU 40KG PLNOVÝSUV 550 MM EB21 SILENT SYSTEM PRAVÝ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269.83999999999997</v>
      </c>
      <c r="BK50" s="107">
        <f t="shared" si="3"/>
        <v>0</v>
      </c>
    </row>
    <row r="51" spans="47:63" ht="14.4" customHeight="1">
      <c r="AU51" s="441">
        <f>OBJ!B207</f>
        <v>0</v>
      </c>
      <c r="AV51" s="23" t="e">
        <f>VLOOKUP(AU51,CENY!$B$11:$G$1034,2,FALSE)</f>
        <v>#N/A</v>
      </c>
      <c r="AW51" s="24" t="e">
        <f>VLOOKUP(AU51,CENY!$B$11:$G$1034,3,FALSE)</f>
        <v>#N/A</v>
      </c>
      <c r="AX51" s="24"/>
      <c r="AY51" s="77">
        <f>IF(FORM!AM21&lt;&gt;FORM!AW16,(4*(SUM(O19:AD19)+SUM(W20:AF20)+SUM(O25:AD25))),0)</f>
        <v>0</v>
      </c>
      <c r="AZ51" s="451">
        <f t="shared" si="1"/>
        <v>0</v>
      </c>
      <c r="BA51" s="449" t="str">
        <f>IF(AU51=0,"",VLOOKUP(AU51,CENY!$B$11:$M$2005,12,FALSE))</f>
        <v/>
      </c>
      <c r="BB51" s="107" t="str">
        <f t="shared" si="0"/>
        <v/>
      </c>
      <c r="BD51" s="441">
        <f>OBJ!B258</f>
        <v>9268679</v>
      </c>
      <c r="BE51" s="23" t="str">
        <f>VLOOKUP(BD51,CENY!$B$11:$G$1034,2,FALSE)</f>
        <v>ACTRO YOU 40KG PLNOVÝSUV 600 MM EB21 SILENT SYSTÉM LEVÝ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273.51</v>
      </c>
      <c r="BK51" s="107">
        <f t="shared" si="3"/>
        <v>0</v>
      </c>
    </row>
    <row r="52" spans="47:63" ht="14.4" customHeight="1">
      <c r="AU52" s="441"/>
      <c r="AV52" s="23"/>
      <c r="AW52" s="24"/>
      <c r="AX52" s="24"/>
      <c r="AY52" s="25"/>
      <c r="AZ52" s="451" t="str">
        <f t="shared" si="1"/>
        <v/>
      </c>
      <c r="BA52" s="107"/>
      <c r="BB52" s="107" t="str">
        <f t="shared" si="0"/>
        <v/>
      </c>
      <c r="BD52" s="441">
        <f>OBJ!B259</f>
        <v>9268680</v>
      </c>
      <c r="BE52" s="23" t="str">
        <f>VLOOKUP(BD52,CENY!$B$11:$G$1034,2,FALSE)</f>
        <v>ACTRO YOU 40KG PLNOVÝSUV 600 MM EB21 SILENT SYSTÉM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273.51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/>
      <c r="BE53" s="23"/>
      <c r="BF53" s="24"/>
      <c r="BG53" s="24"/>
      <c r="BH53" s="25"/>
      <c r="BI53" s="451" t="str">
        <f t="shared" si="2"/>
        <v/>
      </c>
      <c r="BJ53" s="107"/>
      <c r="BK53" s="107" t="str">
        <f t="shared" si="3"/>
        <v/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0"/>
        <v/>
      </c>
      <c r="BD54" s="441">
        <f>OBJ!B266</f>
        <v>9257013</v>
      </c>
      <c r="BE54" s="23" t="str">
        <f>VLOOKUP(BD54,CENY!$B$11:$G$1034,2,FALSE)</f>
        <v>ACTRO YOU 70KG PLNOVÝSUV 450 MM EB21 SILENT SYSTEM LEVÝ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309.07</v>
      </c>
      <c r="BK54" s="107">
        <f t="shared" si="3"/>
        <v>0</v>
      </c>
    </row>
    <row r="55" spans="47:63" ht="14.4" customHeight="1">
      <c r="AU55" s="441"/>
      <c r="AV55" s="23"/>
      <c r="AW55" s="24"/>
      <c r="AX55" s="24"/>
      <c r="AY55" s="25"/>
      <c r="AZ55" s="451" t="str">
        <f t="shared" si="1"/>
        <v/>
      </c>
      <c r="BA55" s="107"/>
      <c r="BB55" s="107" t="str">
        <f t="shared" si="0"/>
        <v/>
      </c>
      <c r="BD55" s="441">
        <f>OBJ!B267</f>
        <v>9257014</v>
      </c>
      <c r="BE55" s="23" t="str">
        <f>VLOOKUP(BD55,CENY!$B$11:$G$1034,2,FALSE)</f>
        <v>ACTRO YOU 70KG PLNOVÝSUV 450 MM EB21 SILENT SYSTEM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309.07</v>
      </c>
      <c r="BK55" s="107">
        <f t="shared" si="3"/>
        <v>0</v>
      </c>
    </row>
    <row r="56" spans="47:63" ht="14.4" customHeight="1">
      <c r="AU56" s="441"/>
      <c r="AV56" s="23"/>
      <c r="AW56" s="24"/>
      <c r="AX56" s="24"/>
      <c r="AY56" s="25"/>
      <c r="AZ56" s="451" t="str">
        <f t="shared" si="1"/>
        <v/>
      </c>
      <c r="BA56" s="107"/>
      <c r="BB56" s="107" t="str">
        <f t="shared" si="0"/>
        <v/>
      </c>
      <c r="BD56" s="441">
        <f>OBJ!B268</f>
        <v>9257017</v>
      </c>
      <c r="BE56" s="23" t="str">
        <f>VLOOKUP(BD56,CENY!$B$11:$G$1034,2,FALSE)</f>
        <v>ACTRO YOU 70KG PLNOVÝSUV 500 MM EB21 SILENT SYSTEM LEVÝ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312.18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0"/>
        <v/>
      </c>
      <c r="BD57" s="441">
        <f>OBJ!B269</f>
        <v>9257018</v>
      </c>
      <c r="BE57" s="23" t="str">
        <f>VLOOKUP(BD57,CENY!$B$11:$G$1034,2,FALSE)</f>
        <v>ACTRO YOU 70KG PLNOVÝSUV 500 MM EB21 SILENT SYSTEM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312.18</v>
      </c>
      <c r="BK57" s="107">
        <f t="shared" si="3"/>
        <v>0</v>
      </c>
    </row>
    <row r="58" spans="47:63" ht="14.4" customHeight="1">
      <c r="AU58" s="441"/>
      <c r="AV58" s="23"/>
      <c r="AW58" s="24"/>
      <c r="AX58" s="24"/>
      <c r="AY58" s="25"/>
      <c r="AZ58" s="451" t="str">
        <f t="shared" si="1"/>
        <v/>
      </c>
      <c r="BA58" s="107"/>
      <c r="BB58" s="107" t="str">
        <f t="shared" si="0"/>
        <v/>
      </c>
      <c r="BD58" s="441">
        <f>OBJ!B270</f>
        <v>9257021</v>
      </c>
      <c r="BE58" s="23" t="str">
        <f>VLOOKUP(BD58,CENY!$B$11:$G$1034,2,FALSE)</f>
        <v>ACTRO YOU 70KG PLNOVÝSUV 550 MM EB21 SILENT SYSTEM LEVÝ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328.77</v>
      </c>
      <c r="BK58" s="107">
        <f t="shared" si="3"/>
        <v>0</v>
      </c>
    </row>
    <row r="59" spans="47:63" ht="14.4" customHeight="1">
      <c r="AU59" s="22"/>
      <c r="AV59" s="23"/>
      <c r="AW59" s="24"/>
      <c r="AX59" s="24"/>
      <c r="AY59" s="25"/>
      <c r="AZ59" s="451" t="str">
        <f t="shared" si="1"/>
        <v/>
      </c>
      <c r="BA59" s="107"/>
      <c r="BB59" s="107" t="str">
        <f t="shared" ref="BB59:BB91" si="4">IF(BA59="","",BA59*AY59)</f>
        <v/>
      </c>
      <c r="BD59" s="441">
        <f>OBJ!B271</f>
        <v>9257022</v>
      </c>
      <c r="BE59" s="23" t="str">
        <f>VLOOKUP(BD59,CENY!$B$11:$G$1034,2,FALSE)</f>
        <v>ACTRO YOU 70KG PLNOVÝSUV 550 MM EB21 SILENT SYSTEM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328.77</v>
      </c>
      <c r="BK59" s="107">
        <f t="shared" si="3"/>
        <v>0</v>
      </c>
    </row>
    <row r="60" spans="47:63" ht="14.4" customHeight="1">
      <c r="AU60" s="22"/>
      <c r="AV60" s="23"/>
      <c r="AW60" s="24"/>
      <c r="AX60" s="24"/>
      <c r="AY60" s="25"/>
      <c r="AZ60" s="451" t="str">
        <f t="shared" ref="AZ60:AZ91" si="5">IF(AY60="","",IF($AW$4=1,AY60,0))</f>
        <v/>
      </c>
      <c r="BA60" s="107"/>
      <c r="BB60" s="107" t="str">
        <f t="shared" si="4"/>
        <v/>
      </c>
      <c r="BD60" s="441">
        <f>OBJ!B272</f>
        <v>9257025</v>
      </c>
      <c r="BE60" s="23" t="str">
        <f>VLOOKUP(BD60,CENY!$B$11:$G$1034,2,FALSE)</f>
        <v>ACTRO YOU 70KG PLNOVÝSUV 600 MM EB21 SILENT SYSTEM LEVÝ</v>
      </c>
      <c r="BF60" s="24">
        <f>VLOOKUP(BD60,CENY!$B$11:$G$1034,3,FALSE)</f>
        <v>10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362.28</v>
      </c>
      <c r="BK60" s="107">
        <f t="shared" si="3"/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5"/>
        <v/>
      </c>
      <c r="BA61" s="107"/>
      <c r="BB61" s="107" t="str">
        <f t="shared" si="4"/>
        <v/>
      </c>
      <c r="BD61" s="441">
        <f>OBJ!B273</f>
        <v>9257026</v>
      </c>
      <c r="BE61" s="23" t="str">
        <f>VLOOKUP(BD61,CENY!$B$11:$G$1034,2,FALSE)</f>
        <v>ACTRO YOU 70KG PLNOVÝSUV 600 MM EB21 SILENT SYSTEM PRAVÝ</v>
      </c>
      <c r="BF61" s="24">
        <f>VLOOKUP(BD61,CENY!$B$11:$G$1034,3,FALSE)</f>
        <v>10</v>
      </c>
      <c r="BG61" s="24"/>
      <c r="BH61" s="25">
        <f>AY37</f>
        <v>0</v>
      </c>
      <c r="BI61" s="451">
        <f t="shared" si="2"/>
        <v>0</v>
      </c>
      <c r="BJ61" s="107">
        <f>VLOOKUP(BD61,CENY!$B$11:$M$2005,12,FALSE)</f>
        <v>362.28</v>
      </c>
      <c r="BK61" s="107">
        <f t="shared" si="3"/>
        <v>0</v>
      </c>
    </row>
    <row r="62" spans="47:63" ht="14.4" customHeight="1">
      <c r="AU62" s="22"/>
      <c r="AV62" s="23"/>
      <c r="AW62" s="24"/>
      <c r="AX62" s="24"/>
      <c r="AY62" s="25"/>
      <c r="AZ62" s="451" t="str">
        <f t="shared" si="5"/>
        <v/>
      </c>
      <c r="BA62" s="107"/>
      <c r="BB62" s="107" t="str">
        <f t="shared" si="4"/>
        <v/>
      </c>
      <c r="BD62" s="441">
        <f>OBJ!B274</f>
        <v>9257027</v>
      </c>
      <c r="BE62" s="23" t="str">
        <f>VLOOKUP(BD62,CENY!$B$11:$G$1034,2,FALSE)</f>
        <v>ACTRO YOU 70KG PLNOVÝSUV 650 MM EB21 SILENT SYSTEM LEVÝ</v>
      </c>
      <c r="BF62" s="24">
        <f>VLOOKUP(BD62,CENY!$B$11:$G$1034,3,FALSE)</f>
        <v>5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377.39</v>
      </c>
      <c r="BK62" s="107">
        <f t="shared" si="3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5"/>
        <v/>
      </c>
      <c r="BA63" s="107"/>
      <c r="BB63" s="107" t="str">
        <f t="shared" si="4"/>
        <v/>
      </c>
      <c r="BD63" s="441">
        <f>OBJ!B275</f>
        <v>9257028</v>
      </c>
      <c r="BE63" s="23" t="str">
        <f>VLOOKUP(BD63,CENY!$B$11:$G$1034,2,FALSE)</f>
        <v>ACTRO YOU 70KG PLNOVÝSUV 650 MM EB21 SILENT SYSTEM PRAVÝ</v>
      </c>
      <c r="BF63" s="24">
        <f>VLOOKUP(BD63,CENY!$B$11:$G$1034,3,FALSE)</f>
        <v>5</v>
      </c>
      <c r="BG63" s="24"/>
      <c r="BH63" s="25">
        <f>AY38</f>
        <v>0</v>
      </c>
      <c r="BI63" s="451">
        <f t="shared" ref="BI63:BI83" si="6">IF(BH63="","",IF($AW$4=0,BH63,0))</f>
        <v>0</v>
      </c>
      <c r="BJ63" s="107">
        <f>VLOOKUP(BD63,CENY!$B$11:$M$2005,12,FALSE)</f>
        <v>377.39</v>
      </c>
      <c r="BK63" s="107">
        <f t="shared" ref="BK63:BK83" si="7">IF(BJ63="","",BJ63*BH63)</f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5"/>
        <v/>
      </c>
      <c r="BA64" s="107"/>
      <c r="BB64" s="107" t="str">
        <f t="shared" si="4"/>
        <v/>
      </c>
      <c r="BD64" s="441"/>
      <c r="BE64" s="23"/>
      <c r="BF64" s="24"/>
      <c r="BG64" s="24"/>
      <c r="BH64" s="25"/>
      <c r="BI64" s="451" t="str">
        <f t="shared" si="6"/>
        <v/>
      </c>
      <c r="BJ64" s="107"/>
      <c r="BK64" s="107" t="str">
        <f t="shared" si="7"/>
        <v/>
      </c>
    </row>
    <row r="65" spans="47:63" ht="14.4" customHeight="1">
      <c r="AU65" s="22"/>
      <c r="AV65" s="23"/>
      <c r="AW65" s="24"/>
      <c r="AX65" s="24"/>
      <c r="AY65" s="25"/>
      <c r="AZ65" s="451" t="str">
        <f t="shared" si="5"/>
        <v/>
      </c>
      <c r="BA65" s="107"/>
      <c r="BB65" s="107" t="str">
        <f t="shared" si="4"/>
        <v/>
      </c>
      <c r="BD65" s="441">
        <f>OBJ!B305</f>
        <v>9256854</v>
      </c>
      <c r="BE65" s="23" t="str">
        <f>VLOOKUP(BD65,CENY!$B$11:$G$1034,2,FALSE)</f>
        <v>QUADRO YOU PLNOVÝSUV 270 MM EB21 SILENT SYSTEM LEVÝ</v>
      </c>
      <c r="BF65" s="24">
        <f>VLOOKUP(BD65,CENY!$B$11:$G$1034,3,FALSE)</f>
        <v>20</v>
      </c>
      <c r="BG65" s="24"/>
      <c r="BH65" s="25">
        <f>AY40</f>
        <v>0</v>
      </c>
      <c r="BI65" s="451">
        <f t="shared" si="6"/>
        <v>0</v>
      </c>
      <c r="BJ65" s="107">
        <f>VLOOKUP(BD65,CENY!$B$11:$M$2005,12,FALSE)</f>
        <v>174.19</v>
      </c>
      <c r="BK65" s="107">
        <f t="shared" si="7"/>
        <v>0</v>
      </c>
    </row>
    <row r="66" spans="47:63" ht="14.4" customHeight="1">
      <c r="AU66" s="22"/>
      <c r="AV66" s="23"/>
      <c r="AW66" s="24"/>
      <c r="AX66" s="24"/>
      <c r="AY66" s="25"/>
      <c r="AZ66" s="451" t="str">
        <f t="shared" si="5"/>
        <v/>
      </c>
      <c r="BA66" s="107"/>
      <c r="BB66" s="107" t="str">
        <f t="shared" si="4"/>
        <v/>
      </c>
      <c r="BD66" s="441">
        <f>OBJ!B306</f>
        <v>9256855</v>
      </c>
      <c r="BE66" s="23" t="str">
        <f>VLOOKUP(BD66,CENY!$B$11:$G$1034,2,FALSE)</f>
        <v>QUADRO YOU PLNOVÝSUV 270 MM EB21 SILENT SYSTEM PRAVÝ</v>
      </c>
      <c r="BF66" s="24">
        <f>VLOOKUP(BD66,CENY!$B$11:$G$1034,3,FALSE)</f>
        <v>20</v>
      </c>
      <c r="BG66" s="24"/>
      <c r="BH66" s="25">
        <f>AY40</f>
        <v>0</v>
      </c>
      <c r="BI66" s="451">
        <f t="shared" si="6"/>
        <v>0</v>
      </c>
      <c r="BJ66" s="107">
        <f>VLOOKUP(BD66,CENY!$B$11:$M$2005,12,FALSE)</f>
        <v>174.19</v>
      </c>
      <c r="BK66" s="107">
        <f t="shared" si="7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5"/>
        <v/>
      </c>
      <c r="BA67" s="107"/>
      <c r="BB67" s="107" t="str">
        <f t="shared" si="4"/>
        <v/>
      </c>
      <c r="BD67" s="441">
        <f>OBJ!B307</f>
        <v>9256856</v>
      </c>
      <c r="BE67" s="23" t="str">
        <f>VLOOKUP(BD67,CENY!$B$11:$G$1034,2,FALSE)</f>
        <v>QUADRO YOU PLNOVÝSUV 300 MM EB21 SILENT SYSTEM LEVÝ</v>
      </c>
      <c r="BF67" s="24">
        <f>VLOOKUP(BD67,CENY!$B$11:$G$1034,3,FALSE)</f>
        <v>20</v>
      </c>
      <c r="BG67" s="24"/>
      <c r="BH67" s="25">
        <f>AY41</f>
        <v>0</v>
      </c>
      <c r="BI67" s="451">
        <f t="shared" si="6"/>
        <v>0</v>
      </c>
      <c r="BJ67" s="107">
        <f>VLOOKUP(BD67,CENY!$B$11:$M$2005,12,FALSE)</f>
        <v>172.7</v>
      </c>
      <c r="BK67" s="107">
        <f t="shared" si="7"/>
        <v>0</v>
      </c>
    </row>
    <row r="68" spans="47:63" ht="14.4" customHeight="1">
      <c r="AU68" s="22"/>
      <c r="AV68" s="23"/>
      <c r="AW68" s="24"/>
      <c r="AX68" s="24"/>
      <c r="AY68" s="25"/>
      <c r="AZ68" s="451" t="str">
        <f t="shared" si="5"/>
        <v/>
      </c>
      <c r="BA68" s="107"/>
      <c r="BB68" s="107" t="str">
        <f t="shared" si="4"/>
        <v/>
      </c>
      <c r="BD68" s="441">
        <f>OBJ!B308</f>
        <v>9256857</v>
      </c>
      <c r="BE68" s="23" t="str">
        <f>VLOOKUP(BD68,CENY!$B$11:$G$1034,2,FALSE)</f>
        <v>QUADRO YOU PLNOVÝSUV 300 MM EB21 SILENT SYSTEM PRAVÝ</v>
      </c>
      <c r="BF68" s="24">
        <f>VLOOKUP(BD68,CENY!$B$11:$G$1034,3,FALSE)</f>
        <v>20</v>
      </c>
      <c r="BG68" s="24"/>
      <c r="BH68" s="25">
        <f>AY41</f>
        <v>0</v>
      </c>
      <c r="BI68" s="451">
        <f t="shared" si="6"/>
        <v>0</v>
      </c>
      <c r="BJ68" s="107">
        <f>VLOOKUP(BD68,CENY!$B$11:$M$2005,12,FALSE)</f>
        <v>172.7</v>
      </c>
      <c r="BK68" s="107">
        <f t="shared" si="7"/>
        <v>0</v>
      </c>
    </row>
    <row r="69" spans="47:63" ht="14.4" customHeight="1">
      <c r="AU69" s="22"/>
      <c r="AV69" s="23"/>
      <c r="AW69" s="24"/>
      <c r="AX69" s="24"/>
      <c r="AY69" s="25"/>
      <c r="AZ69" s="451" t="str">
        <f t="shared" si="5"/>
        <v/>
      </c>
      <c r="BA69" s="107"/>
      <c r="BB69" s="107" t="str">
        <f t="shared" si="4"/>
        <v/>
      </c>
      <c r="BD69" s="441">
        <f>OBJ!B309</f>
        <v>9256860</v>
      </c>
      <c r="BE69" s="23" t="str">
        <f>VLOOKUP(BD69,CENY!$B$11:$G$1034,2,FALSE)</f>
        <v>QUADRO YOU PLNOVÝSUV 350 MM EB21 SILENT SYSTEM LEVÝ</v>
      </c>
      <c r="BF69" s="24">
        <f>VLOOKUP(BD69,CENY!$B$11:$G$1034,3,FALSE)</f>
        <v>20</v>
      </c>
      <c r="BG69" s="24"/>
      <c r="BH69" s="25">
        <f>AY42</f>
        <v>0</v>
      </c>
      <c r="BI69" s="451">
        <f t="shared" si="6"/>
        <v>0</v>
      </c>
      <c r="BJ69" s="107">
        <f>VLOOKUP(BD69,CENY!$B$11:$M$2005,12,FALSE)</f>
        <v>176.43</v>
      </c>
      <c r="BK69" s="107">
        <f t="shared" si="7"/>
        <v>0</v>
      </c>
    </row>
    <row r="70" spans="47:63" ht="14.4" customHeight="1">
      <c r="AU70" s="22"/>
      <c r="AV70" s="23"/>
      <c r="AW70" s="24"/>
      <c r="AX70" s="24"/>
      <c r="AY70" s="25"/>
      <c r="AZ70" s="451" t="str">
        <f t="shared" si="5"/>
        <v/>
      </c>
      <c r="BA70" s="107"/>
      <c r="BB70" s="107" t="str">
        <f t="shared" si="4"/>
        <v/>
      </c>
      <c r="BD70" s="441">
        <f>OBJ!B310</f>
        <v>9256861</v>
      </c>
      <c r="BE70" s="23" t="str">
        <f>VLOOKUP(BD70,CENY!$B$11:$G$1034,2,FALSE)</f>
        <v>QUADRO YOU PLNOVÝSUV 350 MM EB21 SILENT SYSTEM PRAVÝ</v>
      </c>
      <c r="BF70" s="24">
        <f>VLOOKUP(BD70,CENY!$B$11:$G$1034,3,FALSE)</f>
        <v>20</v>
      </c>
      <c r="BG70" s="24"/>
      <c r="BH70" s="25">
        <f>AY42</f>
        <v>0</v>
      </c>
      <c r="BI70" s="451">
        <f t="shared" si="6"/>
        <v>0</v>
      </c>
      <c r="BJ70" s="107">
        <f>VLOOKUP(BD70,CENY!$B$11:$M$2005,12,FALSE)</f>
        <v>176.43</v>
      </c>
      <c r="BK70" s="107">
        <f t="shared" si="7"/>
        <v>0</v>
      </c>
    </row>
    <row r="71" spans="47:63" ht="14.4" customHeight="1">
      <c r="AU71" s="22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OBJ!B311</f>
        <v>9256864</v>
      </c>
      <c r="BE71" s="23" t="str">
        <f>VLOOKUP(BD71,CENY!$B$11:$G$1034,2,FALSE)</f>
        <v>QUADRO YOU PLNOVÝSUV 400 MM EB21 SILENT SYSTEM LEVÝ</v>
      </c>
      <c r="BF71" s="24">
        <f>VLOOKUP(BD71,CENY!$B$11:$G$1034,3,FALSE)</f>
        <v>20</v>
      </c>
      <c r="BG71" s="24"/>
      <c r="BH71" s="25">
        <f>AY43</f>
        <v>0</v>
      </c>
      <c r="BI71" s="451">
        <f t="shared" si="6"/>
        <v>0</v>
      </c>
      <c r="BJ71" s="107">
        <f>VLOOKUP(BD71,CENY!$B$11:$M$2005,12,FALSE)</f>
        <v>180.17</v>
      </c>
      <c r="BK71" s="107">
        <f t="shared" si="7"/>
        <v>0</v>
      </c>
    </row>
    <row r="72" spans="47:63" ht="14.4" customHeight="1">
      <c r="AU72" s="22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OBJ!B312</f>
        <v>9256865</v>
      </c>
      <c r="BE72" s="23" t="str">
        <f>VLOOKUP(BD72,CENY!$B$11:$G$1034,2,FALSE)</f>
        <v>QUADRO YOU PLNOVÝSUV 400 MM EB21 SILENT SYSTEM PRAVÝ</v>
      </c>
      <c r="BF72" s="24">
        <f>VLOOKUP(BD72,CENY!$B$11:$G$1034,3,FALSE)</f>
        <v>20</v>
      </c>
      <c r="BG72" s="24"/>
      <c r="BH72" s="25">
        <f>AY43</f>
        <v>0</v>
      </c>
      <c r="BI72" s="451">
        <f t="shared" si="6"/>
        <v>0</v>
      </c>
      <c r="BJ72" s="107">
        <f>VLOOKUP(BD72,CENY!$B$11:$M$2005,12,FALSE)</f>
        <v>180.17</v>
      </c>
      <c r="BK72" s="107">
        <f t="shared" si="7"/>
        <v>0</v>
      </c>
    </row>
    <row r="73" spans="47:63" ht="14.4" customHeight="1">
      <c r="AU73" s="22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OBJ!B313</f>
        <v>9256868</v>
      </c>
      <c r="BE73" s="23" t="str">
        <f>VLOOKUP(BD73,CENY!$B$11:$G$1034,2,FALSE)</f>
        <v>QUADRO YOU PLNOVÝSUV 450 MM EB21 SILENT SYSTEM LEVÝ</v>
      </c>
      <c r="BF73" s="24">
        <f>VLOOKUP(BD73,CENY!$B$11:$G$1034,3,FALSE)</f>
        <v>20</v>
      </c>
      <c r="BG73" s="24"/>
      <c r="BH73" s="25">
        <f>AY44</f>
        <v>0</v>
      </c>
      <c r="BI73" s="451">
        <f t="shared" si="6"/>
        <v>0</v>
      </c>
      <c r="BJ73" s="107">
        <f>VLOOKUP(BD73,CENY!$B$11:$M$2005,12,FALSE)</f>
        <v>183.9</v>
      </c>
      <c r="BK73" s="107">
        <f t="shared" si="7"/>
        <v>0</v>
      </c>
    </row>
    <row r="74" spans="47:63" ht="14.4" customHeight="1">
      <c r="AU74" s="22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OBJ!B314</f>
        <v>9256869</v>
      </c>
      <c r="BE74" s="23" t="str">
        <f>VLOOKUP(BD74,CENY!$B$11:$G$1034,2,FALSE)</f>
        <v>QUADRO YOU PLNOVÝSUV 450 MM EB21 SILENT SYSTEM PRAVÝ</v>
      </c>
      <c r="BF74" s="24">
        <f>VLOOKUP(BD74,CENY!$B$11:$G$1034,3,FALSE)</f>
        <v>20</v>
      </c>
      <c r="BG74" s="24"/>
      <c r="BH74" s="25">
        <f>AY44</f>
        <v>0</v>
      </c>
      <c r="BI74" s="451">
        <f t="shared" si="6"/>
        <v>0</v>
      </c>
      <c r="BJ74" s="107">
        <f>VLOOKUP(BD74,CENY!$B$11:$M$2005,12,FALSE)</f>
        <v>183.9</v>
      </c>
      <c r="BK74" s="107">
        <f t="shared" si="7"/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OBJ!B315</f>
        <v>9256872</v>
      </c>
      <c r="BE75" s="23" t="str">
        <f>VLOOKUP(BD75,CENY!$B$11:$G$1034,2,FALSE)</f>
        <v>QUADRO YOU PLNOVÝSUV 500 MM EB21 SILENT SYSTEM LEVÝ</v>
      </c>
      <c r="BF75" s="24">
        <f>VLOOKUP(BD75,CENY!$B$11:$G$1034,3,FALSE)</f>
        <v>20</v>
      </c>
      <c r="BG75" s="24"/>
      <c r="BH75" s="25">
        <f>AY45</f>
        <v>0</v>
      </c>
      <c r="BI75" s="451">
        <f t="shared" si="6"/>
        <v>0</v>
      </c>
      <c r="BJ75" s="107">
        <f>VLOOKUP(BD75,CENY!$B$11:$M$2005,12,FALSE)</f>
        <v>187.64</v>
      </c>
      <c r="BK75" s="107">
        <f t="shared" si="7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OBJ!B316</f>
        <v>9256873</v>
      </c>
      <c r="BE76" s="23" t="str">
        <f>VLOOKUP(BD76,CENY!$B$11:$G$1034,2,FALSE)</f>
        <v>QUADRO YOU PLNOVÝSUV 500 MM EB21 SILENT SYSTEM PRAVÝ</v>
      </c>
      <c r="BF76" s="24">
        <f>VLOOKUP(BD76,CENY!$B$11:$G$1034,3,FALSE)</f>
        <v>20</v>
      </c>
      <c r="BG76" s="24"/>
      <c r="BH76" s="25">
        <f>AY45</f>
        <v>0</v>
      </c>
      <c r="BI76" s="451">
        <f t="shared" si="6"/>
        <v>0</v>
      </c>
      <c r="BJ76" s="107">
        <f>VLOOKUP(BD76,CENY!$B$11:$M$2005,12,FALSE)</f>
        <v>187.64</v>
      </c>
      <c r="BK76" s="107">
        <f t="shared" si="7"/>
        <v>0</v>
      </c>
    </row>
    <row r="77" spans="47:63" ht="14.4" customHeight="1">
      <c r="AU77" s="22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OBJ!B317</f>
        <v>9256876</v>
      </c>
      <c r="BE77" s="23" t="str">
        <f>VLOOKUP(BD77,CENY!$B$11:$G$1034,2,FALSE)</f>
        <v>QUADRO YOU PLNOVÝSUV 550 MM EB21 SILENT SYSTEM LEVÝ</v>
      </c>
      <c r="BF77" s="24">
        <f>VLOOKUP(BD77,CENY!$B$11:$G$1034,3,FALSE)</f>
        <v>20</v>
      </c>
      <c r="BG77" s="24"/>
      <c r="BH77" s="25">
        <f>AY46</f>
        <v>0</v>
      </c>
      <c r="BI77" s="451">
        <f t="shared" si="6"/>
        <v>0</v>
      </c>
      <c r="BJ77" s="107">
        <f>VLOOKUP(BD77,CENY!$B$11:$M$2005,12,FALSE)</f>
        <v>194.36</v>
      </c>
      <c r="BK77" s="107">
        <f t="shared" si="7"/>
        <v>0</v>
      </c>
    </row>
    <row r="78" spans="47:63" ht="14.4" customHeight="1">
      <c r="AU78" s="22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OBJ!B318</f>
        <v>9256877</v>
      </c>
      <c r="BE78" s="23" t="str">
        <f>VLOOKUP(BD78,CENY!$B$11:$G$1034,2,FALSE)</f>
        <v>QUADRO YOU PLNOVÝSUV 550 MM EB21 SILENT SYSTEM PRAVÝ</v>
      </c>
      <c r="BF78" s="24">
        <f>VLOOKUP(BD78,CENY!$B$11:$G$1034,3,FALSE)</f>
        <v>20</v>
      </c>
      <c r="BG78" s="24"/>
      <c r="BH78" s="25">
        <f>AY46</f>
        <v>0</v>
      </c>
      <c r="BI78" s="451">
        <f t="shared" si="6"/>
        <v>0</v>
      </c>
      <c r="BJ78" s="107">
        <f>VLOOKUP(BD78,CENY!$B$11:$M$2005,12,FALSE)</f>
        <v>194.36</v>
      </c>
      <c r="BK78" s="107">
        <f t="shared" si="7"/>
        <v>0</v>
      </c>
    </row>
    <row r="79" spans="47:63" ht="14.4" customHeight="1">
      <c r="AU79" s="22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OBJ!B319</f>
        <v>9256880</v>
      </c>
      <c r="BE79" s="23" t="str">
        <f>VLOOKUP(BD79,CENY!$B$11:$G$1034,2,FALSE)</f>
        <v>QUADRO YOU PLNOVÝSUV 600 MM EB21 SILENT SYSTEM LEVÝ</v>
      </c>
      <c r="BF79" s="24">
        <f>VLOOKUP(BD79,CENY!$B$11:$G$1034,3,FALSE)</f>
        <v>20</v>
      </c>
      <c r="BG79" s="24"/>
      <c r="BH79" s="25">
        <f>AY47</f>
        <v>0</v>
      </c>
      <c r="BI79" s="451">
        <f t="shared" si="6"/>
        <v>0</v>
      </c>
      <c r="BJ79" s="107">
        <f>VLOOKUP(BD79,CENY!$B$11:$M$2005,12,FALSE)</f>
        <v>198.1</v>
      </c>
      <c r="BK79" s="107">
        <f t="shared" si="7"/>
        <v>0</v>
      </c>
    </row>
    <row r="80" spans="47:63" ht="14.4" customHeight="1">
      <c r="AU80" s="22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OBJ!B320</f>
        <v>9256881</v>
      </c>
      <c r="BE80" s="23" t="str">
        <f>VLOOKUP(BD80,CENY!$B$11:$G$1034,2,FALSE)</f>
        <v>QUADRO YOU PLNOVÝSUV 600 MM EB21 SILENT SYSTEM PRAVÝ</v>
      </c>
      <c r="BF80" s="24">
        <f>VLOOKUP(BD80,CENY!$B$11:$G$1034,3,FALSE)</f>
        <v>20</v>
      </c>
      <c r="BG80" s="24"/>
      <c r="BH80" s="25">
        <f>AY47</f>
        <v>0</v>
      </c>
      <c r="BI80" s="451">
        <f t="shared" si="6"/>
        <v>0</v>
      </c>
      <c r="BJ80" s="107">
        <f>VLOOKUP(BD80,CENY!$B$11:$M$2005,12,FALSE)</f>
        <v>198.1</v>
      </c>
      <c r="BK80" s="107">
        <f t="shared" si="7"/>
        <v>0</v>
      </c>
    </row>
    <row r="81" spans="47:63" ht="14.4" customHeight="1">
      <c r="AU81" s="22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/>
      <c r="BE81" s="23"/>
      <c r="BF81" s="24"/>
      <c r="BG81" s="24"/>
      <c r="BH81" s="25"/>
      <c r="BI81" s="451" t="str">
        <f t="shared" si="6"/>
        <v/>
      </c>
      <c r="BJ81" s="107"/>
      <c r="BK81" s="107" t="str">
        <f t="shared" si="7"/>
        <v/>
      </c>
    </row>
    <row r="82" spans="47:63" ht="14.4" customHeight="1">
      <c r="AU82" s="22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OBJ!B207</f>
        <v>0</v>
      </c>
      <c r="BE82" s="23" t="e">
        <f>VLOOKUP(BD82,CENY!$B$11:$G$1034,2,FALSE)</f>
        <v>#N/A</v>
      </c>
      <c r="BF82" s="24" t="e">
        <f>VLOOKUP(BD82,CENY!$B$11:$G$1034,3,FALSE)</f>
        <v>#N/A</v>
      </c>
      <c r="BG82" s="24"/>
      <c r="BH82" s="25">
        <f>AY51</f>
        <v>0</v>
      </c>
      <c r="BI82" s="451">
        <f t="shared" si="6"/>
        <v>0</v>
      </c>
      <c r="BJ82" s="449" t="str">
        <f>IF(BD82=0,"",VLOOKUP(BD82,CENY!$B$11:$M$2005,12,FALSE))</f>
        <v/>
      </c>
      <c r="BK82" s="107" t="str">
        <f>IF(BJ82="","",BJ82*BH82)</f>
        <v/>
      </c>
    </row>
    <row r="83" spans="47:63" ht="14.4" customHeight="1">
      <c r="AU83" s="22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/>
      <c r="BE83" s="23"/>
      <c r="BF83" s="24"/>
      <c r="BG83" s="24"/>
      <c r="BH83" s="25"/>
      <c r="BI83" s="451" t="str">
        <f t="shared" si="6"/>
        <v/>
      </c>
      <c r="BJ83" s="107"/>
      <c r="BK83" s="107" t="str">
        <f t="shared" si="7"/>
        <v/>
      </c>
    </row>
    <row r="84" spans="47:63" ht="14.4" customHeight="1">
      <c r="AU84" s="441">
        <f>OBJ!B354</f>
        <v>45167</v>
      </c>
      <c r="AV84" s="23" t="str">
        <f>VLOOKUP(AU84,CENY!$B$11:$G$1034,2,FALSE)</f>
        <v>VRUT PANHEAD 35X12</v>
      </c>
      <c r="AW84" s="24">
        <f>VLOOKUP(AU84,CENY!$B$11:$G$1034,3,FALSE)</f>
        <v>200</v>
      </c>
      <c r="AX84" s="24"/>
      <c r="AY84" s="25">
        <f>SUMPRODUCT(AX5:AX13,AY5:AY13)</f>
        <v>0</v>
      </c>
      <c r="AZ84" s="451">
        <f t="shared" si="5"/>
        <v>0</v>
      </c>
      <c r="BA84" s="107">
        <f>VLOOKUP(AU84,CENY!$B$11:$M$2005,12,FALSE)</f>
        <v>0.54</v>
      </c>
      <c r="BB84" s="107">
        <f t="shared" si="4"/>
        <v>0</v>
      </c>
      <c r="BC84" s="97" t="s">
        <v>506</v>
      </c>
      <c r="BD84" s="441">
        <f>OBJ!B354</f>
        <v>45167</v>
      </c>
      <c r="BE84" s="23" t="str">
        <f>VLOOKUP(BD84,CENY!$B$11:$G$1034,2,FALSE)</f>
        <v>VRUT PANHEAD 35X12</v>
      </c>
      <c r="BF84" s="24">
        <f>VLOOKUP(BD84,CENY!$B$11:$G$1034,3,FALSE)</f>
        <v>200</v>
      </c>
      <c r="BG84" s="24"/>
      <c r="BH84" s="25">
        <f>AY84</f>
        <v>0</v>
      </c>
      <c r="BI84" s="451">
        <f>IF(BH84="","",IF($AW$4=0,BH84,0))</f>
        <v>0</v>
      </c>
      <c r="BJ84" s="107">
        <f>VLOOKUP(BD84,CENY!$B$11:$M$2005,12,FALSE)</f>
        <v>0.54</v>
      </c>
      <c r="BK84" s="107">
        <f>IF(BJ84="","",BJ84*BH84)</f>
        <v>0</v>
      </c>
    </row>
    <row r="85" spans="47:63" ht="14.4" customHeight="1">
      <c r="AU85" s="441">
        <f>OBJ!B355</f>
        <v>45168</v>
      </c>
      <c r="AV85" s="23" t="str">
        <f>VLOOKUP(AU85,CENY!$B$11:$G$1034,2,FALSE)</f>
        <v>VRUT PANHEAD 35X20</v>
      </c>
      <c r="AW85" s="24">
        <f>VLOOKUP(AU85,CENY!$B$11:$G$1034,3,FALSE)</f>
        <v>200</v>
      </c>
      <c r="AX85" s="24"/>
      <c r="AY85" s="497">
        <v>0</v>
      </c>
      <c r="AZ85" s="451">
        <f t="shared" si="5"/>
        <v>0</v>
      </c>
      <c r="BA85" s="107">
        <f>VLOOKUP(AU85,CENY!$B$11:$M$2005,12,FALSE)</f>
        <v>0.78</v>
      </c>
      <c r="BB85" s="107">
        <f t="shared" si="4"/>
        <v>0</v>
      </c>
      <c r="BC85" s="97" t="s">
        <v>507</v>
      </c>
      <c r="BD85" s="441">
        <f>OBJ!B355</f>
        <v>45168</v>
      </c>
      <c r="BE85" s="23" t="str">
        <f>VLOOKUP(BD85,CENY!$B$11:$G$1034,2,FALSE)</f>
        <v>VRUT PANHEAD 35X20</v>
      </c>
      <c r="BF85" s="24">
        <f>VLOOKUP(BD85,CENY!$B$11:$G$1034,3,FALSE)</f>
        <v>200</v>
      </c>
      <c r="BG85" s="24"/>
      <c r="BH85" s="497">
        <f>IF(FORM!$AM$8=FORM!$AU$10,BH24*4,0)</f>
        <v>0</v>
      </c>
      <c r="BI85" s="451">
        <f>IF(BH85="","",IF($AW$4=0,BH85,0))</f>
        <v>0</v>
      </c>
      <c r="BJ85" s="107">
        <f>VLOOKUP(BD85,CENY!$B$11:$M$2005,12,FALSE)</f>
        <v>0.78</v>
      </c>
      <c r="BK85" s="107">
        <f>IF(BJ85="","",BJ85*BH85)</f>
        <v>0</v>
      </c>
    </row>
    <row r="86" spans="47:63" ht="14.4" customHeight="1">
      <c r="AU86" s="441">
        <f>OBJ!B356</f>
        <v>9278224</v>
      </c>
      <c r="AV86" s="23" t="str">
        <f>VLOOKUP(AU86,CENY!$B$11:$G$1034,2,FALSE)</f>
        <v>AVANTECH YOU VRUT 3,5X30 PANHEAD POZINK.</v>
      </c>
      <c r="AW86" s="24">
        <f>VLOOKUP(AU86,CENY!$B$11:$G$1034,3,FALSE)</f>
        <v>200</v>
      </c>
      <c r="AX86" s="24"/>
      <c r="AY86" s="497">
        <v>0</v>
      </c>
      <c r="AZ86" s="451">
        <f t="shared" si="5"/>
        <v>0</v>
      </c>
      <c r="BA86" s="107">
        <f>VLOOKUP(AU86,CENY!$B$11:$M$2005,12,FALSE)</f>
        <v>0.73</v>
      </c>
      <c r="BB86" s="107">
        <f t="shared" si="4"/>
        <v>0</v>
      </c>
      <c r="BC86" s="97" t="s">
        <v>508</v>
      </c>
      <c r="BD86" s="441">
        <f>OBJ!B356</f>
        <v>9278224</v>
      </c>
      <c r="BE86" s="23" t="str">
        <f>VLOOKUP(BD86,CENY!$B$11:$G$1034,2,FALSE)</f>
        <v>AVANTECH YOU VRUT 3,5X30 PANHEAD POZINK.</v>
      </c>
      <c r="BF86" s="24">
        <f>VLOOKUP(BD86,CENY!$B$11:$G$1034,3,FALSE)</f>
        <v>200</v>
      </c>
      <c r="BG86" s="24"/>
      <c r="BH86" s="497">
        <f>2*SUM(BH5:BH22)</f>
        <v>0</v>
      </c>
      <c r="BI86" s="451">
        <f>IF(BH86="","",IF($AW$4=0,BH86,0))</f>
        <v>0</v>
      </c>
      <c r="BJ86" s="107">
        <f>VLOOKUP(BD86,CENY!$B$11:$M$2005,12,FALSE)</f>
        <v>0.73</v>
      </c>
      <c r="BK86" s="107">
        <f>IF(BJ86="","",BJ86*BH86)</f>
        <v>0</v>
      </c>
    </row>
    <row r="87" spans="47:63" ht="14.4" customHeight="1">
      <c r="AU87" s="441">
        <f>OBJ!B357</f>
        <v>9279197</v>
      </c>
      <c r="AV87" s="23" t="str">
        <f>VLOOKUP(AU87,CENY!$B$11:$G$1034,2,FALSE)</f>
        <v>SAMOŘEZNÝ ŠROUB 3,5X12 PANHEAD POZINK.</v>
      </c>
      <c r="AW87" s="24">
        <f>VLOOKUP(AU87,CENY!$B$11:$G$1034,3,FALSE)</f>
        <v>1000</v>
      </c>
      <c r="AX87" s="24"/>
      <c r="AY87" s="77">
        <v>0</v>
      </c>
      <c r="AZ87" s="451">
        <f t="shared" si="5"/>
        <v>0</v>
      </c>
      <c r="BA87" s="107">
        <f>VLOOKUP(AU87,CENY!$B$11:$M$2005,12,FALSE)</f>
        <v>1.51</v>
      </c>
      <c r="BB87" s="107">
        <f t="shared" si="4"/>
        <v>0</v>
      </c>
      <c r="BC87" s="97" t="s">
        <v>509</v>
      </c>
      <c r="BD87" s="441">
        <f>OBJ!B357</f>
        <v>9279197</v>
      </c>
      <c r="BE87" s="23" t="str">
        <f>VLOOKUP(BD87,CENY!$B$11:$G$1034,2,FALSE)</f>
        <v>SAMOŘEZNÝ ŠROUB 3,5X12 PANHEAD POZINK.</v>
      </c>
      <c r="BF87" s="24">
        <f>VLOOKUP(BD87,CENY!$B$11:$G$1034,3,FALSE)</f>
        <v>1000</v>
      </c>
      <c r="BG87" s="24"/>
      <c r="BH87" s="77">
        <f>AY87</f>
        <v>0</v>
      </c>
      <c r="BI87" s="451">
        <f>IF(BH87="","",IF($AW$4=0,BH87,0))</f>
        <v>0</v>
      </c>
      <c r="BJ87" s="107">
        <f>VLOOKUP(BD87,CENY!$B$11:$M$2005,12,FALSE)</f>
        <v>1.51</v>
      </c>
      <c r="BK87" s="107">
        <f>IF(BJ87="","",BJ87*BH87)</f>
        <v>0</v>
      </c>
    </row>
    <row r="88" spans="47:63" ht="14.4" customHeight="1">
      <c r="AU88" s="441">
        <f>OBJ!B358</f>
        <v>9137114</v>
      </c>
      <c r="AV88" s="23" t="str">
        <f>VLOOKUP(AU88,CENY!$B$11:$G$1034,2,FALSE)</f>
        <v>EUROŠROUB DBS 60 X 14</v>
      </c>
      <c r="AW88" s="24">
        <f>VLOOKUP(AU88,CENY!$B$11:$G$1034,3,FALSE)</f>
        <v>200</v>
      </c>
      <c r="AX88" s="24"/>
      <c r="AY88" s="25">
        <f>SUMPRODUCT(AX25:AX47,AY25:AY47)</f>
        <v>0</v>
      </c>
      <c r="AZ88" s="451">
        <f t="shared" si="5"/>
        <v>0</v>
      </c>
      <c r="BA88" s="107">
        <f>VLOOKUP(AU88,CENY!$B$11:$M$2005,12,FALSE)</f>
        <v>1.2</v>
      </c>
      <c r="BB88" s="107">
        <f t="shared" si="4"/>
        <v>0</v>
      </c>
      <c r="BC88" s="97" t="s">
        <v>510</v>
      </c>
      <c r="BD88" s="441">
        <f>OBJ!B358</f>
        <v>9137114</v>
      </c>
      <c r="BE88" s="23" t="str">
        <f>VLOOKUP(BD88,CENY!$B$11:$G$1034,2,FALSE)</f>
        <v>EUROŠROUB DBS 60 X 14</v>
      </c>
      <c r="BF88" s="24">
        <f>VLOOKUP(BD88,CENY!$B$11:$G$1034,3,FALSE)</f>
        <v>200</v>
      </c>
      <c r="BG88" s="24"/>
      <c r="BH88" s="25">
        <f>AY88</f>
        <v>0</v>
      </c>
      <c r="BI88" s="451">
        <f>IF(BH88="","",IF($AW$4=0,BH88,0))</f>
        <v>0</v>
      </c>
      <c r="BJ88" s="107">
        <f>VLOOKUP(BD88,CENY!$B$11:$M$2005,12,FALSE)</f>
        <v>1.2</v>
      </c>
      <c r="BK88" s="107">
        <f>IF(BJ88="","",BJ88*BH88)</f>
        <v>0</v>
      </c>
    </row>
    <row r="89" spans="47:63" ht="14.4" customHeight="1">
      <c r="AU89" s="22"/>
      <c r="AV89" s="23"/>
      <c r="AW89" s="24"/>
      <c r="AX89" s="24"/>
      <c r="AY89" s="25"/>
      <c r="AZ89" s="451"/>
      <c r="BA89" s="107"/>
      <c r="BB89" s="107"/>
      <c r="BD89" s="441"/>
      <c r="BE89" s="23"/>
      <c r="BF89" s="24"/>
      <c r="BG89" s="24"/>
      <c r="BH89" s="25"/>
      <c r="BI89" s="451"/>
      <c r="BJ89" s="107"/>
      <c r="BK89" s="107"/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/>
      <c r="BE90" s="23"/>
      <c r="BF90" s="24"/>
      <c r="BG90" s="24"/>
      <c r="BH90" s="25"/>
      <c r="BI90" s="451" t="str">
        <f>IF(BH90="","",IF($AW$4=0,BH90,0))</f>
        <v/>
      </c>
      <c r="BJ90" s="107"/>
      <c r="BK90" s="107" t="str">
        <f>IF(BJ90="","",BJ90*BH90)</f>
        <v/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/>
      <c r="BE91" s="23"/>
      <c r="BF91" s="24"/>
      <c r="BG91" s="24"/>
      <c r="BH91" s="25"/>
      <c r="BI91" s="451" t="str">
        <f>IF(BH91="","",IF($AW$4=0,BH91,0))</f>
        <v/>
      </c>
      <c r="BJ91" s="107"/>
      <c r="BK91" s="107" t="str">
        <f>IF(BJ91="","",BJ91*BH91)</f>
        <v/>
      </c>
    </row>
    <row r="92" spans="47:63" ht="14.4" customHeight="1"/>
    <row r="93" spans="47:63" ht="14.4" customHeight="1"/>
    <row r="94" spans="47:63" ht="14.4" customHeight="1"/>
    <row r="95" spans="47:63" ht="14.4" customHeight="1"/>
    <row r="96" spans="47:63" ht="14.4" customHeight="1"/>
    <row r="97" ht="14.4" customHeight="1"/>
    <row r="98" ht="14.4" customHeight="1"/>
    <row r="99" ht="14.4" customHeight="1"/>
  </sheetData>
  <sheetProtection password="DD97" sheet="1"/>
  <mergeCells count="77">
    <mergeCell ref="U25:V25"/>
    <mergeCell ref="W25:X25"/>
    <mergeCell ref="Y25:Z25"/>
    <mergeCell ref="AA25:AB25"/>
    <mergeCell ref="AC25:AD25"/>
    <mergeCell ref="B25:G25"/>
    <mergeCell ref="H25:L25"/>
    <mergeCell ref="M25:N25"/>
    <mergeCell ref="O25:P25"/>
    <mergeCell ref="Q25:R25"/>
    <mergeCell ref="S25:T25"/>
    <mergeCell ref="AE20:AF20"/>
    <mergeCell ref="O24:P24"/>
    <mergeCell ref="Q24:R24"/>
    <mergeCell ref="S24:T24"/>
    <mergeCell ref="U24:V24"/>
    <mergeCell ref="W24:X24"/>
    <mergeCell ref="Y24:Z24"/>
    <mergeCell ref="AA24:AB24"/>
    <mergeCell ref="AC24:AD24"/>
    <mergeCell ref="S20:T20"/>
    <mergeCell ref="U20:V20"/>
    <mergeCell ref="W20:X20"/>
    <mergeCell ref="Y20:Z20"/>
    <mergeCell ref="AA20:AB20"/>
    <mergeCell ref="AC20:AD20"/>
    <mergeCell ref="B20:G20"/>
    <mergeCell ref="H20:L20"/>
    <mergeCell ref="M20:N20"/>
    <mergeCell ref="O20:P20"/>
    <mergeCell ref="Q20:R20"/>
    <mergeCell ref="B19:G19"/>
    <mergeCell ref="H19:L19"/>
    <mergeCell ref="M19:N19"/>
    <mergeCell ref="O19:P19"/>
    <mergeCell ref="Q19:R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U19:V19"/>
    <mergeCell ref="W19:X19"/>
    <mergeCell ref="Y19:Z19"/>
    <mergeCell ref="AA19:AB19"/>
    <mergeCell ref="AC19:AD19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BH5:BI5 AY5:AZ5 BH6:BH24 AY6:AY42 BH26:BH65 AY89:AZ91 BI89:BI91 BI6:BI82 AZ6:AZ83 AY69:AY83 BH83:BI83">
    <cfRule type="cellIs" dxfId="71" priority="30" stopIfTrue="1" operator="equal">
      <formula>0</formula>
    </cfRule>
  </conditionalFormatting>
  <conditionalFormatting sqref="O17:AF17 O19:T19 W20:AF20 O25:T25">
    <cfRule type="expression" dxfId="70" priority="29" stopIfTrue="1">
      <formula>$AW$4=0</formula>
    </cfRule>
  </conditionalFormatting>
  <conditionalFormatting sqref="AY50 AY52:AY54">
    <cfRule type="cellIs" dxfId="69" priority="28" stopIfTrue="1" operator="equal">
      <formula>0</formula>
    </cfRule>
  </conditionalFormatting>
  <conditionalFormatting sqref="AY55">
    <cfRule type="cellIs" dxfId="68" priority="27" stopIfTrue="1" operator="equal">
      <formula>0</formula>
    </cfRule>
  </conditionalFormatting>
  <conditionalFormatting sqref="AY59:AY68">
    <cfRule type="cellIs" dxfId="67" priority="26" stopIfTrue="1" operator="equal">
      <formula>0</formula>
    </cfRule>
  </conditionalFormatting>
  <conditionalFormatting sqref="BH25">
    <cfRule type="cellIs" dxfId="66" priority="25" stopIfTrue="1" operator="equal">
      <formula>0</formula>
    </cfRule>
  </conditionalFormatting>
  <conditionalFormatting sqref="AY43:AY48">
    <cfRule type="cellIs" dxfId="65" priority="24" stopIfTrue="1" operator="equal">
      <formula>0</formula>
    </cfRule>
  </conditionalFormatting>
  <conditionalFormatting sqref="AY49">
    <cfRule type="cellIs" dxfId="64" priority="23" stopIfTrue="1" operator="equal">
      <formula>0</formula>
    </cfRule>
  </conditionalFormatting>
  <conditionalFormatting sqref="AY56:AY58">
    <cfRule type="cellIs" dxfId="63" priority="22" stopIfTrue="1" operator="equal">
      <formula>0</formula>
    </cfRule>
  </conditionalFormatting>
  <conditionalFormatting sqref="BH81">
    <cfRule type="cellIs" dxfId="62" priority="21" stopIfTrue="1" operator="equal">
      <formula>0</formula>
    </cfRule>
  </conditionalFormatting>
  <conditionalFormatting sqref="BH89:BH91">
    <cfRule type="cellIs" dxfId="61" priority="20" stopIfTrue="1" operator="equal">
      <formula>0</formula>
    </cfRule>
  </conditionalFormatting>
  <conditionalFormatting sqref="BH66:BH80">
    <cfRule type="cellIs" dxfId="60" priority="18" stopIfTrue="1" operator="equal">
      <formula>0</formula>
    </cfRule>
  </conditionalFormatting>
  <conditionalFormatting sqref="AY51">
    <cfRule type="cellIs" dxfId="59" priority="17" stopIfTrue="1" operator="equal">
      <formula>0</formula>
    </cfRule>
  </conditionalFormatting>
  <conditionalFormatting sqref="BH82">
    <cfRule type="cellIs" dxfId="58" priority="16" stopIfTrue="1" operator="equal">
      <formula>0</formula>
    </cfRule>
  </conditionalFormatting>
  <conditionalFormatting sqref="F13:K13">
    <cfRule type="expression" dxfId="57" priority="15" stopIfTrue="1">
      <formula>$AW$4=1</formula>
    </cfRule>
  </conditionalFormatting>
  <conditionalFormatting sqref="U19:AD19">
    <cfRule type="expression" dxfId="56" priority="11" stopIfTrue="1">
      <formula>$AW$4=0</formula>
    </cfRule>
  </conditionalFormatting>
  <conditionalFormatting sqref="AC25:AD25">
    <cfRule type="expression" dxfId="55" priority="6" stopIfTrue="1">
      <formula>$AW$4=0</formula>
    </cfRule>
  </conditionalFormatting>
  <conditionalFormatting sqref="U25:V25">
    <cfRule type="expression" dxfId="54" priority="10" stopIfTrue="1">
      <formula>$AW$4=0</formula>
    </cfRule>
  </conditionalFormatting>
  <conditionalFormatting sqref="W25:X25">
    <cfRule type="expression" dxfId="53" priority="9" stopIfTrue="1">
      <formula>$AW$4=0</formula>
    </cfRule>
  </conditionalFormatting>
  <conditionalFormatting sqref="Y25:Z25">
    <cfRule type="expression" dxfId="52" priority="8" stopIfTrue="1">
      <formula>$AW$4=0</formula>
    </cfRule>
  </conditionalFormatting>
  <conditionalFormatting sqref="AA25:AB25">
    <cfRule type="expression" dxfId="51" priority="7" stopIfTrue="1">
      <formula>$AW$4=0</formula>
    </cfRule>
  </conditionalFormatting>
  <conditionalFormatting sqref="AZ84:AZ88">
    <cfRule type="cellIs" dxfId="50" priority="5" stopIfTrue="1" operator="equal">
      <formula>0</formula>
    </cfRule>
  </conditionalFormatting>
  <conditionalFormatting sqref="AY84:AY88">
    <cfRule type="cellIs" dxfId="49" priority="4" stopIfTrue="1" operator="equal">
      <formula>0</formula>
    </cfRule>
  </conditionalFormatting>
  <conditionalFormatting sqref="BH84 BH87:BH88">
    <cfRule type="cellIs" dxfId="48" priority="3" stopIfTrue="1" operator="equal">
      <formula>0</formula>
    </cfRule>
  </conditionalFormatting>
  <conditionalFormatting sqref="BI84:BI88">
    <cfRule type="cellIs" dxfId="47" priority="2" stopIfTrue="1" operator="equal">
      <formula>0</formula>
    </cfRule>
  </conditionalFormatting>
  <conditionalFormatting sqref="BH85:BH86">
    <cfRule type="cellIs" dxfId="46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9" tint="-0.249977111117893"/>
  </sheetPr>
  <dimension ref="A1:BK86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SUM(BB5:BB939)</f>
        <v>0</v>
      </c>
      <c r="BD4" s="105" t="s">
        <v>40</v>
      </c>
      <c r="BK4" s="444">
        <f>SUM(BK5:BK932)</f>
        <v>0</v>
      </c>
    </row>
    <row r="5" spans="1:63" ht="14.4" customHeight="1">
      <c r="AU5" s="441">
        <f>OBJ!B161</f>
        <v>9257173</v>
      </c>
      <c r="AV5" s="23" t="str">
        <f>VLOOKUP(AU5,CENY!$B$11:$G$1034,2,FALSE)</f>
        <v>AVANTECH YOU BOKY V SADĚ INLAY V187 MM L350 MM STŘÍBRNÁ</v>
      </c>
      <c r="AW5" s="24">
        <f>VLOOKUP(AU5,CENY!$B$11:$G$1034,3,FALSE)</f>
        <v>1</v>
      </c>
      <c r="AX5" s="499">
        <v>6</v>
      </c>
      <c r="AY5" s="25">
        <f>2*(S19+S25)</f>
        <v>0</v>
      </c>
      <c r="AZ5" s="451">
        <f t="shared" ref="AZ5:AZ61" si="0">IF(AY5="","",IF($AW$4=1,AY5,0))</f>
        <v>0</v>
      </c>
      <c r="BA5" s="107">
        <f>VLOOKUP(AU5,CENY!$B$11:$M$2005,12,FALSE)</f>
        <v>890.83</v>
      </c>
      <c r="BB5" s="107">
        <f t="shared" ref="BB5:BB60" si="1">IF(BA5="","",BA5*AY5)</f>
        <v>0</v>
      </c>
      <c r="BD5" s="441">
        <f>OBJ!B169</f>
        <v>9257131</v>
      </c>
      <c r="BE5" s="23" t="str">
        <f>VLOOKUP(BD5,CENY!$B$11:$G$1034,2,FALSE)</f>
        <v>AVANTECH YOU BOK INLAY V187 MM NL350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 t="shared" ref="BI5:BI55" si="2">IF(BH5="","",IF($AW$4=0,BH5,0))</f>
        <v>0</v>
      </c>
      <c r="BJ5" s="107">
        <f>VLOOKUP(BD5,CENY!$B$11:$M$2005,12,FALSE)</f>
        <v>324.87</v>
      </c>
      <c r="BK5" s="107">
        <f t="shared" ref="BK5:BK55" si="3"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500</v>
      </c>
      <c r="G6" s="554"/>
      <c r="H6" s="554"/>
      <c r="I6" s="554"/>
      <c r="J6" s="554"/>
      <c r="K6" s="554"/>
      <c r="AU6" s="441">
        <f>OBJ!B162</f>
        <v>9257174</v>
      </c>
      <c r="AV6" s="23" t="str">
        <f>VLOOKUP(AU6,CENY!$B$11:$G$1034,2,FALSE)</f>
        <v>AVANTECH YOU BOKY V SADĚ INLAY V187 MM L400 MM STŘÍBRNÁ</v>
      </c>
      <c r="AW6" s="24">
        <f>VLOOKUP(AU6,CENY!$B$11:$G$1034,3,FALSE)</f>
        <v>1</v>
      </c>
      <c r="AX6" s="499">
        <v>6</v>
      </c>
      <c r="AY6" s="25">
        <f>2*(U19+U25)</f>
        <v>0</v>
      </c>
      <c r="AZ6" s="451">
        <f t="shared" si="0"/>
        <v>0</v>
      </c>
      <c r="BA6" s="107">
        <f>VLOOKUP(AU6,CENY!$B$11:$M$2005,12,FALSE)</f>
        <v>902.57</v>
      </c>
      <c r="BB6" s="107">
        <f t="shared" si="1"/>
        <v>0</v>
      </c>
      <c r="BD6" s="441">
        <f>OBJ!B170</f>
        <v>9257132</v>
      </c>
      <c r="BE6" s="23" t="str">
        <f>VLOOKUP(BD6,CENY!$B$11:$G$1034,2,FALSE)</f>
        <v>AVANTECH YOU BOK INLAY V187 MM NL350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si="2"/>
        <v>0</v>
      </c>
      <c r="BJ6" s="107">
        <f>VLOOKUP(BD6,CENY!$B$11:$M$2005,12,FALSE)</f>
        <v>324.87</v>
      </c>
      <c r="BK6" s="107">
        <f t="shared" si="3"/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OBJ!B163</f>
        <v>9257175</v>
      </c>
      <c r="AV7" s="23" t="str">
        <f>VLOOKUP(AU7,CENY!$B$11:$G$1034,2,FALSE)</f>
        <v>AVANTECH YOU BOKY V SADĚ INLAY V187 MM L450 MM STŘÍBRNÁ</v>
      </c>
      <c r="AW7" s="24">
        <f>VLOOKUP(AU7,CENY!$B$11:$G$1034,3,FALSE)</f>
        <v>1</v>
      </c>
      <c r="AX7" s="499">
        <v>6</v>
      </c>
      <c r="AY7" s="25">
        <f>2*(W19+W20+W25)</f>
        <v>0</v>
      </c>
      <c r="AZ7" s="451">
        <f t="shared" si="0"/>
        <v>0</v>
      </c>
      <c r="BA7" s="107">
        <f>VLOOKUP(AU7,CENY!$B$11:$M$2005,12,FALSE)</f>
        <v>914.31</v>
      </c>
      <c r="BB7" s="107">
        <f t="shared" si="1"/>
        <v>0</v>
      </c>
      <c r="BD7" s="441">
        <f>OBJ!B171</f>
        <v>9257133</v>
      </c>
      <c r="BE7" s="23" t="str">
        <f>VLOOKUP(BD7,CENY!$B$11:$G$1034,2,FALSE)</f>
        <v>AVANTECH YOU BOK INLAY V187 MM NL400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330.74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OBJ!B164</f>
        <v>9257176</v>
      </c>
      <c r="AV8" s="23" t="str">
        <f>VLOOKUP(AU8,CENY!$B$11:$G$1034,2,FALSE)</f>
        <v>AVANTECH YOU BOKY V SADĚ INLAY V187 MM L500 MM STŘÍBRNÁ</v>
      </c>
      <c r="AW8" s="24">
        <f>VLOOKUP(AU8,CENY!$B$11:$G$1034,3,FALSE)</f>
        <v>1</v>
      </c>
      <c r="AX8" s="499">
        <v>8</v>
      </c>
      <c r="AY8" s="25">
        <f>2*(Y19+Y20+Y25)</f>
        <v>0</v>
      </c>
      <c r="AZ8" s="451">
        <f t="shared" si="0"/>
        <v>0</v>
      </c>
      <c r="BA8" s="107">
        <f>VLOOKUP(AU8,CENY!$B$11:$M$2005,12,FALSE)</f>
        <v>926.05</v>
      </c>
      <c r="BB8" s="107">
        <f t="shared" si="1"/>
        <v>0</v>
      </c>
      <c r="BD8" s="441">
        <f>OBJ!B172</f>
        <v>9257134</v>
      </c>
      <c r="BE8" s="23" t="str">
        <f>VLOOKUP(BD8,CENY!$B$11:$G$1034,2,FALSE)</f>
        <v>AVANTECH YOU BOK INLAY V187 MM NL400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330.74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OBJ!B165</f>
        <v>9257177</v>
      </c>
      <c r="AV9" s="23" t="str">
        <f>VLOOKUP(AU9,CENY!$B$11:$G$1034,2,FALSE)</f>
        <v>AVANTECH YOU BOKY V SADĚ INLAY V187 MM L550 MM STŘÍBRNÁ</v>
      </c>
      <c r="AW9" s="24">
        <f>VLOOKUP(AU9,CENY!$B$11:$G$1034,3,FALSE)</f>
        <v>1</v>
      </c>
      <c r="AX9" s="499">
        <v>8</v>
      </c>
      <c r="AY9" s="25">
        <f>2*(AA19+AA20+AA25)</f>
        <v>0</v>
      </c>
      <c r="AZ9" s="451">
        <f t="shared" si="0"/>
        <v>0</v>
      </c>
      <c r="BA9" s="107">
        <f>VLOOKUP(AU9,CENY!$B$11:$M$2005,12,FALSE)</f>
        <v>937.8</v>
      </c>
      <c r="BB9" s="107">
        <f t="shared" si="1"/>
        <v>0</v>
      </c>
      <c r="BD9" s="441">
        <f>OBJ!B173</f>
        <v>9257135</v>
      </c>
      <c r="BE9" s="23" t="str">
        <f>VLOOKUP(BD9,CENY!$B$11:$G$1034,2,FALSE)</f>
        <v>AVANTECH YOU BOK INLAY V187 MM NL450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336.61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OBJ!B166</f>
        <v>9257178</v>
      </c>
      <c r="AV10" s="23" t="str">
        <f>VLOOKUP(AU10,CENY!$B$11:$G$1034,2,FALSE)</f>
        <v>AVANTECH YOU BOKY V SADĚ INLAY V187 MM L600 MM STŘÍBRNÁ</v>
      </c>
      <c r="AW10" s="24">
        <f>VLOOKUP(AU10,CENY!$B$11:$G$1034,3,FALSE)</f>
        <v>1</v>
      </c>
      <c r="AX10" s="499">
        <v>8</v>
      </c>
      <c r="AY10" s="25">
        <f>2*(AC19+AC20+AC25)</f>
        <v>0</v>
      </c>
      <c r="AZ10" s="451">
        <f t="shared" si="0"/>
        <v>0</v>
      </c>
      <c r="BA10" s="107">
        <f>VLOOKUP(AU10,CENY!$B$11:$M$2005,12,FALSE)</f>
        <v>955.51</v>
      </c>
      <c r="BB10" s="107">
        <f t="shared" si="1"/>
        <v>0</v>
      </c>
      <c r="BD10" s="441">
        <f>OBJ!B174</f>
        <v>9257136</v>
      </c>
      <c r="BE10" s="23" t="str">
        <f>VLOOKUP(BD10,CENY!$B$11:$G$1034,2,FALSE)</f>
        <v>AVANTECH YOU BOK INLAY V187 MM NL450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336.61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OBJ!B167</f>
        <v>9257179</v>
      </c>
      <c r="AV11" s="23" t="str">
        <f>VLOOKUP(AU11,CENY!$B$11:$G$1034,2,FALSE)</f>
        <v>AVANTECH YOU BOKY V SADĚ INLAY V187 MM L650 MM STŘÍBRNÁ</v>
      </c>
      <c r="AW11" s="24">
        <f>VLOOKUP(AU11,CENY!$B$11:$G$1034,3,FALSE)</f>
        <v>1</v>
      </c>
      <c r="AX11" s="499">
        <v>10</v>
      </c>
      <c r="AY11" s="25">
        <f>2*(AE20)</f>
        <v>0</v>
      </c>
      <c r="AZ11" s="451">
        <f t="shared" si="0"/>
        <v>0</v>
      </c>
      <c r="BA11" s="107">
        <f>VLOOKUP(AU11,CENY!$B$11:$M$2005,12,FALSE)</f>
        <v>979.59</v>
      </c>
      <c r="BB11" s="107">
        <f t="shared" si="1"/>
        <v>0</v>
      </c>
      <c r="BD11" s="441">
        <f>OBJ!B175</f>
        <v>9257137</v>
      </c>
      <c r="BE11" s="23" t="str">
        <f>VLOOKUP(BD11,CENY!$B$11:$G$1034,2,FALSE)</f>
        <v>AVANTECH YOU BOK INLAY V187 MM NL500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342.48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/>
      <c r="AV12" s="23"/>
      <c r="AW12" s="24"/>
      <c r="AX12" s="24"/>
      <c r="AY12" s="25"/>
      <c r="AZ12" s="451" t="str">
        <f t="shared" si="0"/>
        <v/>
      </c>
      <c r="BA12" s="107"/>
      <c r="BB12" s="107" t="str">
        <f t="shared" si="1"/>
        <v/>
      </c>
      <c r="BD12" s="441">
        <f>OBJ!B176</f>
        <v>9257138</v>
      </c>
      <c r="BE12" s="23" t="str">
        <f>VLOOKUP(BD12,CENY!$B$11:$G$1034,2,FALSE)</f>
        <v>AVANTECH YOU BOK INLAY V187 MM NL500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342.48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OBJ!B209</f>
        <v>9283178</v>
      </c>
      <c r="AV13" s="23" t="str">
        <f>VLOOKUP(AU13,CENY!$B$11:$G$1034,2,FALSE)</f>
        <v>AVANTECH YOU SKLENĚNÁ VÝPLŇ 10 MM K BOKŮM INLAY NL350 MM</v>
      </c>
      <c r="AW13" s="24">
        <f>VLOOKUP(AU13,CENY!$B$11:$G$1034,3,FALSE)</f>
        <v>1</v>
      </c>
      <c r="AX13" s="24"/>
      <c r="AY13" s="25">
        <f>2*(S19+S25)</f>
        <v>0</v>
      </c>
      <c r="AZ13" s="451">
        <f t="shared" si="0"/>
        <v>0</v>
      </c>
      <c r="BA13" s="107">
        <f>VLOOKUP(AU13,CENY!$B$11:$M$2005,12,FALSE)</f>
        <v>670.1</v>
      </c>
      <c r="BB13" s="107">
        <f t="shared" si="1"/>
        <v>0</v>
      </c>
      <c r="BD13" s="441">
        <f>OBJ!B177</f>
        <v>9257139</v>
      </c>
      <c r="BE13" s="23" t="str">
        <f>VLOOKUP(BD13,CENY!$B$11:$G$1034,2,FALSE)</f>
        <v>AVANTECH YOU BOK INLAY V187 MM NL550 MM STŘÍBRNÝ LEVÝ</v>
      </c>
      <c r="BF13" s="24">
        <f>VLOOKUP(BD13,CENY!$B$11:$G$1034,3,FALSE)</f>
        <v>10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348.35</v>
      </c>
      <c r="BK13" s="107">
        <f t="shared" si="3"/>
        <v>0</v>
      </c>
    </row>
    <row r="14" spans="1:63" ht="14.4" customHeight="1">
      <c r="AU14" s="441">
        <f>OBJ!B210</f>
        <v>9283179</v>
      </c>
      <c r="AV14" s="23" t="str">
        <f>VLOOKUP(AU14,CENY!$B$11:$G$1034,2,FALSE)</f>
        <v>AVANTECH YOU SKLENĚNÁ VÝPLŇ 10 MM K BOKŮM INLAY NL400 MM</v>
      </c>
      <c r="AW14" s="24">
        <f>VLOOKUP(AU14,CENY!$B$11:$G$1034,3,FALSE)</f>
        <v>1</v>
      </c>
      <c r="AX14" s="24"/>
      <c r="AY14" s="25">
        <f>2*(U19+U25)</f>
        <v>0</v>
      </c>
      <c r="AZ14" s="451">
        <f t="shared" si="0"/>
        <v>0</v>
      </c>
      <c r="BA14" s="107">
        <f>VLOOKUP(AU14,CENY!$B$11:$M$2005,12,FALSE)</f>
        <v>708.04</v>
      </c>
      <c r="BB14" s="107">
        <f t="shared" si="1"/>
        <v>0</v>
      </c>
      <c r="BD14" s="441">
        <f>OBJ!B178</f>
        <v>9257140</v>
      </c>
      <c r="BE14" s="23" t="str">
        <f>VLOOKUP(BD14,CENY!$B$11:$G$1034,2,FALSE)</f>
        <v>AVANTECH YOU BOK INLAY V187 MM NL550 MM STŘÍBRNÝ PRAVÝ</v>
      </c>
      <c r="BF14" s="24">
        <f>VLOOKUP(BD14,CENY!$B$11:$G$1034,3,FALSE)</f>
        <v>10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348.35</v>
      </c>
      <c r="BK14" s="107">
        <f t="shared" si="3"/>
        <v>0</v>
      </c>
    </row>
    <row r="15" spans="1:63" ht="14.4" customHeight="1">
      <c r="AU15" s="441">
        <f>OBJ!B211</f>
        <v>9283180</v>
      </c>
      <c r="AV15" s="23" t="str">
        <f>VLOOKUP(AU15,CENY!$B$11:$G$1034,2,FALSE)</f>
        <v>AVANTECH YOU SKLENĚNÁ VÝPLŇ 10 MM K BOKŮM INLAY NL450 MM</v>
      </c>
      <c r="AW15" s="24">
        <f>VLOOKUP(AU15,CENY!$B$11:$G$1034,3,FALSE)</f>
        <v>1</v>
      </c>
      <c r="AX15" s="24"/>
      <c r="AY15" s="25">
        <f>2*(W19+W20+W25)</f>
        <v>0</v>
      </c>
      <c r="AZ15" s="451">
        <f t="shared" si="0"/>
        <v>0</v>
      </c>
      <c r="BA15" s="107">
        <f>VLOOKUP(AU15,CENY!$B$11:$M$2005,12,FALSE)</f>
        <v>745.99</v>
      </c>
      <c r="BB15" s="107">
        <f t="shared" si="1"/>
        <v>0</v>
      </c>
      <c r="BD15" s="441">
        <f>OBJ!B179</f>
        <v>9257141</v>
      </c>
      <c r="BE15" s="23" t="str">
        <f>VLOOKUP(BD15,CENY!$B$11:$G$1034,2,FALSE)</f>
        <v>AVANTECH YOU BOK INLAY V187 MM NL600 MM STŘÍBRNÝ LEVÝ</v>
      </c>
      <c r="BF15" s="24">
        <f>VLOOKUP(BD15,CENY!$B$11:$G$1034,3,FALSE)</f>
        <v>10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357.21</v>
      </c>
      <c r="BK15" s="107">
        <f t="shared" si="3"/>
        <v>0</v>
      </c>
    </row>
    <row r="16" spans="1:63" ht="14.4" customHeight="1">
      <c r="AU16" s="441">
        <f>OBJ!B212</f>
        <v>9283181</v>
      </c>
      <c r="AV16" s="23" t="str">
        <f>VLOOKUP(AU16,CENY!$B$11:$G$1034,2,FALSE)</f>
        <v>AVANTECH YOU SKLENĚNÁ VÝPLŇ 10 MM K BOKŮM INLAY NL500 MM</v>
      </c>
      <c r="AW16" s="24">
        <f>VLOOKUP(AU16,CENY!$B$11:$G$1034,3,FALSE)</f>
        <v>1</v>
      </c>
      <c r="AX16" s="24"/>
      <c r="AY16" s="25">
        <f>2*(Y19+Y20+Y25)</f>
        <v>0</v>
      </c>
      <c r="AZ16" s="451">
        <f t="shared" si="0"/>
        <v>0</v>
      </c>
      <c r="BA16" s="107">
        <f>VLOOKUP(AU16,CENY!$B$11:$M$2005,12,FALSE)</f>
        <v>783.93</v>
      </c>
      <c r="BB16" s="107">
        <f t="shared" si="1"/>
        <v>0</v>
      </c>
      <c r="BD16" s="441">
        <f>OBJ!B180</f>
        <v>9257142</v>
      </c>
      <c r="BE16" s="23" t="str">
        <f>VLOOKUP(BD16,CENY!$B$11:$G$1034,2,FALSE)</f>
        <v>AVANTECH YOU BOK INLAY V187 MM NL600 MM STŘÍBRNÝ PRAVÝ</v>
      </c>
      <c r="BF16" s="24">
        <f>VLOOKUP(BD16,CENY!$B$11:$G$1034,3,FALSE)</f>
        <v>10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357.21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U17" s="441">
        <f>OBJ!B213</f>
        <v>9283182</v>
      </c>
      <c r="AV17" s="23" t="str">
        <f>VLOOKUP(AU17,CENY!$B$11:$G$1034,2,FALSE)</f>
        <v>AVANTECH YOU SKLENĚNÁ VÝPLŇ 10 MM K BOKŮM INLAY NL550 MM</v>
      </c>
      <c r="AW17" s="24">
        <f>VLOOKUP(AU17,CENY!$B$11:$G$1034,3,FALSE)</f>
        <v>1</v>
      </c>
      <c r="AX17" s="24"/>
      <c r="AY17" s="25">
        <f>2*(AA19+AA20+AA25)</f>
        <v>0</v>
      </c>
      <c r="AZ17" s="451">
        <f t="shared" si="0"/>
        <v>0</v>
      </c>
      <c r="BA17" s="107">
        <f>VLOOKUP(AU17,CENY!$B$11:$M$2005,12,FALSE)</f>
        <v>859.8</v>
      </c>
      <c r="BB17" s="107">
        <f t="shared" si="1"/>
        <v>0</v>
      </c>
      <c r="BD17" s="441">
        <f>OBJ!B181</f>
        <v>9257143</v>
      </c>
      <c r="BE17" s="23" t="str">
        <f>VLOOKUP(BD17,CENY!$B$11:$G$1034,2,FALSE)</f>
        <v>AVANTECH YOU BOK INLAY V187 MM NL650 MM STŘÍBRNÝ LEVÝ</v>
      </c>
      <c r="BF17" s="24">
        <f>VLOOKUP(BD17,CENY!$B$11:$G$1034,3,FALSE)</f>
        <v>10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369.25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U18" s="441">
        <f>OBJ!B214</f>
        <v>9283183</v>
      </c>
      <c r="AV18" s="23" t="str">
        <f>VLOOKUP(AU18,CENY!$B$11:$G$1034,2,FALSE)</f>
        <v>AVANTECH YOU SKLENĚNÁ VÝPLŇ 10 MM K BOKŮM INLAY NL600 MM</v>
      </c>
      <c r="AW18" s="24">
        <f>VLOOKUP(AU18,CENY!$B$11:$G$1034,3,FALSE)</f>
        <v>1</v>
      </c>
      <c r="AX18" s="24"/>
      <c r="AY18" s="25">
        <f>2*(AC19+AC20+AC25)</f>
        <v>0</v>
      </c>
      <c r="AZ18" s="451">
        <f t="shared" si="0"/>
        <v>0</v>
      </c>
      <c r="BA18" s="107">
        <f>VLOOKUP(AU18,CENY!$B$11:$M$2005,12,FALSE)</f>
        <v>935.66</v>
      </c>
      <c r="BB18" s="107">
        <f t="shared" si="1"/>
        <v>0</v>
      </c>
      <c r="BD18" s="441">
        <f>OBJ!B182</f>
        <v>9257144</v>
      </c>
      <c r="BE18" s="23" t="str">
        <f>VLOOKUP(BD18,CENY!$B$11:$G$1034,2,FALSE)</f>
        <v>AVANTECH YOU BOK INLAY V187 MM NL650 MM STŘÍBRNÝ PRAVÝ</v>
      </c>
      <c r="BF18" s="24">
        <f>VLOOKUP(BD18,CENY!$B$11:$G$1034,3,FALSE)</f>
        <v>10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369.25</v>
      </c>
      <c r="BK18" s="107">
        <f t="shared" si="3"/>
        <v>0</v>
      </c>
    </row>
    <row r="19" spans="2:63" ht="14.4" customHeight="1" thickBot="1">
      <c r="B19" s="591" t="s">
        <v>396</v>
      </c>
      <c r="C19" s="591"/>
      <c r="D19" s="591"/>
      <c r="E19" s="591"/>
      <c r="F19" s="591"/>
      <c r="G19" s="591"/>
      <c r="H19" s="592" t="str">
        <f>verze!E18</f>
        <v>plnovýsuv</v>
      </c>
      <c r="I19" s="592"/>
      <c r="J19" s="592"/>
      <c r="K19" s="592"/>
      <c r="L19" s="592"/>
      <c r="M19" s="574" t="s">
        <v>393</v>
      </c>
      <c r="N19" s="575"/>
      <c r="O19" s="380"/>
      <c r="P19" s="381"/>
      <c r="Q19" s="380"/>
      <c r="R19" s="381"/>
      <c r="S19" s="617"/>
      <c r="T19" s="618"/>
      <c r="U19" s="617"/>
      <c r="V19" s="618"/>
      <c r="W19" s="617"/>
      <c r="X19" s="618"/>
      <c r="Y19" s="617"/>
      <c r="Z19" s="618"/>
      <c r="AA19" s="617"/>
      <c r="AB19" s="618"/>
      <c r="AC19" s="617"/>
      <c r="AD19" s="672"/>
      <c r="AE19" s="380"/>
      <c r="AF19" s="381"/>
      <c r="AU19" s="441">
        <f>OBJ!B215</f>
        <v>9283184</v>
      </c>
      <c r="AV19" s="23" t="str">
        <f>VLOOKUP(AU19,CENY!$B$11:$G$1034,2,FALSE)</f>
        <v>AVANTECH YOU SKLENĚNÁ VÝPLŇ 10 MM K BOKŮM INLAY NL650 MM</v>
      </c>
      <c r="AW19" s="24">
        <f>VLOOKUP(AU19,CENY!$B$11:$G$1034,3,FALSE)</f>
        <v>1</v>
      </c>
      <c r="AX19" s="24"/>
      <c r="AY19" s="25">
        <f>2*AE20</f>
        <v>0</v>
      </c>
      <c r="AZ19" s="451">
        <f t="shared" si="0"/>
        <v>0</v>
      </c>
      <c r="BA19" s="107">
        <f>VLOOKUP(AU19,CENY!$B$11:$M$2005,12,FALSE)</f>
        <v>1011.52</v>
      </c>
      <c r="BB19" s="107">
        <f t="shared" si="1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83" t="s">
        <v>397</v>
      </c>
      <c r="C20" s="583"/>
      <c r="D20" s="583"/>
      <c r="E20" s="583"/>
      <c r="F20" s="583"/>
      <c r="G20" s="583"/>
      <c r="H20" s="584" t="str">
        <f>verze!E18</f>
        <v>plnovýsuv</v>
      </c>
      <c r="I20" s="584"/>
      <c r="J20" s="584"/>
      <c r="K20" s="584"/>
      <c r="L20" s="584"/>
      <c r="M20" s="585" t="s">
        <v>394</v>
      </c>
      <c r="N20" s="586"/>
      <c r="O20" s="587"/>
      <c r="P20" s="588"/>
      <c r="Q20" s="587"/>
      <c r="R20" s="588"/>
      <c r="S20" s="587"/>
      <c r="T20" s="588"/>
      <c r="U20" s="587"/>
      <c r="V20" s="588"/>
      <c r="W20" s="589"/>
      <c r="X20" s="590"/>
      <c r="Y20" s="589"/>
      <c r="Z20" s="590"/>
      <c r="AA20" s="589"/>
      <c r="AB20" s="590"/>
      <c r="AC20" s="589"/>
      <c r="AD20" s="590"/>
      <c r="AE20" s="643"/>
      <c r="AF20" s="674"/>
      <c r="AU20" s="441"/>
      <c r="AV20" s="23"/>
      <c r="AW20" s="24"/>
      <c r="AX20" s="24"/>
      <c r="AY20" s="25"/>
      <c r="AZ20" s="451" t="str">
        <f t="shared" si="0"/>
        <v/>
      </c>
      <c r="BA20" s="107"/>
      <c r="BB20" s="107" t="str">
        <f t="shared" si="1"/>
        <v/>
      </c>
      <c r="BD20" s="441">
        <f>OBJ!B184</f>
        <v>9257257</v>
      </c>
      <c r="BE20" s="23" t="str">
        <f>VLOOKUP(BD20,CENY!$B$11:$G$1034,2,FALSE)</f>
        <v>AVANTECH YOU PŘÍCHYTKA ČELA PRO BOK INLAY, K NAŠROUBOVÁNÍ</v>
      </c>
      <c r="BF20" s="24">
        <f>VLOOKUP(BD20,CENY!$B$11:$G$1034,3,FALSE)</f>
        <v>200</v>
      </c>
      <c r="BG20" s="24"/>
      <c r="BH20" s="25">
        <f>4*(SUM(O19:AD19)+SUM(W20:AF20)+SUM(O25:AD25))</f>
        <v>0</v>
      </c>
      <c r="BI20" s="451">
        <f t="shared" si="2"/>
        <v>0</v>
      </c>
      <c r="BJ20" s="107">
        <f>VLOOKUP(BD20,CENY!$B$11:$M$2005,12,FALSE)</f>
        <v>53.15</v>
      </c>
      <c r="BK20" s="107">
        <f t="shared" si="3"/>
        <v>0</v>
      </c>
    </row>
    <row r="21" spans="2:63" ht="14.4" customHeight="1">
      <c r="O21" s="4"/>
      <c r="P21" s="4"/>
      <c r="AU21" s="441">
        <f>OBJ!B238</f>
        <v>9257002</v>
      </c>
      <c r="AV21" s="23" t="str">
        <f>VLOOKUP(AU21,CENY!$B$11:$G$1034,2,FALSE)</f>
        <v>ACTRO YOU 40KG PLNOVÝSUV 350 MM EB21 SILENT SYSTEM SADA</v>
      </c>
      <c r="AW21" s="24">
        <f>VLOOKUP(AU21,CENY!$B$11:$G$1034,3,FALSE)</f>
        <v>1</v>
      </c>
      <c r="AX21" s="499">
        <v>8</v>
      </c>
      <c r="AY21" s="25">
        <f>S19</f>
        <v>0</v>
      </c>
      <c r="AZ21" s="451">
        <f t="shared" si="0"/>
        <v>0</v>
      </c>
      <c r="BA21" s="107">
        <f>VLOOKUP(AU21,CENY!$B$11:$M$2005,12,FALSE)</f>
        <v>561.63</v>
      </c>
      <c r="BB21" s="107">
        <f t="shared" si="1"/>
        <v>0</v>
      </c>
      <c r="BD21" s="441">
        <f>OBJ!B48</f>
        <v>9257702</v>
      </c>
      <c r="BE21" s="23" t="str">
        <f>VLOOKUP(BD21,CENY!$B$11:$G$1034,2,FALSE)</f>
        <v>AVANTECH YOU STABILIZÁTOR ZAD V101/139/187/251 MM</v>
      </c>
      <c r="BF21" s="24">
        <f>VLOOKUP(BD21,CENY!$B$11:$G$1034,3,FALSE)</f>
        <v>200</v>
      </c>
      <c r="BG21" s="24"/>
      <c r="BH21" s="25">
        <f>0*(SUM(O19:AD19)+SUM(W20:AF20)+SUM(O25:AD25))</f>
        <v>0</v>
      </c>
      <c r="BI21" s="451">
        <f t="shared" si="2"/>
        <v>0</v>
      </c>
      <c r="BJ21" s="107">
        <f>VLOOKUP(BD21,CENY!$B$11:$M$2005,12,FALSE)</f>
        <v>13.29</v>
      </c>
      <c r="BK21" s="107">
        <f t="shared" si="3"/>
        <v>0</v>
      </c>
    </row>
    <row r="22" spans="2:63" ht="14.4" customHeight="1">
      <c r="AU22" s="441">
        <f>OBJ!B239</f>
        <v>9257004</v>
      </c>
      <c r="AV22" s="23" t="str">
        <f>VLOOKUP(AU22,CENY!$B$11:$G$1034,2,FALSE)</f>
        <v>ACTRO YOU 40KG PLNOVÝSUV 400 MM EB21 SILENT SYSTEM SADA</v>
      </c>
      <c r="AW22" s="24">
        <f>VLOOKUP(AU22,CENY!$B$11:$G$1034,3,FALSE)</f>
        <v>1</v>
      </c>
      <c r="AX22" s="499">
        <v>8</v>
      </c>
      <c r="AY22" s="25">
        <f>U19</f>
        <v>0</v>
      </c>
      <c r="AZ22" s="451">
        <f t="shared" si="0"/>
        <v>0</v>
      </c>
      <c r="BA22" s="107">
        <f>VLOOKUP(AU22,CENY!$B$11:$M$2005,12,FALSE)</f>
        <v>567.85</v>
      </c>
      <c r="BB22" s="107">
        <f t="shared" si="1"/>
        <v>0</v>
      </c>
      <c r="BD22" s="22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 thickBot="1">
      <c r="B23" s="2" t="s">
        <v>391</v>
      </c>
      <c r="AU23" s="441">
        <f>OBJ!B240</f>
        <v>9257006</v>
      </c>
      <c r="AV23" s="23" t="str">
        <f>VLOOKUP(AU23,CENY!$B$11:$G$1034,2,FALSE)</f>
        <v>ACTRO YOU 40KG PLNOVÝSUV 450 MM EB21 SILENT SYSTEM SADA</v>
      </c>
      <c r="AW23" s="24">
        <f>VLOOKUP(AU23,CENY!$B$11:$G$1034,3,FALSE)</f>
        <v>1</v>
      </c>
      <c r="AX23" s="499">
        <v>10</v>
      </c>
      <c r="AY23" s="25">
        <f>W19</f>
        <v>0</v>
      </c>
      <c r="AZ23" s="451">
        <f t="shared" si="0"/>
        <v>0</v>
      </c>
      <c r="BA23" s="107">
        <f>VLOOKUP(AU23,CENY!$B$11:$M$2005,12,FALSE)</f>
        <v>574.04</v>
      </c>
      <c r="BB23" s="107">
        <f t="shared" si="1"/>
        <v>0</v>
      </c>
      <c r="BD23" s="441">
        <f>OBJ!B209</f>
        <v>9283178</v>
      </c>
      <c r="BE23" s="23" t="str">
        <f>VLOOKUP(BD23,CENY!$B$11:$G$1034,2,FALSE)</f>
        <v>AVANTECH YOU SKLENĚNÁ VÝPLŇ 10 MM K BOKŮM INLAY NL350 MM</v>
      </c>
      <c r="BF23" s="24">
        <f>VLOOKUP(BD23,CENY!$B$11:$G$1034,3,FALSE)</f>
        <v>1</v>
      </c>
      <c r="BG23" s="24"/>
      <c r="BH23" s="25">
        <f>AY13</f>
        <v>0</v>
      </c>
      <c r="BI23" s="451">
        <f t="shared" si="2"/>
        <v>0</v>
      </c>
      <c r="BJ23" s="107">
        <f>VLOOKUP(BD23,CENY!$B$11:$M$2005,12,FALSE)</f>
        <v>670.1</v>
      </c>
      <c r="BK23" s="107">
        <f t="shared" si="3"/>
        <v>0</v>
      </c>
    </row>
    <row r="24" spans="2:63" ht="14.4" customHeight="1" thickBot="1">
      <c r="B24" s="109"/>
      <c r="C24" s="109"/>
      <c r="D24" s="109"/>
      <c r="E24" s="109"/>
      <c r="F24" s="109"/>
      <c r="G24" s="109"/>
      <c r="H24" s="81"/>
      <c r="I24" s="81"/>
      <c r="J24" s="81"/>
      <c r="K24" s="81"/>
      <c r="L24" s="81"/>
      <c r="M24" s="81"/>
      <c r="N24" s="81" t="str">
        <f>verze!$E$20&amp;" "</f>
        <v xml:space="preserve">Jmenovitá délka: </v>
      </c>
      <c r="O24" s="569">
        <v>270</v>
      </c>
      <c r="P24" s="570"/>
      <c r="Q24" s="569">
        <v>300</v>
      </c>
      <c r="R24" s="570"/>
      <c r="S24" s="569">
        <v>350</v>
      </c>
      <c r="T24" s="570"/>
      <c r="U24" s="569">
        <v>400</v>
      </c>
      <c r="V24" s="570"/>
      <c r="W24" s="569">
        <v>450</v>
      </c>
      <c r="X24" s="570"/>
      <c r="Y24" s="581">
        <v>500</v>
      </c>
      <c r="Z24" s="582"/>
      <c r="AA24" s="569">
        <v>550</v>
      </c>
      <c r="AB24" s="570"/>
      <c r="AC24" s="569">
        <v>600</v>
      </c>
      <c r="AD24" s="570"/>
      <c r="AU24" s="441">
        <f>OBJ!B241</f>
        <v>9257008</v>
      </c>
      <c r="AV24" s="23" t="str">
        <f>VLOOKUP(AU24,CENY!$B$11:$G$1034,2,FALSE)</f>
        <v>ACTRO YOU 40KG PLNOVÝSUV 500 MM EB21 SILENT SYSTEM SADA</v>
      </c>
      <c r="AW24" s="24">
        <f>VLOOKUP(AU24,CENY!$B$11:$G$1034,3,FALSE)</f>
        <v>1</v>
      </c>
      <c r="AX24" s="499">
        <v>10</v>
      </c>
      <c r="AY24" s="25">
        <f>Y19</f>
        <v>0</v>
      </c>
      <c r="AZ24" s="451">
        <f t="shared" si="0"/>
        <v>0</v>
      </c>
      <c r="BA24" s="107">
        <f>VLOOKUP(AU24,CENY!$B$11:$M$2005,12,FALSE)</f>
        <v>580.26</v>
      </c>
      <c r="BB24" s="107">
        <f t="shared" si="1"/>
        <v>0</v>
      </c>
      <c r="BD24" s="441">
        <f>OBJ!B210</f>
        <v>9283179</v>
      </c>
      <c r="BE24" s="23" t="str">
        <f>VLOOKUP(BD24,CENY!$B$11:$G$1034,2,FALSE)</f>
        <v>AVANTECH YOU SKLENĚNÁ VÝPLŇ 10 MM K BOKŮM INLAY NL400 MM</v>
      </c>
      <c r="BF24" s="24">
        <f>VLOOKUP(BD24,CENY!$B$11:$G$1034,3,FALSE)</f>
        <v>1</v>
      </c>
      <c r="BG24" s="24"/>
      <c r="BH24" s="25">
        <f t="shared" ref="BH24:BH29" si="4">AY14</f>
        <v>0</v>
      </c>
      <c r="BI24" s="451">
        <f t="shared" si="2"/>
        <v>0</v>
      </c>
      <c r="BJ24" s="107">
        <f>VLOOKUP(BD24,CENY!$B$11:$M$2005,12,FALSE)</f>
        <v>708.04</v>
      </c>
      <c r="BK24" s="107">
        <f t="shared" si="3"/>
        <v>0</v>
      </c>
    </row>
    <row r="25" spans="2:63" ht="14.4" customHeight="1" thickBot="1">
      <c r="B25" s="591" t="s">
        <v>482</v>
      </c>
      <c r="C25" s="591"/>
      <c r="D25" s="591"/>
      <c r="E25" s="591"/>
      <c r="F25" s="591"/>
      <c r="G25" s="591"/>
      <c r="H25" s="592" t="str">
        <f>verze!E18</f>
        <v>plnovýsuv</v>
      </c>
      <c r="I25" s="592"/>
      <c r="J25" s="592"/>
      <c r="K25" s="592"/>
      <c r="L25" s="592"/>
      <c r="M25" s="574" t="s">
        <v>1</v>
      </c>
      <c r="N25" s="575"/>
      <c r="O25" s="380"/>
      <c r="P25" s="381"/>
      <c r="Q25" s="380"/>
      <c r="R25" s="381"/>
      <c r="S25" s="673"/>
      <c r="T25" s="618"/>
      <c r="U25" s="673"/>
      <c r="V25" s="618"/>
      <c r="W25" s="673"/>
      <c r="X25" s="618"/>
      <c r="Y25" s="673"/>
      <c r="Z25" s="618"/>
      <c r="AA25" s="673"/>
      <c r="AB25" s="618"/>
      <c r="AC25" s="589"/>
      <c r="AD25" s="675"/>
      <c r="AU25" s="441">
        <f>OBJ!B242</f>
        <v>9257010</v>
      </c>
      <c r="AV25" s="23" t="str">
        <f>VLOOKUP(AU25,CENY!$B$11:$G$1034,2,FALSE)</f>
        <v>ACTRO YOU 40KG PLNOVÝSUV 550 MM EB21 SILENT SYSTEM SADA</v>
      </c>
      <c r="AW25" s="24">
        <f>VLOOKUP(AU25,CENY!$B$11:$G$1034,3,FALSE)</f>
        <v>1</v>
      </c>
      <c r="AX25" s="499">
        <v>10</v>
      </c>
      <c r="AY25" s="25">
        <f>AA19</f>
        <v>0</v>
      </c>
      <c r="AZ25" s="451">
        <f t="shared" si="0"/>
        <v>0</v>
      </c>
      <c r="BA25" s="107">
        <f>VLOOKUP(AU25,CENY!$B$11:$M$2005,12,FALSE)</f>
        <v>613.44000000000005</v>
      </c>
      <c r="BB25" s="107">
        <f t="shared" si="1"/>
        <v>0</v>
      </c>
      <c r="BD25" s="441">
        <f>OBJ!B211</f>
        <v>9283180</v>
      </c>
      <c r="BE25" s="23" t="str">
        <f>VLOOKUP(BD25,CENY!$B$11:$G$1034,2,FALSE)</f>
        <v>AVANTECH YOU SKLENĚNÁ VÝPLŇ 10 MM K BOKŮM INLAY NL450 MM</v>
      </c>
      <c r="BF25" s="24">
        <f>VLOOKUP(BD25,CENY!$B$11:$G$1034,3,FALSE)</f>
        <v>1</v>
      </c>
      <c r="BG25" s="24"/>
      <c r="BH25" s="25">
        <f t="shared" si="4"/>
        <v>0</v>
      </c>
      <c r="BI25" s="451">
        <f t="shared" si="2"/>
        <v>0</v>
      </c>
      <c r="BJ25" s="107">
        <f>VLOOKUP(BD25,CENY!$B$11:$M$2005,12,FALSE)</f>
        <v>745.99</v>
      </c>
      <c r="BK25" s="107">
        <f t="shared" si="3"/>
        <v>0</v>
      </c>
    </row>
    <row r="26" spans="2:63" ht="14.4" customHeight="1" thickBot="1">
      <c r="H26" s="187"/>
      <c r="I26" s="187"/>
      <c r="J26" s="187"/>
      <c r="K26" s="187"/>
      <c r="L26" s="187"/>
      <c r="O26" s="477"/>
      <c r="P26" s="478"/>
      <c r="Q26" s="477"/>
      <c r="R26" s="478"/>
      <c r="S26" s="477"/>
      <c r="T26" s="478"/>
      <c r="U26" s="477"/>
      <c r="V26" s="478"/>
      <c r="W26" s="477"/>
      <c r="X26" s="478"/>
      <c r="Y26" s="477"/>
      <c r="Z26" s="478"/>
      <c r="AA26" s="477"/>
      <c r="AB26" s="478"/>
      <c r="AC26" s="477"/>
      <c r="AD26" s="478"/>
      <c r="AU26" s="441">
        <f>OBJ!B243</f>
        <v>9268681</v>
      </c>
      <c r="AV26" s="23" t="str">
        <f>VLOOKUP(AU26,CENY!$B$11:$G$1034,2,FALSE)</f>
        <v>ACTRO YOU 40KG PLNOVÝSUV 600 MM EB21 SILENT SYSTÉM SADA</v>
      </c>
      <c r="AW26" s="24">
        <f>VLOOKUP(AU26,CENY!$B$11:$G$1034,3,FALSE)</f>
        <v>1</v>
      </c>
      <c r="AX26" s="499">
        <v>10</v>
      </c>
      <c r="AY26" s="25">
        <f>AC19</f>
        <v>0</v>
      </c>
      <c r="AZ26" s="451">
        <f t="shared" si="0"/>
        <v>0</v>
      </c>
      <c r="BA26" s="107">
        <f>VLOOKUP(AU26,CENY!$B$11:$M$2005,12,FALSE)</f>
        <v>620.78</v>
      </c>
      <c r="BB26" s="107">
        <f t="shared" si="1"/>
        <v>0</v>
      </c>
      <c r="BD26" s="441">
        <f>OBJ!B212</f>
        <v>9283181</v>
      </c>
      <c r="BE26" s="23" t="str">
        <f>VLOOKUP(BD26,CENY!$B$11:$G$1034,2,FALSE)</f>
        <v>AVANTECH YOU SKLENĚNÁ VÝPLŇ 10 MM K BOKŮM INLAY NL500 MM</v>
      </c>
      <c r="BF26" s="24">
        <f>VLOOKUP(BD26,CENY!$B$11:$G$1034,3,FALSE)</f>
        <v>1</v>
      </c>
      <c r="BG26" s="24"/>
      <c r="BH26" s="25">
        <f t="shared" si="4"/>
        <v>0</v>
      </c>
      <c r="BI26" s="451">
        <f t="shared" si="2"/>
        <v>0</v>
      </c>
      <c r="BJ26" s="107">
        <f>VLOOKUP(BD26,CENY!$B$11:$M$2005,12,FALSE)</f>
        <v>783.93</v>
      </c>
      <c r="BK26" s="107">
        <f t="shared" si="3"/>
        <v>0</v>
      </c>
    </row>
    <row r="27" spans="2:63" ht="14.4" customHeight="1">
      <c r="B27" s="505" t="str">
        <f>verze!E201</f>
        <v>SiSy = tlumení Silent System</v>
      </c>
      <c r="AU27" s="441"/>
      <c r="AV27" s="23"/>
      <c r="AW27" s="24"/>
      <c r="AX27" s="24"/>
      <c r="AY27" s="25"/>
      <c r="AZ27" s="451" t="str">
        <f t="shared" si="0"/>
        <v/>
      </c>
      <c r="BA27" s="107"/>
      <c r="BB27" s="107" t="str">
        <f t="shared" si="1"/>
        <v/>
      </c>
      <c r="BD27" s="441">
        <f>OBJ!B213</f>
        <v>9283182</v>
      </c>
      <c r="BE27" s="23" t="str">
        <f>VLOOKUP(BD27,CENY!$B$11:$G$1034,2,FALSE)</f>
        <v>AVANTECH YOU SKLENĚNÁ VÝPLŇ 10 MM K BOKŮM INLAY NL550 MM</v>
      </c>
      <c r="BF27" s="24">
        <f>VLOOKUP(BD27,CENY!$B$11:$G$1034,3,FALSE)</f>
        <v>1</v>
      </c>
      <c r="BG27" s="24"/>
      <c r="BH27" s="25">
        <f t="shared" si="4"/>
        <v>0</v>
      </c>
      <c r="BI27" s="451">
        <f t="shared" si="2"/>
        <v>0</v>
      </c>
      <c r="BJ27" s="107">
        <f>VLOOKUP(BD27,CENY!$B$11:$M$2005,12,FALSE)</f>
        <v>859.8</v>
      </c>
      <c r="BK27" s="107">
        <f t="shared" si="3"/>
        <v>0</v>
      </c>
    </row>
    <row r="28" spans="2:63" ht="14.4" customHeight="1">
      <c r="B28" s="505"/>
      <c r="O28" s="476" t="str">
        <f>verze!E189</f>
        <v>Maximální výška korpusu skříňky = 750mm.   Maximální šířka korpusu skříňky = 300mm.</v>
      </c>
      <c r="AU28" s="441">
        <f>OBJ!B261</f>
        <v>9257034</v>
      </c>
      <c r="AV28" s="23" t="str">
        <f>VLOOKUP(AU28,CENY!$B$11:$G$1034,2,FALSE)</f>
        <v>ACTRO YOU 70KG PLNOVÝSUV 450 MM EB21 SILENT SYSTEM SADA</v>
      </c>
      <c r="AW28" s="24">
        <f>VLOOKUP(AU28,CENY!$B$11:$G$1034,3,FALSE)</f>
        <v>1</v>
      </c>
      <c r="AX28" s="499">
        <v>10</v>
      </c>
      <c r="AY28" s="25">
        <f>W20</f>
        <v>0</v>
      </c>
      <c r="AZ28" s="451">
        <f t="shared" si="0"/>
        <v>0</v>
      </c>
      <c r="BA28" s="107">
        <f>VLOOKUP(AU28,CENY!$B$11:$M$2005,12,FALSE)</f>
        <v>691.9</v>
      </c>
      <c r="BB28" s="107">
        <f t="shared" si="1"/>
        <v>0</v>
      </c>
      <c r="BD28" s="441">
        <f>OBJ!B214</f>
        <v>9283183</v>
      </c>
      <c r="BE28" s="23" t="str">
        <f>VLOOKUP(BD28,CENY!$B$11:$G$1034,2,FALSE)</f>
        <v>AVANTECH YOU SKLENĚNÁ VÝPLŇ 10 MM K BOKŮM INLAY NL600 MM</v>
      </c>
      <c r="BF28" s="24">
        <f>VLOOKUP(BD28,CENY!$B$11:$G$1034,3,FALSE)</f>
        <v>1</v>
      </c>
      <c r="BG28" s="24"/>
      <c r="BH28" s="25">
        <f t="shared" si="4"/>
        <v>0</v>
      </c>
      <c r="BI28" s="451">
        <f t="shared" si="2"/>
        <v>0</v>
      </c>
      <c r="BJ28" s="107">
        <f>VLOOKUP(BD28,CENY!$B$11:$M$2005,12,FALSE)</f>
        <v>935.66</v>
      </c>
      <c r="BK28" s="107">
        <f t="shared" si="3"/>
        <v>0</v>
      </c>
    </row>
    <row r="29" spans="2:63" ht="14.4" customHeight="1">
      <c r="B29" s="505"/>
      <c r="Q29" s="476"/>
      <c r="AU29" s="441">
        <f>OBJ!B262</f>
        <v>9257036</v>
      </c>
      <c r="AV29" s="23" t="str">
        <f>VLOOKUP(AU29,CENY!$B$11:$G$1034,2,FALSE)</f>
        <v>ACTRO YOU 70KG PLNOVÝSUV 500 MM EB21 SILENT SYSTEM SADA</v>
      </c>
      <c r="AW29" s="24">
        <f>VLOOKUP(AU29,CENY!$B$11:$G$1034,3,FALSE)</f>
        <v>1</v>
      </c>
      <c r="AX29" s="499">
        <v>10</v>
      </c>
      <c r="AY29" s="25">
        <f>Y20</f>
        <v>0</v>
      </c>
      <c r="AZ29" s="451">
        <f t="shared" si="0"/>
        <v>0</v>
      </c>
      <c r="BA29" s="107">
        <f>VLOOKUP(AU29,CENY!$B$11:$M$2005,12,FALSE)</f>
        <v>698.13</v>
      </c>
      <c r="BB29" s="107">
        <f t="shared" si="1"/>
        <v>0</v>
      </c>
      <c r="BD29" s="441">
        <f>OBJ!B215</f>
        <v>9283184</v>
      </c>
      <c r="BE29" s="23" t="str">
        <f>VLOOKUP(BD29,CENY!$B$11:$G$1034,2,FALSE)</f>
        <v>AVANTECH YOU SKLENĚNÁ VÝPLŇ 10 MM K BOKŮM INLAY NL650 MM</v>
      </c>
      <c r="BF29" s="24">
        <f>VLOOKUP(BD29,CENY!$B$11:$G$1034,3,FALSE)</f>
        <v>1</v>
      </c>
      <c r="BG29" s="24"/>
      <c r="BH29" s="25">
        <f t="shared" si="4"/>
        <v>0</v>
      </c>
      <c r="BI29" s="451">
        <f t="shared" si="2"/>
        <v>0</v>
      </c>
      <c r="BJ29" s="107">
        <f>VLOOKUP(BD29,CENY!$B$11:$M$2005,12,FALSE)</f>
        <v>1011.52</v>
      </c>
      <c r="BK29" s="107">
        <f t="shared" si="3"/>
        <v>0</v>
      </c>
    </row>
    <row r="30" spans="2:63" ht="14.4" customHeight="1">
      <c r="AU30" s="441">
        <f>OBJ!B263</f>
        <v>9257038</v>
      </c>
      <c r="AV30" s="23" t="str">
        <f>VLOOKUP(AU30,CENY!$B$11:$G$1034,2,FALSE)</f>
        <v>ACTRO YOU 70KG PLNOVÝSUV 550 MM EB21 SILENT SYSTEM SADA</v>
      </c>
      <c r="AW30" s="24">
        <f>VLOOKUP(AU30,CENY!$B$11:$G$1034,3,FALSE)</f>
        <v>1</v>
      </c>
      <c r="AX30" s="499">
        <v>10</v>
      </c>
      <c r="AY30" s="25">
        <f>AA20</f>
        <v>0</v>
      </c>
      <c r="AZ30" s="451">
        <f t="shared" si="0"/>
        <v>0</v>
      </c>
      <c r="BA30" s="107">
        <f>VLOOKUP(AU30,CENY!$B$11:$M$2005,12,FALSE)</f>
        <v>731.3</v>
      </c>
      <c r="BB30" s="107">
        <f t="shared" si="1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OBJ!B264</f>
        <v>9257040</v>
      </c>
      <c r="AV31" s="23" t="str">
        <f>VLOOKUP(AU31,CENY!$B$11:$G$1034,2,FALSE)</f>
        <v>ACTRO YOU 70KG PLNOVÝSUV 600 MM EB21 SILENT SYSTEM SADA</v>
      </c>
      <c r="AW31" s="24">
        <f>VLOOKUP(AU31,CENY!$B$11:$G$1034,3,FALSE)</f>
        <v>1</v>
      </c>
      <c r="AX31" s="499">
        <v>10</v>
      </c>
      <c r="AY31" s="25">
        <f>AC20</f>
        <v>0</v>
      </c>
      <c r="AZ31" s="451">
        <f t="shared" si="0"/>
        <v>0</v>
      </c>
      <c r="BA31" s="107">
        <f>VLOOKUP(AU31,CENY!$B$11:$M$2005,12,FALSE)</f>
        <v>798.31</v>
      </c>
      <c r="BB31" s="107">
        <f t="shared" si="1"/>
        <v>0</v>
      </c>
      <c r="BD31" s="441">
        <f>OBJ!B248</f>
        <v>9256980</v>
      </c>
      <c r="BE31" s="23" t="str">
        <f>VLOOKUP(BD31,CENY!$B$11:$G$1034,2,FALSE)</f>
        <v>ACTRO YOU 40KG PLNOVÝSUV 350 MM EB21 SILENT SYSTEM LEVÝ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243.93</v>
      </c>
      <c r="BK31" s="107">
        <f t="shared" si="3"/>
        <v>0</v>
      </c>
    </row>
    <row r="32" spans="2:63" ht="14.4" customHeight="1">
      <c r="AU32" s="441">
        <f>OBJ!B265</f>
        <v>9257041</v>
      </c>
      <c r="AV32" s="23" t="str">
        <f>VLOOKUP(AU32,CENY!$B$11:$G$1034,2,FALSE)</f>
        <v>ACTRO YOU 70KG PLNOVÝSUV 650 MM EB21 SILENT SYSTEM SADA</v>
      </c>
      <c r="AW32" s="24">
        <f>VLOOKUP(AU32,CENY!$B$11:$G$1034,3,FALSE)</f>
        <v>1</v>
      </c>
      <c r="AX32" s="499">
        <v>10</v>
      </c>
      <c r="AY32" s="25">
        <f>AE20</f>
        <v>0</v>
      </c>
      <c r="AZ32" s="451">
        <f t="shared" si="0"/>
        <v>0</v>
      </c>
      <c r="BA32" s="107">
        <f>VLOOKUP(AU32,CENY!$B$11:$M$2005,12,FALSE)</f>
        <v>828.55</v>
      </c>
      <c r="BB32" s="107">
        <f t="shared" si="1"/>
        <v>0</v>
      </c>
      <c r="BD32" s="441">
        <f>OBJ!B249</f>
        <v>9256981</v>
      </c>
      <c r="BE32" s="23" t="str">
        <f>VLOOKUP(BD32,CENY!$B$11:$G$1034,2,FALSE)</f>
        <v>ACTRO YOU 40KG PLNOVÝSUV 350 MM EB21 SILENT SYSTEM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47:63" ht="14.4" customHeight="1">
      <c r="AU33" s="441"/>
      <c r="AV33" s="23"/>
      <c r="AW33" s="24"/>
      <c r="AX33" s="24"/>
      <c r="AY33" s="25"/>
      <c r="AZ33" s="451" t="str">
        <f t="shared" si="0"/>
        <v/>
      </c>
      <c r="BA33" s="107"/>
      <c r="BB33" s="107" t="str">
        <f t="shared" si="1"/>
        <v/>
      </c>
      <c r="BD33" s="441">
        <f>OBJ!B250</f>
        <v>9256984</v>
      </c>
      <c r="BE33" s="23" t="str">
        <f>VLOOKUP(BD33,CENY!$B$11:$G$1034,2,FALSE)</f>
        <v>ACTRO YOU 40KG PLNOVÝSUV 400 MM EB21 SILENT SYSTEM LEVÝ</v>
      </c>
      <c r="BF33" s="24">
        <f>VLOOKUP(BD33,CENY!$B$11:$G$1034,3,FALSE)</f>
        <v>10</v>
      </c>
      <c r="BG33" s="24"/>
      <c r="BH33" s="25">
        <f>AY22</f>
        <v>0</v>
      </c>
      <c r="BI33" s="451">
        <f t="shared" si="2"/>
        <v>0</v>
      </c>
      <c r="BJ33" s="107">
        <f>VLOOKUP(BD33,CENY!$B$11:$M$2005,12,FALSE)</f>
        <v>247.05</v>
      </c>
      <c r="BK33" s="107">
        <f t="shared" si="3"/>
        <v>0</v>
      </c>
    </row>
    <row r="34" spans="47:63" ht="14.4" customHeight="1">
      <c r="AU34" s="441">
        <f>OBJ!B299</f>
        <v>9256886</v>
      </c>
      <c r="AV34" s="23" t="str">
        <f>VLOOKUP(AU34,CENY!$B$11:$G$1034,2,FALSE)</f>
        <v>QUADRO YOU PLNOVÝSUV 350 MM EB21 SILENT SYSTEM SADA</v>
      </c>
      <c r="AW34" s="24">
        <f>VLOOKUP(AU34,CENY!$B$11:$G$1034,3,FALSE)</f>
        <v>1</v>
      </c>
      <c r="AX34" s="499">
        <v>8</v>
      </c>
      <c r="AY34" s="25">
        <f>S25</f>
        <v>0</v>
      </c>
      <c r="AZ34" s="451">
        <f t="shared" si="0"/>
        <v>0</v>
      </c>
      <c r="BA34" s="107">
        <f>VLOOKUP(AU34,CENY!$B$11:$M$2005,12,FALSE)</f>
        <v>376.77</v>
      </c>
      <c r="BB34" s="107">
        <f t="shared" si="1"/>
        <v>0</v>
      </c>
      <c r="BD34" s="441">
        <f>OBJ!B251</f>
        <v>9256985</v>
      </c>
      <c r="BE34" s="23" t="str">
        <f>VLOOKUP(BD34,CENY!$B$11:$G$1034,2,FALSE)</f>
        <v>ACTRO YOU 40KG PLNOVÝSUV 400 MM EB21 SILENT SYSTEM PRAVÝ</v>
      </c>
      <c r="BF34" s="24">
        <f>VLOOKUP(BD34,CENY!$B$11:$G$1034,3,FALSE)</f>
        <v>10</v>
      </c>
      <c r="BG34" s="24"/>
      <c r="BH34" s="25">
        <f>AY22</f>
        <v>0</v>
      </c>
      <c r="BI34" s="451">
        <f t="shared" si="2"/>
        <v>0</v>
      </c>
      <c r="BJ34" s="107">
        <f>VLOOKUP(BD34,CENY!$B$11:$M$2005,12,FALSE)</f>
        <v>247.05</v>
      </c>
      <c r="BK34" s="107">
        <f t="shared" si="3"/>
        <v>0</v>
      </c>
    </row>
    <row r="35" spans="47:63" ht="14.4" customHeight="1">
      <c r="AU35" s="441">
        <f>OBJ!B300</f>
        <v>9256888</v>
      </c>
      <c r="AV35" s="23" t="str">
        <f>VLOOKUP(AU35,CENY!$B$11:$G$1034,2,FALSE)</f>
        <v>QUADRO YOU PLNOVÝSUV 400 MM EB21 SILENT SYSTEM SADA</v>
      </c>
      <c r="AW35" s="24">
        <f>VLOOKUP(AU35,CENY!$B$11:$G$1034,3,FALSE)</f>
        <v>1</v>
      </c>
      <c r="AX35" s="499">
        <v>8</v>
      </c>
      <c r="AY35" s="25">
        <f>U25</f>
        <v>0</v>
      </c>
      <c r="AZ35" s="451">
        <f t="shared" si="0"/>
        <v>0</v>
      </c>
      <c r="BA35" s="107">
        <f>VLOOKUP(AU35,CENY!$B$11:$M$2005,12,FALSE)</f>
        <v>384.24</v>
      </c>
      <c r="BB35" s="107">
        <f t="shared" si="1"/>
        <v>0</v>
      </c>
      <c r="BD35" s="441">
        <f>OBJ!B252</f>
        <v>9256988</v>
      </c>
      <c r="BE35" s="23" t="str">
        <f>VLOOKUP(BD35,CENY!$B$11:$G$1034,2,FALSE)</f>
        <v>ACTRO YOU 40KG PLNOVÝSUV 450 MM EB21 SILENT SYSTEM LEVÝ</v>
      </c>
      <c r="BF35" s="24">
        <f>VLOOKUP(BD35,CENY!$B$11:$G$1034,3,FALSE)</f>
        <v>10</v>
      </c>
      <c r="BG35" s="24"/>
      <c r="BH35" s="25">
        <f>AY23</f>
        <v>0</v>
      </c>
      <c r="BI35" s="451">
        <f t="shared" si="2"/>
        <v>0</v>
      </c>
      <c r="BJ35" s="107">
        <f>VLOOKUP(BD35,CENY!$B$11:$M$2005,12,FALSE)</f>
        <v>250.14</v>
      </c>
      <c r="BK35" s="107">
        <f t="shared" si="3"/>
        <v>0</v>
      </c>
    </row>
    <row r="36" spans="47:63" ht="14.4" customHeight="1">
      <c r="AU36" s="441">
        <f>OBJ!B301</f>
        <v>9256890</v>
      </c>
      <c r="AV36" s="23" t="str">
        <f>VLOOKUP(AU36,CENY!$B$11:$G$1034,2,FALSE)</f>
        <v>QUADRO YOU PLNOVÝSUV 450 MM EB21 SILENT SYSTEM SADA</v>
      </c>
      <c r="AW36" s="24">
        <f>VLOOKUP(AU36,CENY!$B$11:$G$1034,3,FALSE)</f>
        <v>1</v>
      </c>
      <c r="AX36" s="499">
        <v>8</v>
      </c>
      <c r="AY36" s="25">
        <f>W25</f>
        <v>0</v>
      </c>
      <c r="AZ36" s="451">
        <f t="shared" si="0"/>
        <v>0</v>
      </c>
      <c r="BA36" s="107">
        <f>VLOOKUP(AU36,CENY!$B$11:$M$2005,12,FALSE)</f>
        <v>391.72</v>
      </c>
      <c r="BB36" s="107">
        <f t="shared" si="1"/>
        <v>0</v>
      </c>
      <c r="BD36" s="441">
        <f>OBJ!B253</f>
        <v>9256989</v>
      </c>
      <c r="BE36" s="23" t="str">
        <f>VLOOKUP(BD36,CENY!$B$11:$G$1034,2,FALSE)</f>
        <v>ACTRO YOU 40KG PLNOVÝSUV 450 MM EB21 SILENT SYSTEM PRAVÝ</v>
      </c>
      <c r="BF36" s="24">
        <f>VLOOKUP(BD36,CENY!$B$11:$G$1034,3,FALSE)</f>
        <v>10</v>
      </c>
      <c r="BG36" s="24"/>
      <c r="BH36" s="25">
        <f>AY23</f>
        <v>0</v>
      </c>
      <c r="BI36" s="451">
        <f t="shared" si="2"/>
        <v>0</v>
      </c>
      <c r="BJ36" s="107">
        <f>VLOOKUP(BD36,CENY!$B$11:$M$2005,12,FALSE)</f>
        <v>250.14</v>
      </c>
      <c r="BK36" s="107">
        <f t="shared" si="3"/>
        <v>0</v>
      </c>
    </row>
    <row r="37" spans="47:63" ht="14.4" customHeight="1">
      <c r="AU37" s="441">
        <f>OBJ!B302</f>
        <v>9256892</v>
      </c>
      <c r="AV37" s="23" t="str">
        <f>VLOOKUP(AU37,CENY!$B$11:$G$1034,2,FALSE)</f>
        <v>QUADRO YOU PLNOVÝSUV 500 MM EB21 SILENT SYSTEM SADA</v>
      </c>
      <c r="AW37" s="24">
        <f>VLOOKUP(AU37,CENY!$B$11:$G$1034,3,FALSE)</f>
        <v>1</v>
      </c>
      <c r="AX37" s="499">
        <v>8</v>
      </c>
      <c r="AY37" s="25">
        <f>Y25</f>
        <v>0</v>
      </c>
      <c r="AZ37" s="451">
        <f t="shared" si="0"/>
        <v>0</v>
      </c>
      <c r="BA37" s="107">
        <f>VLOOKUP(AU37,CENY!$B$11:$M$2005,12,FALSE)</f>
        <v>399.19</v>
      </c>
      <c r="BB37" s="107">
        <f t="shared" si="1"/>
        <v>0</v>
      </c>
      <c r="BD37" s="441">
        <f>OBJ!B254</f>
        <v>9256992</v>
      </c>
      <c r="BE37" s="23" t="str">
        <f>VLOOKUP(BD37,CENY!$B$11:$G$1034,2,FALSE)</f>
        <v>ACTRO YOU 40KG PLNOVÝSUV 500 MM EB21 SILENT SYSTEM LEVÝ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253.25</v>
      </c>
      <c r="BK37" s="107">
        <f t="shared" si="3"/>
        <v>0</v>
      </c>
    </row>
    <row r="38" spans="47:63" ht="14.4" customHeight="1">
      <c r="AU38" s="441">
        <f>OBJ!B303</f>
        <v>9256894</v>
      </c>
      <c r="AV38" s="23" t="str">
        <f>VLOOKUP(AU38,CENY!$B$11:$G$1034,2,FALSE)</f>
        <v>QUADRO YOU PLNOVÝSUV 550 MM EB21 SILENT SYSTEM SADA</v>
      </c>
      <c r="AW38" s="24">
        <f>VLOOKUP(AU38,CENY!$B$11:$G$1034,3,FALSE)</f>
        <v>1</v>
      </c>
      <c r="AX38" s="499">
        <v>8</v>
      </c>
      <c r="AY38" s="25">
        <f>AA25</f>
        <v>0</v>
      </c>
      <c r="AZ38" s="451">
        <f t="shared" si="0"/>
        <v>0</v>
      </c>
      <c r="BA38" s="107">
        <f>VLOOKUP(AU38,CENY!$B$11:$M$2005,12,FALSE)</f>
        <v>412.64</v>
      </c>
      <c r="BB38" s="107">
        <f t="shared" si="1"/>
        <v>0</v>
      </c>
      <c r="BD38" s="441">
        <f>OBJ!B255</f>
        <v>9256993</v>
      </c>
      <c r="BE38" s="23" t="str">
        <f>VLOOKUP(BD38,CENY!$B$11:$G$1034,2,FALSE)</f>
        <v>ACTRO YOU 40KG PLNOVÝSUV 500 MM EB21 SILENT SYSTEM PRAVÝ</v>
      </c>
      <c r="BF38" s="24">
        <f>VLOOKUP(BD38,CENY!$B$11:$G$1034,3,FALSE)</f>
        <v>10</v>
      </c>
      <c r="BG38" s="24"/>
      <c r="BH38" s="25">
        <f>AY24</f>
        <v>0</v>
      </c>
      <c r="BI38" s="451">
        <f t="shared" si="2"/>
        <v>0</v>
      </c>
      <c r="BJ38" s="107">
        <f>VLOOKUP(BD38,CENY!$B$11:$M$2005,12,FALSE)</f>
        <v>253.25</v>
      </c>
      <c r="BK38" s="107">
        <f t="shared" si="3"/>
        <v>0</v>
      </c>
    </row>
    <row r="39" spans="47:63" ht="14.4" customHeight="1">
      <c r="AU39" s="441">
        <f>OBJ!B304</f>
        <v>9256896</v>
      </c>
      <c r="AV39" s="23" t="str">
        <f>VLOOKUP(AU39,CENY!$B$11:$G$1034,2,FALSE)</f>
        <v>QUADRO YOU PLNOVÝSUV 600 MM EB21 SILENT SYSTEM SADA</v>
      </c>
      <c r="AW39" s="24">
        <f>VLOOKUP(AU39,CENY!$B$11:$G$1034,3,FALSE)</f>
        <v>1</v>
      </c>
      <c r="AX39" s="499">
        <v>8</v>
      </c>
      <c r="AY39" s="25">
        <f>AC25</f>
        <v>0</v>
      </c>
      <c r="AZ39" s="451">
        <f t="shared" si="0"/>
        <v>0</v>
      </c>
      <c r="BA39" s="107">
        <f>VLOOKUP(AU39,CENY!$B$11:$M$2005,12,FALSE)</f>
        <v>420.11</v>
      </c>
      <c r="BB39" s="107">
        <f t="shared" si="1"/>
        <v>0</v>
      </c>
      <c r="BD39" s="441">
        <f>OBJ!B256</f>
        <v>9256996</v>
      </c>
      <c r="BE39" s="23" t="str">
        <f>VLOOKUP(BD39,CENY!$B$11:$G$1034,2,FALSE)</f>
        <v>ACTRO YOU 40KG PLNOVÝSUV 550 MM EB21 SILENT SYSTEM LEVÝ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269.83999999999997</v>
      </c>
      <c r="BK39" s="107">
        <f t="shared" si="3"/>
        <v>0</v>
      </c>
    </row>
    <row r="40" spans="47:63" ht="14.4" customHeight="1">
      <c r="AU40" s="441"/>
      <c r="AV40" s="23"/>
      <c r="AW40" s="24"/>
      <c r="AX40" s="24"/>
      <c r="AY40" s="25"/>
      <c r="AZ40" s="451" t="str">
        <f t="shared" si="0"/>
        <v/>
      </c>
      <c r="BA40" s="107"/>
      <c r="BB40" s="107" t="str">
        <f t="shared" si="1"/>
        <v/>
      </c>
      <c r="BD40" s="441">
        <f>OBJ!B257</f>
        <v>9256997</v>
      </c>
      <c r="BE40" s="23" t="str">
        <f>VLOOKUP(BD40,CENY!$B$11:$G$1034,2,FALSE)</f>
        <v>ACTRO YOU 40KG PLNOVÝSUV 550 MM EB21 SILENT SYSTEM PRAVÝ</v>
      </c>
      <c r="BF40" s="24">
        <f>VLOOKUP(BD40,CENY!$B$11:$G$1034,3,FALSE)</f>
        <v>10</v>
      </c>
      <c r="BG40" s="24"/>
      <c r="BH40" s="25">
        <f>AY25</f>
        <v>0</v>
      </c>
      <c r="BI40" s="451">
        <f t="shared" si="2"/>
        <v>0</v>
      </c>
      <c r="BJ40" s="107">
        <f>VLOOKUP(BD40,CENY!$B$11:$M$2005,12,FALSE)</f>
        <v>269.83999999999997</v>
      </c>
      <c r="BK40" s="107">
        <f t="shared" si="3"/>
        <v>0</v>
      </c>
    </row>
    <row r="41" spans="47:63" ht="14.4" customHeight="1">
      <c r="AU41" s="442">
        <v>9257258</v>
      </c>
      <c r="AV41" s="443" t="str">
        <f>VLOOKUP(AU41,CENY!$B$11:$G$1034,2,FALSE)</f>
        <v>AVANTECH YOU PŘÍCHYTKA ČELA PRO BOK INLAY, K ZALISOVÁNÍ</v>
      </c>
      <c r="AW41" s="24">
        <f>VLOOKUP(AU41,CENY!$B$11:$G$1034,3,FALSE)</f>
        <v>200</v>
      </c>
      <c r="AX41" s="24"/>
      <c r="AY41" s="77">
        <f>IF(FORM!AM8=FORM!AU11,(4*(SUM(O19:AD19)+SUM(W20:AF20)+SUM(O25:AD25))),0)</f>
        <v>0</v>
      </c>
      <c r="AZ41" s="451">
        <f t="shared" si="0"/>
        <v>0</v>
      </c>
      <c r="BA41" s="107">
        <f>VLOOKUP(AU41,CENY!$B$11:$M$2005,12,FALSE)</f>
        <v>53.8</v>
      </c>
      <c r="BB41" s="107">
        <f t="shared" si="1"/>
        <v>0</v>
      </c>
      <c r="BD41" s="441">
        <f>OBJ!B258</f>
        <v>9268679</v>
      </c>
      <c r="BE41" s="23" t="str">
        <f>VLOOKUP(BD41,CENY!$B$11:$G$1034,2,FALSE)</f>
        <v>ACTRO YOU 40KG PLNOVÝSUV 600 MM EB21 SILENT SYSTÉM LEVÝ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273.51</v>
      </c>
      <c r="BK41" s="107">
        <f t="shared" si="3"/>
        <v>0</v>
      </c>
    </row>
    <row r="42" spans="47:63" ht="14.4" customHeight="1">
      <c r="AU42" s="441"/>
      <c r="AV42" s="23"/>
      <c r="AW42" s="24"/>
      <c r="AX42" s="24"/>
      <c r="AY42" s="25"/>
      <c r="AZ42" s="451" t="str">
        <f t="shared" si="0"/>
        <v/>
      </c>
      <c r="BA42" s="107"/>
      <c r="BB42" s="107" t="str">
        <f t="shared" si="1"/>
        <v/>
      </c>
      <c r="BD42" s="441">
        <f>OBJ!B259</f>
        <v>9268680</v>
      </c>
      <c r="BE42" s="23" t="str">
        <f>VLOOKUP(BD42,CENY!$B$11:$G$1034,2,FALSE)</f>
        <v>ACTRO YOU 40KG PLNOVÝSUV 600 MM EB21 SILENT SYSTÉM PRAVÝ</v>
      </c>
      <c r="BF42" s="24">
        <f>VLOOKUP(BD42,CENY!$B$11:$G$1034,3,FALSE)</f>
        <v>10</v>
      </c>
      <c r="BG42" s="24"/>
      <c r="BH42" s="25">
        <f>AY26</f>
        <v>0</v>
      </c>
      <c r="BI42" s="451">
        <f t="shared" si="2"/>
        <v>0</v>
      </c>
      <c r="BJ42" s="107">
        <f>VLOOKUP(BD42,CENY!$B$11:$M$2005,12,FALSE)</f>
        <v>273.51</v>
      </c>
      <c r="BK42" s="107">
        <f t="shared" si="3"/>
        <v>0</v>
      </c>
    </row>
    <row r="43" spans="47:63" ht="14.4" customHeight="1">
      <c r="AU43" s="441">
        <f>OBJ!B207</f>
        <v>0</v>
      </c>
      <c r="AV43" s="23" t="e">
        <f>VLOOKUP(AU43,CENY!$B$11:$G$1034,2,FALSE)</f>
        <v>#N/A</v>
      </c>
      <c r="AW43" s="24" t="e">
        <f>VLOOKUP(AU43,CENY!$B$11:$G$1034,3,FALSE)</f>
        <v>#N/A</v>
      </c>
      <c r="AX43" s="24"/>
      <c r="AY43" s="77">
        <f>IF(FORM!AM21&lt;&gt;FORM!AW16,(4*(SUM(O19:AD19)+SUM(W20:AF20)+SUM(O25:AD25))),0)</f>
        <v>0</v>
      </c>
      <c r="AZ43" s="451">
        <f t="shared" si="0"/>
        <v>0</v>
      </c>
      <c r="BA43" s="449" t="str">
        <f>IF(AU43=0,"",VLOOKUP(AU43,CENY!$B$11:$M$2005,12,FALSE))</f>
        <v/>
      </c>
      <c r="BB43" s="107" t="str">
        <f t="shared" si="1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47:63" ht="14.4" customHeight="1">
      <c r="AU44" s="441"/>
      <c r="AV44" s="23"/>
      <c r="AW44" s="24"/>
      <c r="AX44" s="24"/>
      <c r="AY44" s="25"/>
      <c r="AZ44" s="451" t="str">
        <f t="shared" si="0"/>
        <v/>
      </c>
      <c r="BA44" s="107"/>
      <c r="BB44" s="107" t="str">
        <f t="shared" si="1"/>
        <v/>
      </c>
      <c r="BD44" s="441">
        <f>OBJ!B266</f>
        <v>9257013</v>
      </c>
      <c r="BE44" s="23" t="str">
        <f>VLOOKUP(BD44,CENY!$B$11:$G$1034,2,FALSE)</f>
        <v>ACTRO YOU 70KG PLNOVÝSUV 450 MM EB21 SILENT SYSTEM LEVÝ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309.07</v>
      </c>
      <c r="BK44" s="107">
        <f t="shared" si="3"/>
        <v>0</v>
      </c>
    </row>
    <row r="45" spans="47:63" ht="14.4" customHeight="1">
      <c r="AU45" s="441"/>
      <c r="AV45" s="23"/>
      <c r="AW45" s="24"/>
      <c r="AX45" s="24"/>
      <c r="AY45" s="25"/>
      <c r="AZ45" s="451" t="str">
        <f t="shared" si="0"/>
        <v/>
      </c>
      <c r="BA45" s="107"/>
      <c r="BB45" s="107" t="str">
        <f t="shared" si="1"/>
        <v/>
      </c>
      <c r="BD45" s="441">
        <f>OBJ!B267</f>
        <v>9257014</v>
      </c>
      <c r="BE45" s="23" t="str">
        <f>VLOOKUP(BD45,CENY!$B$11:$G$1034,2,FALSE)</f>
        <v>ACTRO YOU 70KG PLNOVÝSUV 450 MM EB21 SILENT SYSTEM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309.07</v>
      </c>
      <c r="BK45" s="107">
        <f t="shared" si="3"/>
        <v>0</v>
      </c>
    </row>
    <row r="46" spans="47:63" ht="14.4" customHeight="1">
      <c r="AU46" s="441"/>
      <c r="AV46" s="23"/>
      <c r="AW46" s="24"/>
      <c r="AX46" s="24"/>
      <c r="AY46" s="25"/>
      <c r="AZ46" s="451" t="str">
        <f t="shared" si="0"/>
        <v/>
      </c>
      <c r="BA46" s="107"/>
      <c r="BB46" s="107" t="str">
        <f t="shared" si="1"/>
        <v/>
      </c>
      <c r="BD46" s="441">
        <f>OBJ!B268</f>
        <v>9257017</v>
      </c>
      <c r="BE46" s="23" t="str">
        <f>VLOOKUP(BD46,CENY!$B$11:$G$1034,2,FALSE)</f>
        <v>ACTRO YOU 70KG PLNOVÝSUV 500 MM EB21 SILENT SYSTEM LEVÝ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312.18</v>
      </c>
      <c r="BK46" s="107">
        <f t="shared" si="3"/>
        <v>0</v>
      </c>
    </row>
    <row r="47" spans="47:63" ht="14.4" customHeight="1">
      <c r="AU47" s="441"/>
      <c r="AV47" s="23"/>
      <c r="AW47" s="24"/>
      <c r="AX47" s="24"/>
      <c r="AY47" s="25"/>
      <c r="AZ47" s="451" t="str">
        <f t="shared" si="0"/>
        <v/>
      </c>
      <c r="BA47" s="107"/>
      <c r="BB47" s="107" t="str">
        <f t="shared" si="1"/>
        <v/>
      </c>
      <c r="BD47" s="441">
        <f>OBJ!B269</f>
        <v>9257018</v>
      </c>
      <c r="BE47" s="23" t="str">
        <f>VLOOKUP(BD47,CENY!$B$11:$G$1034,2,FALSE)</f>
        <v>ACTRO YOU 70KG PLNOVÝSUV 500 MM EB21 SILENT SYSTEM PRAVÝ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312.18</v>
      </c>
      <c r="BK47" s="107">
        <f t="shared" si="3"/>
        <v>0</v>
      </c>
    </row>
    <row r="48" spans="47:63" ht="14.4" customHeight="1">
      <c r="AU48" s="441"/>
      <c r="AV48" s="23"/>
      <c r="AW48" s="24"/>
      <c r="AX48" s="24"/>
      <c r="AY48" s="25"/>
      <c r="AZ48" s="451" t="str">
        <f t="shared" si="0"/>
        <v/>
      </c>
      <c r="BA48" s="107"/>
      <c r="BB48" s="107" t="str">
        <f t="shared" si="1"/>
        <v/>
      </c>
      <c r="BD48" s="441">
        <f>OBJ!B270</f>
        <v>9257021</v>
      </c>
      <c r="BE48" s="23" t="str">
        <f>VLOOKUP(BD48,CENY!$B$11:$G$1034,2,FALSE)</f>
        <v>ACTRO YOU 70KG PLNOVÝSUV 550 MM EB21 SILENT SYSTEM LEVÝ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328.77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0"/>
        <v/>
      </c>
      <c r="BA49" s="107"/>
      <c r="BB49" s="107" t="str">
        <f t="shared" si="1"/>
        <v/>
      </c>
      <c r="BD49" s="441">
        <f>OBJ!B271</f>
        <v>9257022</v>
      </c>
      <c r="BE49" s="23" t="str">
        <f>VLOOKUP(BD49,CENY!$B$11:$G$1034,2,FALSE)</f>
        <v>ACTRO YOU 70KG PLNOVÝSUV 550 MM EB21 SILENT SYSTEM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328.77</v>
      </c>
      <c r="BK49" s="107">
        <f t="shared" si="3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0"/>
        <v/>
      </c>
      <c r="BA50" s="107"/>
      <c r="BB50" s="107" t="str">
        <f t="shared" si="1"/>
        <v/>
      </c>
      <c r="BD50" s="441">
        <f>OBJ!B272</f>
        <v>9257025</v>
      </c>
      <c r="BE50" s="23" t="str">
        <f>VLOOKUP(BD50,CENY!$B$11:$G$1034,2,FALSE)</f>
        <v>ACTRO YOU 70KG PLNOVÝSUV 600 MM EB21 SILENT SYSTEM LEVÝ</v>
      </c>
      <c r="BF50" s="24">
        <f>VLOOKUP(BD50,CENY!$B$11:$G$1034,3,FALSE)</f>
        <v>10</v>
      </c>
      <c r="BG50" s="24"/>
      <c r="BH50" s="25">
        <f>AY31</f>
        <v>0</v>
      </c>
      <c r="BI50" s="451">
        <f t="shared" si="2"/>
        <v>0</v>
      </c>
      <c r="BJ50" s="107">
        <f>VLOOKUP(BD50,CENY!$B$11:$M$2005,12,FALSE)</f>
        <v>362.28</v>
      </c>
      <c r="BK50" s="107">
        <f t="shared" si="3"/>
        <v>0</v>
      </c>
    </row>
    <row r="51" spans="47:63" ht="14.4" customHeight="1">
      <c r="AU51" s="22"/>
      <c r="AV51" s="23"/>
      <c r="AW51" s="24"/>
      <c r="AX51" s="24"/>
      <c r="AY51" s="25"/>
      <c r="AZ51" s="451" t="str">
        <f t="shared" si="0"/>
        <v/>
      </c>
      <c r="BA51" s="107"/>
      <c r="BB51" s="107" t="str">
        <f t="shared" si="1"/>
        <v/>
      </c>
      <c r="BD51" s="441">
        <f>OBJ!B273</f>
        <v>9257026</v>
      </c>
      <c r="BE51" s="23" t="str">
        <f>VLOOKUP(BD51,CENY!$B$11:$G$1034,2,FALSE)</f>
        <v>ACTRO YOU 70KG PLNOVÝSUV 600 MM EB21 SILENT SYSTEM PRAVÝ</v>
      </c>
      <c r="BF51" s="24">
        <f>VLOOKUP(BD51,CENY!$B$11:$G$1034,3,FALSE)</f>
        <v>10</v>
      </c>
      <c r="BG51" s="24"/>
      <c r="BH51" s="25">
        <f>AY31</f>
        <v>0</v>
      </c>
      <c r="BI51" s="451">
        <f t="shared" si="2"/>
        <v>0</v>
      </c>
      <c r="BJ51" s="107">
        <f>VLOOKUP(BD51,CENY!$B$11:$M$2005,12,FALSE)</f>
        <v>362.28</v>
      </c>
      <c r="BK51" s="107">
        <f t="shared" si="3"/>
        <v>0</v>
      </c>
    </row>
    <row r="52" spans="47:63" ht="14.4" customHeight="1">
      <c r="AU52" s="22"/>
      <c r="AV52" s="23"/>
      <c r="AW52" s="24"/>
      <c r="AX52" s="24"/>
      <c r="AY52" s="25"/>
      <c r="AZ52" s="451" t="str">
        <f t="shared" si="0"/>
        <v/>
      </c>
      <c r="BA52" s="107"/>
      <c r="BB52" s="107" t="str">
        <f t="shared" si="1"/>
        <v/>
      </c>
      <c r="BD52" s="441">
        <f>OBJ!B274</f>
        <v>9257027</v>
      </c>
      <c r="BE52" s="23" t="str">
        <f>VLOOKUP(BD52,CENY!$B$11:$G$1034,2,FALSE)</f>
        <v>ACTRO YOU 70KG PLNOVÝSUV 650 MM EB21 SILENT SYSTEM LEVÝ</v>
      </c>
      <c r="BF52" s="24">
        <f>VLOOKUP(BD52,CENY!$B$11:$G$1034,3,FALSE)</f>
        <v>5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377.39</v>
      </c>
      <c r="BK52" s="107">
        <f t="shared" si="3"/>
        <v>0</v>
      </c>
    </row>
    <row r="53" spans="47:63" ht="14.4" customHeight="1">
      <c r="AU53" s="22"/>
      <c r="AV53" s="23"/>
      <c r="AW53" s="24"/>
      <c r="AX53" s="24"/>
      <c r="AY53" s="25"/>
      <c r="AZ53" s="451" t="str">
        <f t="shared" si="0"/>
        <v/>
      </c>
      <c r="BA53" s="107"/>
      <c r="BB53" s="107" t="str">
        <f t="shared" si="1"/>
        <v/>
      </c>
      <c r="BD53" s="441">
        <f>OBJ!B275</f>
        <v>9257028</v>
      </c>
      <c r="BE53" s="23" t="str">
        <f>VLOOKUP(BD53,CENY!$B$11:$G$1034,2,FALSE)</f>
        <v>ACTRO YOU 70KG PLNOVÝSUV 650 MM EB21 SILENT SYSTEM PRAVÝ</v>
      </c>
      <c r="BF53" s="24">
        <f>VLOOKUP(BD53,CENY!$B$11:$G$1034,3,FALSE)</f>
        <v>5</v>
      </c>
      <c r="BG53" s="24"/>
      <c r="BH53" s="25">
        <f>AY32</f>
        <v>0</v>
      </c>
      <c r="BI53" s="451">
        <f t="shared" si="2"/>
        <v>0</v>
      </c>
      <c r="BJ53" s="107">
        <f>VLOOKUP(BD53,CENY!$B$11:$M$2005,12,FALSE)</f>
        <v>377.39</v>
      </c>
      <c r="BK53" s="107">
        <f t="shared" si="3"/>
        <v>0</v>
      </c>
    </row>
    <row r="54" spans="47:63" ht="14.4" customHeight="1">
      <c r="AU54" s="22"/>
      <c r="AV54" s="23"/>
      <c r="AW54" s="24"/>
      <c r="AX54" s="24"/>
      <c r="AY54" s="25"/>
      <c r="AZ54" s="451" t="str">
        <f t="shared" si="0"/>
        <v/>
      </c>
      <c r="BA54" s="107"/>
      <c r="BB54" s="107" t="str">
        <f t="shared" si="1"/>
        <v/>
      </c>
      <c r="BD54" s="441"/>
      <c r="BE54" s="23"/>
      <c r="BF54" s="24"/>
      <c r="BG54" s="24"/>
      <c r="BH54" s="25"/>
      <c r="BI54" s="451" t="str">
        <f t="shared" si="2"/>
        <v/>
      </c>
      <c r="BJ54" s="107"/>
      <c r="BK54" s="107" t="str">
        <f t="shared" si="3"/>
        <v/>
      </c>
    </row>
    <row r="55" spans="47:63" ht="14.4" customHeight="1">
      <c r="AU55" s="22"/>
      <c r="AV55" s="23"/>
      <c r="AW55" s="24"/>
      <c r="AX55" s="24"/>
      <c r="AY55" s="25"/>
      <c r="AZ55" s="451" t="str">
        <f t="shared" si="0"/>
        <v/>
      </c>
      <c r="BA55" s="107"/>
      <c r="BB55" s="107" t="str">
        <f t="shared" si="1"/>
        <v/>
      </c>
      <c r="BD55" s="441">
        <f>OBJ!B309</f>
        <v>9256860</v>
      </c>
      <c r="BE55" s="23" t="str">
        <f>VLOOKUP(BD55,CENY!$B$11:$G$1034,2,FALSE)</f>
        <v>QUADRO YOU PLNOVÝSUV 350 MM EB21 SILENT SYSTEM LEVÝ</v>
      </c>
      <c r="BF55" s="24">
        <f>VLOOKUP(BD55,CENY!$B$11:$G$1034,3,FALSE)</f>
        <v>20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176.43</v>
      </c>
      <c r="BK55" s="107">
        <f t="shared" si="3"/>
        <v>0</v>
      </c>
    </row>
    <row r="56" spans="47:63" ht="14.4" customHeight="1">
      <c r="AU56" s="22"/>
      <c r="AV56" s="23"/>
      <c r="AW56" s="24"/>
      <c r="AX56" s="24"/>
      <c r="AY56" s="25"/>
      <c r="AZ56" s="451" t="str">
        <f t="shared" si="0"/>
        <v/>
      </c>
      <c r="BA56" s="107"/>
      <c r="BB56" s="107" t="str">
        <f t="shared" si="1"/>
        <v/>
      </c>
      <c r="BD56" s="441">
        <f>OBJ!B310</f>
        <v>9256861</v>
      </c>
      <c r="BE56" s="23" t="str">
        <f>VLOOKUP(BD56,CENY!$B$11:$G$1034,2,FALSE)</f>
        <v>QUADRO YOU PLNOVÝSUV 350 MM EB21 SILENT SYSTEM PRAVÝ</v>
      </c>
      <c r="BF56" s="24">
        <f>VLOOKUP(BD56,CENY!$B$11:$G$1034,3,FALSE)</f>
        <v>20</v>
      </c>
      <c r="BG56" s="24"/>
      <c r="BH56" s="25">
        <f>AY34</f>
        <v>0</v>
      </c>
      <c r="BI56" s="451">
        <f t="shared" ref="BI56:BI80" si="5">IF(BH56="","",IF($AW$4=0,BH56,0))</f>
        <v>0</v>
      </c>
      <c r="BJ56" s="107">
        <f>VLOOKUP(BD56,CENY!$B$11:$M$2005,12,FALSE)</f>
        <v>176.43</v>
      </c>
      <c r="BK56" s="107">
        <f t="shared" ref="BK56:BK80" si="6">IF(BJ56="","",BJ56*BH56)</f>
        <v>0</v>
      </c>
    </row>
    <row r="57" spans="47:63" ht="14.4" customHeight="1">
      <c r="AU57" s="22"/>
      <c r="AV57" s="23"/>
      <c r="AW57" s="24"/>
      <c r="AX57" s="24"/>
      <c r="AY57" s="25"/>
      <c r="AZ57" s="451" t="str">
        <f t="shared" si="0"/>
        <v/>
      </c>
      <c r="BA57" s="107"/>
      <c r="BB57" s="107" t="str">
        <f t="shared" si="1"/>
        <v/>
      </c>
      <c r="BD57" s="441">
        <f>OBJ!B311</f>
        <v>9256864</v>
      </c>
      <c r="BE57" s="23" t="str">
        <f>VLOOKUP(BD57,CENY!$B$11:$G$1034,2,FALSE)</f>
        <v>QUADRO YOU PLNOVÝSUV 400 MM EB21 SILENT SYSTEM LEVÝ</v>
      </c>
      <c r="BF57" s="24">
        <f>VLOOKUP(BD57,CENY!$B$11:$G$1034,3,FALSE)</f>
        <v>20</v>
      </c>
      <c r="BG57" s="24"/>
      <c r="BH57" s="25">
        <f>AY35</f>
        <v>0</v>
      </c>
      <c r="BI57" s="451">
        <f t="shared" si="5"/>
        <v>0</v>
      </c>
      <c r="BJ57" s="107">
        <f>VLOOKUP(BD57,CENY!$B$11:$M$2005,12,FALSE)</f>
        <v>180.17</v>
      </c>
      <c r="BK57" s="107">
        <f t="shared" si="6"/>
        <v>0</v>
      </c>
    </row>
    <row r="58" spans="47:63" ht="14.4" customHeight="1">
      <c r="AU58" s="22"/>
      <c r="AV58" s="23"/>
      <c r="AW58" s="24"/>
      <c r="AX58" s="24"/>
      <c r="AY58" s="25"/>
      <c r="AZ58" s="451" t="str">
        <f t="shared" si="0"/>
        <v/>
      </c>
      <c r="BA58" s="107"/>
      <c r="BB58" s="107" t="str">
        <f t="shared" si="1"/>
        <v/>
      </c>
      <c r="BD58" s="441">
        <f>OBJ!B312</f>
        <v>9256865</v>
      </c>
      <c r="BE58" s="23" t="str">
        <f>VLOOKUP(BD58,CENY!$B$11:$G$1034,2,FALSE)</f>
        <v>QUADRO YOU PLNOVÝSUV 400 MM EB21 SILENT SYSTEM PRAVÝ</v>
      </c>
      <c r="BF58" s="24">
        <f>VLOOKUP(BD58,CENY!$B$11:$G$1034,3,FALSE)</f>
        <v>20</v>
      </c>
      <c r="BG58" s="24"/>
      <c r="BH58" s="25">
        <f>AY35</f>
        <v>0</v>
      </c>
      <c r="BI58" s="451">
        <f t="shared" si="5"/>
        <v>0</v>
      </c>
      <c r="BJ58" s="107">
        <f>VLOOKUP(BD58,CENY!$B$11:$M$2005,12,FALSE)</f>
        <v>180.17</v>
      </c>
      <c r="BK58" s="107">
        <f t="shared" si="6"/>
        <v>0</v>
      </c>
    </row>
    <row r="59" spans="47:63" ht="14.4" customHeight="1">
      <c r="AU59" s="22"/>
      <c r="AV59" s="23"/>
      <c r="AW59" s="24"/>
      <c r="AX59" s="24"/>
      <c r="AY59" s="25"/>
      <c r="AZ59" s="451" t="str">
        <f t="shared" si="0"/>
        <v/>
      </c>
      <c r="BA59" s="107"/>
      <c r="BB59" s="107" t="str">
        <f t="shared" si="1"/>
        <v/>
      </c>
      <c r="BD59" s="441">
        <f>OBJ!B313</f>
        <v>9256868</v>
      </c>
      <c r="BE59" s="23" t="str">
        <f>VLOOKUP(BD59,CENY!$B$11:$G$1034,2,FALSE)</f>
        <v>QUADRO YOU PLNOVÝSUV 450 MM EB21 SILENT SYSTEM LEVÝ</v>
      </c>
      <c r="BF59" s="24">
        <f>VLOOKUP(BD59,CENY!$B$11:$G$1034,3,FALSE)</f>
        <v>20</v>
      </c>
      <c r="BG59" s="24"/>
      <c r="BH59" s="25">
        <f>AY36</f>
        <v>0</v>
      </c>
      <c r="BI59" s="451">
        <f t="shared" si="5"/>
        <v>0</v>
      </c>
      <c r="BJ59" s="107">
        <f>VLOOKUP(BD59,CENY!$B$11:$M$2005,12,FALSE)</f>
        <v>183.9</v>
      </c>
      <c r="BK59" s="107">
        <f t="shared" si="6"/>
        <v>0</v>
      </c>
    </row>
    <row r="60" spans="47:63" ht="14.4" customHeight="1">
      <c r="AU60" s="22"/>
      <c r="AV60" s="23"/>
      <c r="AW60" s="24"/>
      <c r="AX60" s="24"/>
      <c r="AY60" s="25"/>
      <c r="AZ60" s="451" t="str">
        <f t="shared" si="0"/>
        <v/>
      </c>
      <c r="BA60" s="107"/>
      <c r="BB60" s="107" t="str">
        <f t="shared" si="1"/>
        <v/>
      </c>
      <c r="BD60" s="441">
        <f>OBJ!B314</f>
        <v>9256869</v>
      </c>
      <c r="BE60" s="23" t="str">
        <f>VLOOKUP(BD60,CENY!$B$11:$G$1034,2,FALSE)</f>
        <v>QUADRO YOU PLNOVÝSUV 450 MM EB21 SILENT SYSTEM PRAVÝ</v>
      </c>
      <c r="BF60" s="24">
        <f>VLOOKUP(BD60,CENY!$B$11:$G$1034,3,FALSE)</f>
        <v>20</v>
      </c>
      <c r="BG60" s="24"/>
      <c r="BH60" s="25">
        <f>AY36</f>
        <v>0</v>
      </c>
      <c r="BI60" s="451">
        <f t="shared" si="5"/>
        <v>0</v>
      </c>
      <c r="BJ60" s="107">
        <f>VLOOKUP(BD60,CENY!$B$11:$M$2005,12,FALSE)</f>
        <v>183.9</v>
      </c>
      <c r="BK60" s="107">
        <f t="shared" si="6"/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0"/>
        <v/>
      </c>
      <c r="BA61" s="107"/>
      <c r="BB61" s="107" t="str">
        <f t="shared" ref="BB61:BB82" si="7">IF(BA61="","",BA61*AY61)</f>
        <v/>
      </c>
      <c r="BD61" s="441">
        <f>OBJ!B315</f>
        <v>9256872</v>
      </c>
      <c r="BE61" s="23" t="str">
        <f>VLOOKUP(BD61,CENY!$B$11:$G$1034,2,FALSE)</f>
        <v>QUADRO YOU PLNOVÝSUV 500 MM EB21 SILENT SYSTEM LEVÝ</v>
      </c>
      <c r="BF61" s="24">
        <f>VLOOKUP(BD61,CENY!$B$11:$G$1034,3,FALSE)</f>
        <v>20</v>
      </c>
      <c r="BG61" s="24"/>
      <c r="BH61" s="25">
        <f>AY37</f>
        <v>0</v>
      </c>
      <c r="BI61" s="451">
        <f t="shared" si="5"/>
        <v>0</v>
      </c>
      <c r="BJ61" s="107">
        <f>VLOOKUP(BD61,CENY!$B$11:$M$2005,12,FALSE)</f>
        <v>187.64</v>
      </c>
      <c r="BK61" s="107">
        <f t="shared" si="6"/>
        <v>0</v>
      </c>
    </row>
    <row r="62" spans="47:63" ht="14.4" customHeight="1">
      <c r="AU62" s="22"/>
      <c r="AV62" s="23"/>
      <c r="AW62" s="24"/>
      <c r="AX62" s="24"/>
      <c r="AY62" s="25"/>
      <c r="AZ62" s="451" t="str">
        <f t="shared" ref="AZ62:AZ82" si="8">IF(AY62="","",IF($AW$4=1,AY62,0))</f>
        <v/>
      </c>
      <c r="BA62" s="107"/>
      <c r="BB62" s="107" t="str">
        <f t="shared" si="7"/>
        <v/>
      </c>
      <c r="BD62" s="441">
        <f>OBJ!B316</f>
        <v>9256873</v>
      </c>
      <c r="BE62" s="23" t="str">
        <f>VLOOKUP(BD62,CENY!$B$11:$G$1034,2,FALSE)</f>
        <v>QUADRO YOU PLNOVÝSUV 500 MM EB21 SILENT SYSTEM PRAVÝ</v>
      </c>
      <c r="BF62" s="24">
        <f>VLOOKUP(BD62,CENY!$B$11:$G$1034,3,FALSE)</f>
        <v>20</v>
      </c>
      <c r="BG62" s="24"/>
      <c r="BH62" s="25">
        <f>AY37</f>
        <v>0</v>
      </c>
      <c r="BI62" s="451">
        <f t="shared" si="5"/>
        <v>0</v>
      </c>
      <c r="BJ62" s="107">
        <f>VLOOKUP(BD62,CENY!$B$11:$M$2005,12,FALSE)</f>
        <v>187.64</v>
      </c>
      <c r="BK62" s="107">
        <f t="shared" si="6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8"/>
        <v/>
      </c>
      <c r="BA63" s="107"/>
      <c r="BB63" s="107" t="str">
        <f t="shared" si="7"/>
        <v/>
      </c>
      <c r="BD63" s="441">
        <f>OBJ!B317</f>
        <v>9256876</v>
      </c>
      <c r="BE63" s="23" t="str">
        <f>VLOOKUP(BD63,CENY!$B$11:$G$1034,2,FALSE)</f>
        <v>QUADRO YOU PLNOVÝSUV 550 MM EB21 SILENT SYSTEM LEVÝ</v>
      </c>
      <c r="BF63" s="24">
        <f>VLOOKUP(BD63,CENY!$B$11:$G$1034,3,FALSE)</f>
        <v>20</v>
      </c>
      <c r="BG63" s="24"/>
      <c r="BH63" s="25">
        <f>AY38</f>
        <v>0</v>
      </c>
      <c r="BI63" s="451">
        <f t="shared" si="5"/>
        <v>0</v>
      </c>
      <c r="BJ63" s="107">
        <f>VLOOKUP(BD63,CENY!$B$11:$M$2005,12,FALSE)</f>
        <v>194.36</v>
      </c>
      <c r="BK63" s="107">
        <f t="shared" si="6"/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8"/>
        <v/>
      </c>
      <c r="BA64" s="107"/>
      <c r="BB64" s="107" t="str">
        <f t="shared" si="7"/>
        <v/>
      </c>
      <c r="BD64" s="441">
        <f>OBJ!B318</f>
        <v>9256877</v>
      </c>
      <c r="BE64" s="23" t="str">
        <f>VLOOKUP(BD64,CENY!$B$11:$G$1034,2,FALSE)</f>
        <v>QUADRO YOU PLNOVÝSUV 550 MM EB21 SILENT SYSTEM PRAVÝ</v>
      </c>
      <c r="BF64" s="24">
        <f>VLOOKUP(BD64,CENY!$B$11:$G$1034,3,FALSE)</f>
        <v>20</v>
      </c>
      <c r="BG64" s="24"/>
      <c r="BH64" s="25">
        <f>AY38</f>
        <v>0</v>
      </c>
      <c r="BI64" s="451">
        <f t="shared" si="5"/>
        <v>0</v>
      </c>
      <c r="BJ64" s="107">
        <f>VLOOKUP(BD64,CENY!$B$11:$M$2005,12,FALSE)</f>
        <v>194.36</v>
      </c>
      <c r="BK64" s="107">
        <f t="shared" si="6"/>
        <v>0</v>
      </c>
    </row>
    <row r="65" spans="47:63" ht="14.4" customHeight="1">
      <c r="AU65" s="22"/>
      <c r="AV65" s="23"/>
      <c r="AW65" s="24"/>
      <c r="AX65" s="24"/>
      <c r="AY65" s="25"/>
      <c r="AZ65" s="451" t="str">
        <f t="shared" si="8"/>
        <v/>
      </c>
      <c r="BA65" s="107"/>
      <c r="BB65" s="107" t="str">
        <f t="shared" si="7"/>
        <v/>
      </c>
      <c r="BD65" s="441">
        <f>OBJ!B319</f>
        <v>9256880</v>
      </c>
      <c r="BE65" s="23" t="str">
        <f>VLOOKUP(BD65,CENY!$B$11:$G$1034,2,FALSE)</f>
        <v>QUADRO YOU PLNOVÝSUV 600 MM EB21 SILENT SYSTEM LEVÝ</v>
      </c>
      <c r="BF65" s="24">
        <f>VLOOKUP(BD65,CENY!$B$11:$G$1034,3,FALSE)</f>
        <v>20</v>
      </c>
      <c r="BG65" s="24"/>
      <c r="BH65" s="25">
        <f>AY39</f>
        <v>0</v>
      </c>
      <c r="BI65" s="451">
        <f t="shared" si="5"/>
        <v>0</v>
      </c>
      <c r="BJ65" s="107">
        <f>VLOOKUP(BD65,CENY!$B$11:$M$2005,12,FALSE)</f>
        <v>198.1</v>
      </c>
      <c r="BK65" s="107">
        <f t="shared" si="6"/>
        <v>0</v>
      </c>
    </row>
    <row r="66" spans="47:63" ht="14.4" customHeight="1">
      <c r="AU66" s="22"/>
      <c r="AV66" s="23"/>
      <c r="AW66" s="24"/>
      <c r="AX66" s="24"/>
      <c r="AY66" s="25"/>
      <c r="AZ66" s="451" t="str">
        <f t="shared" si="8"/>
        <v/>
      </c>
      <c r="BA66" s="107"/>
      <c r="BB66" s="107" t="str">
        <f t="shared" si="7"/>
        <v/>
      </c>
      <c r="BD66" s="441">
        <f>OBJ!B320</f>
        <v>9256881</v>
      </c>
      <c r="BE66" s="23" t="str">
        <f>VLOOKUP(BD66,CENY!$B$11:$G$1034,2,FALSE)</f>
        <v>QUADRO YOU PLNOVÝSUV 600 MM EB21 SILENT SYSTEM PRAVÝ</v>
      </c>
      <c r="BF66" s="24">
        <f>VLOOKUP(BD66,CENY!$B$11:$G$1034,3,FALSE)</f>
        <v>20</v>
      </c>
      <c r="BG66" s="24"/>
      <c r="BH66" s="25">
        <f>AY39</f>
        <v>0</v>
      </c>
      <c r="BI66" s="451">
        <f t="shared" si="5"/>
        <v>0</v>
      </c>
      <c r="BJ66" s="107">
        <f>VLOOKUP(BD66,CENY!$B$11:$M$2005,12,FALSE)</f>
        <v>198.1</v>
      </c>
      <c r="BK66" s="107">
        <f t="shared" si="6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8"/>
        <v/>
      </c>
      <c r="BA67" s="107"/>
      <c r="BB67" s="107" t="str">
        <f t="shared" si="7"/>
        <v/>
      </c>
      <c r="BD67" s="441"/>
      <c r="BE67" s="23"/>
      <c r="BF67" s="24"/>
      <c r="BG67" s="24"/>
      <c r="BH67" s="25"/>
      <c r="BI67" s="451" t="str">
        <f t="shared" si="5"/>
        <v/>
      </c>
      <c r="BJ67" s="107"/>
      <c r="BK67" s="107" t="str">
        <f t="shared" si="6"/>
        <v/>
      </c>
    </row>
    <row r="68" spans="47:63" ht="14.4" customHeight="1">
      <c r="AU68" s="22"/>
      <c r="AV68" s="23"/>
      <c r="AW68" s="24"/>
      <c r="AX68" s="24"/>
      <c r="AY68" s="25"/>
      <c r="AZ68" s="451" t="str">
        <f t="shared" si="8"/>
        <v/>
      </c>
      <c r="BA68" s="107"/>
      <c r="BB68" s="107" t="str">
        <f t="shared" si="7"/>
        <v/>
      </c>
      <c r="BD68" s="441">
        <f>OBJ!B207</f>
        <v>0</v>
      </c>
      <c r="BE68" s="23" t="e">
        <f>VLOOKUP(BD68,CENY!$B$11:$G$1034,2,FALSE)</f>
        <v>#N/A</v>
      </c>
      <c r="BF68" s="24" t="e">
        <f>VLOOKUP(BD68,CENY!$B$11:$G$1034,3,FALSE)</f>
        <v>#N/A</v>
      </c>
      <c r="BG68" s="24"/>
      <c r="BH68" s="25">
        <f>AY43</f>
        <v>0</v>
      </c>
      <c r="BI68" s="451">
        <f t="shared" si="5"/>
        <v>0</v>
      </c>
      <c r="BJ68" s="449" t="str">
        <f>IF(BD68=0,"",VLOOKUP(BD68,CENY!$B$11:$M$2005,12,FALSE))</f>
        <v/>
      </c>
      <c r="BK68" s="107" t="str">
        <f>IF(BJ68="","",BJ68*BH68)</f>
        <v/>
      </c>
    </row>
    <row r="69" spans="47:63" ht="14.4" customHeight="1">
      <c r="AU69" s="22"/>
      <c r="AV69" s="23"/>
      <c r="AW69" s="24"/>
      <c r="AX69" s="24"/>
      <c r="AY69" s="25"/>
      <c r="AZ69" s="451" t="str">
        <f t="shared" si="8"/>
        <v/>
      </c>
      <c r="BA69" s="107"/>
      <c r="BB69" s="107" t="str">
        <f t="shared" si="7"/>
        <v/>
      </c>
      <c r="BD69" s="441"/>
      <c r="BE69" s="23"/>
      <c r="BF69" s="24"/>
      <c r="BG69" s="24"/>
      <c r="BH69" s="25"/>
      <c r="BI69" s="451" t="str">
        <f t="shared" si="5"/>
        <v/>
      </c>
      <c r="BJ69" s="107"/>
      <c r="BK69" s="107" t="str">
        <f t="shared" si="6"/>
        <v/>
      </c>
    </row>
    <row r="70" spans="47:63" ht="14.4" customHeight="1">
      <c r="AU70" s="441">
        <f>OBJ!B354</f>
        <v>45167</v>
      </c>
      <c r="AV70" s="23" t="str">
        <f>VLOOKUP(AU70,CENY!$B$11:$G$1034,2,FALSE)</f>
        <v>VRUT PANHEAD 35X12</v>
      </c>
      <c r="AW70" s="24">
        <f>VLOOKUP(AU70,CENY!$B$11:$G$1034,3,FALSE)</f>
        <v>200</v>
      </c>
      <c r="AX70" s="24"/>
      <c r="AY70" s="25">
        <f>SUMPRODUCT(AX5:AX11,AY5:AY11)</f>
        <v>0</v>
      </c>
      <c r="AZ70" s="451">
        <f t="shared" si="8"/>
        <v>0</v>
      </c>
      <c r="BA70" s="107">
        <f>VLOOKUP(AU70,CENY!$B$11:$M$2005,12,FALSE)</f>
        <v>0.54</v>
      </c>
      <c r="BB70" s="107">
        <f t="shared" si="7"/>
        <v>0</v>
      </c>
      <c r="BC70" s="97" t="s">
        <v>506</v>
      </c>
      <c r="BD70" s="441">
        <f>OBJ!B354</f>
        <v>45167</v>
      </c>
      <c r="BE70" s="23" t="str">
        <f>VLOOKUP(BD70,CENY!$B$11:$G$1034,2,FALSE)</f>
        <v>VRUT PANHEAD 35X12</v>
      </c>
      <c r="BF70" s="24">
        <f>VLOOKUP(BD70,CENY!$B$11:$G$1034,3,FALSE)</f>
        <v>200</v>
      </c>
      <c r="BG70" s="24"/>
      <c r="BH70" s="25">
        <f>AY70</f>
        <v>0</v>
      </c>
      <c r="BI70" s="451">
        <f>IF(BH70="","",IF($AW$4=0,BH70,0))</f>
        <v>0</v>
      </c>
      <c r="BJ70" s="107">
        <f>VLOOKUP(BD70,CENY!$B$11:$M$2005,12,FALSE)</f>
        <v>0.54</v>
      </c>
      <c r="BK70" s="107">
        <f>IF(BJ70="","",BJ70*BH70)</f>
        <v>0</v>
      </c>
    </row>
    <row r="71" spans="47:63" ht="14.4" customHeight="1">
      <c r="AU71" s="441">
        <f>OBJ!B355</f>
        <v>45168</v>
      </c>
      <c r="AV71" s="23" t="str">
        <f>VLOOKUP(AU71,CENY!$B$11:$G$1034,2,FALSE)</f>
        <v>VRUT PANHEAD 35X20</v>
      </c>
      <c r="AW71" s="24">
        <f>VLOOKUP(AU71,CENY!$B$11:$G$1034,3,FALSE)</f>
        <v>200</v>
      </c>
      <c r="AX71" s="24"/>
      <c r="AY71" s="497">
        <v>0</v>
      </c>
      <c r="AZ71" s="451">
        <f t="shared" si="8"/>
        <v>0</v>
      </c>
      <c r="BA71" s="107">
        <f>VLOOKUP(AU71,CENY!$B$11:$M$2005,12,FALSE)</f>
        <v>0.78</v>
      </c>
      <c r="BB71" s="107">
        <f t="shared" si="7"/>
        <v>0</v>
      </c>
      <c r="BC71" s="97" t="s">
        <v>507</v>
      </c>
      <c r="BD71" s="441">
        <f>OBJ!B355</f>
        <v>45168</v>
      </c>
      <c r="BE71" s="23" t="str">
        <f>VLOOKUP(BD71,CENY!$B$11:$G$1034,2,FALSE)</f>
        <v>VRUT PANHEAD 35X20</v>
      </c>
      <c r="BF71" s="24">
        <f>VLOOKUP(BD71,CENY!$B$11:$G$1034,3,FALSE)</f>
        <v>200</v>
      </c>
      <c r="BG71" s="24"/>
      <c r="BH71" s="497">
        <f>IF(FORM!$AM$8=FORM!$AU$10,BH20*3,0)</f>
        <v>0</v>
      </c>
      <c r="BI71" s="451">
        <f>IF(BH71="","",IF($AW$4=0,BH71,0))</f>
        <v>0</v>
      </c>
      <c r="BJ71" s="107">
        <f>VLOOKUP(BD71,CENY!$B$11:$M$2005,12,FALSE)</f>
        <v>0.78</v>
      </c>
      <c r="BK71" s="107">
        <f>IF(BJ71="","",BJ71*BH71)</f>
        <v>0</v>
      </c>
    </row>
    <row r="72" spans="47:63" ht="14.4" customHeight="1">
      <c r="AU72" s="441">
        <f>OBJ!B356</f>
        <v>9278224</v>
      </c>
      <c r="AV72" s="23" t="str">
        <f>VLOOKUP(AU72,CENY!$B$11:$G$1034,2,FALSE)</f>
        <v>AVANTECH YOU VRUT 3,5X30 PANHEAD POZINK.</v>
      </c>
      <c r="AW72" s="24">
        <f>VLOOKUP(AU72,CENY!$B$11:$G$1034,3,FALSE)</f>
        <v>200</v>
      </c>
      <c r="AX72" s="24"/>
      <c r="AY72" s="497">
        <v>0</v>
      </c>
      <c r="AZ72" s="451">
        <f t="shared" si="8"/>
        <v>0</v>
      </c>
      <c r="BA72" s="107">
        <f>VLOOKUP(AU72,CENY!$B$11:$M$2005,12,FALSE)</f>
        <v>0.73</v>
      </c>
      <c r="BB72" s="107">
        <f t="shared" si="7"/>
        <v>0</v>
      </c>
      <c r="BC72" s="97" t="s">
        <v>508</v>
      </c>
      <c r="BD72" s="441">
        <f>OBJ!B356</f>
        <v>9278224</v>
      </c>
      <c r="BE72" s="23" t="str">
        <f>VLOOKUP(BD72,CENY!$B$11:$G$1034,2,FALSE)</f>
        <v>AVANTECH YOU VRUT 3,5X30 PANHEAD POZINK.</v>
      </c>
      <c r="BF72" s="24">
        <f>VLOOKUP(BD72,CENY!$B$11:$G$1034,3,FALSE)</f>
        <v>200</v>
      </c>
      <c r="BG72" s="24"/>
      <c r="BH72" s="497">
        <f>2*SUM(BH5:BH18)</f>
        <v>0</v>
      </c>
      <c r="BI72" s="451">
        <f>IF(BH72="","",IF($AW$4=0,BH72,0))</f>
        <v>0</v>
      </c>
      <c r="BJ72" s="107">
        <f>VLOOKUP(BD72,CENY!$B$11:$M$2005,12,FALSE)</f>
        <v>0.73</v>
      </c>
      <c r="BK72" s="107">
        <f>IF(BJ72="","",BJ72*BH72)</f>
        <v>0</v>
      </c>
    </row>
    <row r="73" spans="47:63" ht="14.4" customHeight="1">
      <c r="AU73" s="441">
        <f>OBJ!B357</f>
        <v>9279197</v>
      </c>
      <c r="AV73" s="23" t="str">
        <f>VLOOKUP(AU73,CENY!$B$11:$G$1034,2,FALSE)</f>
        <v>SAMOŘEZNÝ ŠROUB 3,5X12 PANHEAD POZINK.</v>
      </c>
      <c r="AW73" s="24">
        <f>VLOOKUP(AU73,CENY!$B$11:$G$1034,3,FALSE)</f>
        <v>1000</v>
      </c>
      <c r="AX73" s="24"/>
      <c r="AY73" s="77">
        <v>0</v>
      </c>
      <c r="AZ73" s="451">
        <f t="shared" si="8"/>
        <v>0</v>
      </c>
      <c r="BA73" s="107">
        <f>VLOOKUP(AU73,CENY!$B$11:$M$2005,12,FALSE)</f>
        <v>1.51</v>
      </c>
      <c r="BB73" s="107">
        <f t="shared" si="7"/>
        <v>0</v>
      </c>
      <c r="BC73" s="97" t="s">
        <v>509</v>
      </c>
      <c r="BD73" s="441">
        <f>OBJ!B357</f>
        <v>9279197</v>
      </c>
      <c r="BE73" s="23" t="str">
        <f>VLOOKUP(BD73,CENY!$B$11:$G$1034,2,FALSE)</f>
        <v>SAMOŘEZNÝ ŠROUB 3,5X12 PANHEAD POZINK.</v>
      </c>
      <c r="BF73" s="24">
        <f>VLOOKUP(BD73,CENY!$B$11:$G$1034,3,FALSE)</f>
        <v>1000</v>
      </c>
      <c r="BG73" s="24"/>
      <c r="BH73" s="77">
        <f>AY73</f>
        <v>0</v>
      </c>
      <c r="BI73" s="451">
        <f>IF(BH73="","",IF($AW$4=0,BH73,0))</f>
        <v>0</v>
      </c>
      <c r="BJ73" s="107">
        <f>VLOOKUP(BD73,CENY!$B$11:$M$2005,12,FALSE)</f>
        <v>1.51</v>
      </c>
      <c r="BK73" s="107">
        <f>IF(BJ73="","",BJ73*BH73)</f>
        <v>0</v>
      </c>
    </row>
    <row r="74" spans="47:63" ht="14.4" customHeight="1">
      <c r="AU74" s="441">
        <f>OBJ!B358</f>
        <v>9137114</v>
      </c>
      <c r="AV74" s="23" t="str">
        <f>VLOOKUP(AU74,CENY!$B$11:$G$1034,2,FALSE)</f>
        <v>EUROŠROUB DBS 60 X 14</v>
      </c>
      <c r="AW74" s="24">
        <f>VLOOKUP(AU74,CENY!$B$11:$G$1034,3,FALSE)</f>
        <v>200</v>
      </c>
      <c r="AX74" s="24"/>
      <c r="AY74" s="25">
        <f>SUMPRODUCT(AX21:AX39,AY21:AY39)</f>
        <v>0</v>
      </c>
      <c r="AZ74" s="451">
        <f t="shared" si="8"/>
        <v>0</v>
      </c>
      <c r="BA74" s="107">
        <f>VLOOKUP(AU74,CENY!$B$11:$M$2005,12,FALSE)</f>
        <v>1.2</v>
      </c>
      <c r="BB74" s="107">
        <f t="shared" si="7"/>
        <v>0</v>
      </c>
      <c r="BC74" s="97" t="s">
        <v>510</v>
      </c>
      <c r="BD74" s="441">
        <f>OBJ!B358</f>
        <v>9137114</v>
      </c>
      <c r="BE74" s="23" t="str">
        <f>VLOOKUP(BD74,CENY!$B$11:$G$1034,2,FALSE)</f>
        <v>EUROŠROUB DBS 60 X 14</v>
      </c>
      <c r="BF74" s="24">
        <f>VLOOKUP(BD74,CENY!$B$11:$G$1034,3,FALSE)</f>
        <v>200</v>
      </c>
      <c r="BG74" s="24"/>
      <c r="BH74" s="25">
        <f>AY74</f>
        <v>0</v>
      </c>
      <c r="BI74" s="451">
        <f>IF(BH74="","",IF($AW$4=0,BH74,0))</f>
        <v>0</v>
      </c>
      <c r="BJ74" s="107">
        <f>VLOOKUP(BD74,CENY!$B$11:$M$2005,12,FALSE)</f>
        <v>1.2</v>
      </c>
      <c r="BK74" s="107">
        <f>IF(BJ74="","",BJ74*BH74)</f>
        <v>0</v>
      </c>
    </row>
    <row r="75" spans="47:63" ht="14.4" customHeight="1">
      <c r="AU75" s="22"/>
      <c r="AV75" s="23"/>
      <c r="AW75" s="24"/>
      <c r="AX75" s="24"/>
      <c r="AY75" s="25"/>
      <c r="AZ75" s="451" t="str">
        <f t="shared" si="8"/>
        <v/>
      </c>
      <c r="BA75" s="107"/>
      <c r="BB75" s="107" t="str">
        <f t="shared" si="7"/>
        <v/>
      </c>
      <c r="BD75" s="441"/>
      <c r="BE75" s="23"/>
      <c r="BF75" s="24"/>
      <c r="BG75" s="24"/>
      <c r="BH75" s="25"/>
      <c r="BI75" s="451"/>
      <c r="BJ75" s="107"/>
      <c r="BK75" s="107"/>
    </row>
    <row r="76" spans="47:63" ht="14.4" customHeight="1">
      <c r="AU76" s="22"/>
      <c r="AV76" s="23"/>
      <c r="AW76" s="24"/>
      <c r="AX76" s="24"/>
      <c r="AY76" s="25"/>
      <c r="AZ76" s="451" t="str">
        <f t="shared" si="8"/>
        <v/>
      </c>
      <c r="BA76" s="107"/>
      <c r="BB76" s="107" t="str">
        <f t="shared" si="7"/>
        <v/>
      </c>
      <c r="BD76" s="441"/>
      <c r="BE76" s="23"/>
      <c r="BF76" s="24"/>
      <c r="BG76" s="24"/>
      <c r="BH76" s="25"/>
      <c r="BI76" s="451"/>
      <c r="BJ76" s="107"/>
      <c r="BK76" s="107"/>
    </row>
    <row r="77" spans="47:63" ht="14.4" customHeight="1">
      <c r="AU77" s="22"/>
      <c r="AV77" s="23"/>
      <c r="AW77" s="24"/>
      <c r="AX77" s="24"/>
      <c r="AY77" s="25"/>
      <c r="AZ77" s="451" t="str">
        <f t="shared" si="8"/>
        <v/>
      </c>
      <c r="BA77" s="107"/>
      <c r="BB77" s="107" t="str">
        <f t="shared" si="7"/>
        <v/>
      </c>
      <c r="BD77" s="441"/>
      <c r="BE77" s="23"/>
      <c r="BF77" s="24"/>
      <c r="BG77" s="24"/>
      <c r="BH77" s="25"/>
      <c r="BI77" s="451"/>
      <c r="BJ77" s="107"/>
      <c r="BK77" s="107"/>
    </row>
    <row r="78" spans="47:63" ht="14.4" customHeight="1">
      <c r="AU78" s="22"/>
      <c r="AV78" s="23"/>
      <c r="AW78" s="24"/>
      <c r="AX78" s="24"/>
      <c r="AY78" s="25"/>
      <c r="AZ78" s="451" t="str">
        <f t="shared" si="8"/>
        <v/>
      </c>
      <c r="BA78" s="107"/>
      <c r="BB78" s="107" t="str">
        <f t="shared" si="7"/>
        <v/>
      </c>
      <c r="BD78" s="441"/>
      <c r="BE78" s="23"/>
      <c r="BF78" s="24"/>
      <c r="BG78" s="24"/>
      <c r="BH78" s="25"/>
      <c r="BI78" s="451"/>
      <c r="BJ78" s="107"/>
      <c r="BK78" s="107"/>
    </row>
    <row r="79" spans="47:63" ht="14.4" customHeight="1">
      <c r="AU79" s="22"/>
      <c r="AV79" s="23"/>
      <c r="AW79" s="24"/>
      <c r="AX79" s="24"/>
      <c r="AY79" s="25"/>
      <c r="AZ79" s="451" t="str">
        <f t="shared" si="8"/>
        <v/>
      </c>
      <c r="BA79" s="107"/>
      <c r="BB79" s="107" t="str">
        <f t="shared" si="7"/>
        <v/>
      </c>
      <c r="BD79" s="441"/>
      <c r="BE79" s="23"/>
      <c r="BF79" s="24"/>
      <c r="BG79" s="24"/>
      <c r="BH79" s="25"/>
      <c r="BI79" s="451" t="str">
        <f t="shared" si="5"/>
        <v/>
      </c>
      <c r="BJ79" s="107"/>
      <c r="BK79" s="107" t="str">
        <f t="shared" si="6"/>
        <v/>
      </c>
    </row>
    <row r="80" spans="47:63" ht="14.4" customHeight="1">
      <c r="AU80" s="22"/>
      <c r="AV80" s="23"/>
      <c r="AW80" s="24"/>
      <c r="AX80" s="24"/>
      <c r="AY80" s="25"/>
      <c r="AZ80" s="451" t="str">
        <f t="shared" si="8"/>
        <v/>
      </c>
      <c r="BA80" s="107"/>
      <c r="BB80" s="107" t="str">
        <f t="shared" si="7"/>
        <v/>
      </c>
      <c r="BD80" s="441"/>
      <c r="BE80" s="23"/>
      <c r="BF80" s="24"/>
      <c r="BG80" s="24"/>
      <c r="BH80" s="25"/>
      <c r="BI80" s="451" t="str">
        <f t="shared" si="5"/>
        <v/>
      </c>
      <c r="BJ80" s="107"/>
      <c r="BK80" s="107" t="str">
        <f t="shared" si="6"/>
        <v/>
      </c>
    </row>
    <row r="81" spans="47:63" ht="14.4" customHeight="1">
      <c r="AU81" s="22"/>
      <c r="AV81" s="23"/>
      <c r="AW81" s="24"/>
      <c r="AX81" s="24"/>
      <c r="AY81" s="25"/>
      <c r="AZ81" s="451" t="str">
        <f t="shared" si="8"/>
        <v/>
      </c>
      <c r="BA81" s="107"/>
      <c r="BB81" s="107" t="str">
        <f t="shared" si="7"/>
        <v/>
      </c>
      <c r="BD81" s="441"/>
      <c r="BE81" s="23"/>
      <c r="BF81" s="24"/>
      <c r="BG81" s="24"/>
      <c r="BH81" s="25"/>
      <c r="BI81" s="451" t="str">
        <f>IF(BH81="","",IF($AW$4=0,BH81,0))</f>
        <v/>
      </c>
      <c r="BJ81" s="107"/>
      <c r="BK81" s="107" t="str">
        <f>IF(BJ81="","",BJ81*BH81)</f>
        <v/>
      </c>
    </row>
    <row r="82" spans="47:63" ht="14.4" customHeight="1">
      <c r="AU82" s="22"/>
      <c r="AV82" s="23"/>
      <c r="AW82" s="24"/>
      <c r="AX82" s="24"/>
      <c r="AY82" s="25"/>
      <c r="AZ82" s="451" t="str">
        <f t="shared" si="8"/>
        <v/>
      </c>
      <c r="BA82" s="107"/>
      <c r="BB82" s="107" t="str">
        <f t="shared" si="7"/>
        <v/>
      </c>
      <c r="BD82" s="441"/>
      <c r="BE82" s="23"/>
      <c r="BF82" s="24"/>
      <c r="BG82" s="24"/>
      <c r="BH82" s="25"/>
      <c r="BI82" s="451" t="str">
        <f>IF(BH82="","",IF($AW$4=0,BH82,0))</f>
        <v/>
      </c>
      <c r="BJ82" s="107"/>
      <c r="BK82" s="107" t="str">
        <f>IF(BJ82="","",BJ82*BH82)</f>
        <v/>
      </c>
    </row>
    <row r="83" spans="47:63" ht="14.4" customHeight="1"/>
    <row r="84" spans="47:63" ht="14.4" customHeight="1"/>
    <row r="85" spans="47:63" ht="14.4" customHeight="1"/>
    <row r="86" spans="47:63" ht="14.4" customHeight="1"/>
  </sheetData>
  <sheetProtection password="DD97" sheet="1"/>
  <mergeCells count="73">
    <mergeCell ref="U25:V25"/>
    <mergeCell ref="W25:X25"/>
    <mergeCell ref="Y25:Z25"/>
    <mergeCell ref="AA25:AB25"/>
    <mergeCell ref="AC25:AD25"/>
    <mergeCell ref="B25:G25"/>
    <mergeCell ref="H25:L25"/>
    <mergeCell ref="M25:N25"/>
    <mergeCell ref="S25:T25"/>
    <mergeCell ref="AE20:AF20"/>
    <mergeCell ref="O24:P24"/>
    <mergeCell ref="Q24:R24"/>
    <mergeCell ref="S24:T24"/>
    <mergeCell ref="U24:V24"/>
    <mergeCell ref="W24:X24"/>
    <mergeCell ref="Y24:Z24"/>
    <mergeCell ref="AA24:AB24"/>
    <mergeCell ref="AC24:AD24"/>
    <mergeCell ref="S20:T20"/>
    <mergeCell ref="U20:V20"/>
    <mergeCell ref="W20:X20"/>
    <mergeCell ref="Y20:Z20"/>
    <mergeCell ref="AA20:AB20"/>
    <mergeCell ref="AC20:AD20"/>
    <mergeCell ref="U19:V19"/>
    <mergeCell ref="W19:X19"/>
    <mergeCell ref="Y19:Z19"/>
    <mergeCell ref="AA19:AB19"/>
    <mergeCell ref="AC19:AD19"/>
    <mergeCell ref="B20:G20"/>
    <mergeCell ref="H20:L20"/>
    <mergeCell ref="M20:N20"/>
    <mergeCell ref="O20:P20"/>
    <mergeCell ref="Q20:R20"/>
    <mergeCell ref="B19:G19"/>
    <mergeCell ref="H19:L19"/>
    <mergeCell ref="M19:N19"/>
    <mergeCell ref="S19:T19"/>
    <mergeCell ref="O17:AF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AY5:AY34 AZ5:AZ69 BH5:BH20 BH22:BH66 BI5:BI69 BH69 BH75:BI82 AZ75:AZ82">
    <cfRule type="cellIs" dxfId="45" priority="27" stopIfTrue="1" operator="equal">
      <formula>0</formula>
    </cfRule>
  </conditionalFormatting>
  <conditionalFormatting sqref="O17:AF17 S19:T19 W20:AF20 S25:T25">
    <cfRule type="expression" dxfId="44" priority="26" stopIfTrue="1">
      <formula>$AW$4=0</formula>
    </cfRule>
  </conditionalFormatting>
  <conditionalFormatting sqref="AY42 AY44:AY46">
    <cfRule type="cellIs" dxfId="43" priority="25" stopIfTrue="1" operator="equal">
      <formula>0</formula>
    </cfRule>
  </conditionalFormatting>
  <conditionalFormatting sqref="AY47">
    <cfRule type="cellIs" dxfId="42" priority="24" stopIfTrue="1" operator="equal">
      <formula>0</formula>
    </cfRule>
  </conditionalFormatting>
  <conditionalFormatting sqref="AY51:AY60">
    <cfRule type="cellIs" dxfId="41" priority="23" stopIfTrue="1" operator="equal">
      <formula>0</formula>
    </cfRule>
  </conditionalFormatting>
  <conditionalFormatting sqref="BH21">
    <cfRule type="cellIs" dxfId="40" priority="22" stopIfTrue="1" operator="equal">
      <formula>0</formula>
    </cfRule>
  </conditionalFormatting>
  <conditionalFormatting sqref="AY35:AY40">
    <cfRule type="cellIs" dxfId="39" priority="21" stopIfTrue="1" operator="equal">
      <formula>0</formula>
    </cfRule>
  </conditionalFormatting>
  <conditionalFormatting sqref="AY41">
    <cfRule type="cellIs" dxfId="38" priority="20" stopIfTrue="1" operator="equal">
      <formula>0</formula>
    </cfRule>
  </conditionalFormatting>
  <conditionalFormatting sqref="AY48:AY50">
    <cfRule type="cellIs" dxfId="37" priority="19" stopIfTrue="1" operator="equal">
      <formula>0</formula>
    </cfRule>
  </conditionalFormatting>
  <conditionalFormatting sqref="BH67">
    <cfRule type="cellIs" dxfId="36" priority="18" stopIfTrue="1" operator="equal">
      <formula>0</formula>
    </cfRule>
  </conditionalFormatting>
  <conditionalFormatting sqref="AY61:AY69 AY75:AY82">
    <cfRule type="cellIs" dxfId="35" priority="16" stopIfTrue="1" operator="equal">
      <formula>0</formula>
    </cfRule>
  </conditionalFormatting>
  <conditionalFormatting sqref="AY43">
    <cfRule type="cellIs" dxfId="34" priority="14" stopIfTrue="1" operator="equal">
      <formula>0</formula>
    </cfRule>
  </conditionalFormatting>
  <conditionalFormatting sqref="BH68">
    <cfRule type="cellIs" dxfId="33" priority="13" stopIfTrue="1" operator="equal">
      <formula>0</formula>
    </cfRule>
  </conditionalFormatting>
  <conditionalFormatting sqref="F13:K13">
    <cfRule type="expression" dxfId="32" priority="12" stopIfTrue="1">
      <formula>$AW$4=1</formula>
    </cfRule>
  </conditionalFormatting>
  <conditionalFormatting sqref="U19:AD19">
    <cfRule type="expression" dxfId="31" priority="11" stopIfTrue="1">
      <formula>$AW$4=0</formula>
    </cfRule>
  </conditionalFormatting>
  <conditionalFormatting sqref="AC25:AD25">
    <cfRule type="expression" dxfId="30" priority="6" stopIfTrue="1">
      <formula>$AW$4=0</formula>
    </cfRule>
  </conditionalFormatting>
  <conditionalFormatting sqref="U25:V25">
    <cfRule type="expression" dxfId="29" priority="10" stopIfTrue="1">
      <formula>$AW$4=0</formula>
    </cfRule>
  </conditionalFormatting>
  <conditionalFormatting sqref="W25:X25">
    <cfRule type="expression" dxfId="28" priority="9" stopIfTrue="1">
      <formula>$AW$4=0</formula>
    </cfRule>
  </conditionalFormatting>
  <conditionalFormatting sqref="Y25:Z25">
    <cfRule type="expression" dxfId="27" priority="8" stopIfTrue="1">
      <formula>$AW$4=0</formula>
    </cfRule>
  </conditionalFormatting>
  <conditionalFormatting sqref="AA25:AB25">
    <cfRule type="expression" dxfId="26" priority="7" stopIfTrue="1">
      <formula>$AW$4=0</formula>
    </cfRule>
  </conditionalFormatting>
  <conditionalFormatting sqref="BH71:BH72">
    <cfRule type="cellIs" dxfId="25" priority="1" stopIfTrue="1" operator="equal">
      <formula>0</formula>
    </cfRule>
  </conditionalFormatting>
  <conditionalFormatting sqref="AZ70:AZ74">
    <cfRule type="cellIs" dxfId="24" priority="5" stopIfTrue="1" operator="equal">
      <formula>0</formula>
    </cfRule>
  </conditionalFormatting>
  <conditionalFormatting sqref="AY70:AY74">
    <cfRule type="cellIs" dxfId="23" priority="4" stopIfTrue="1" operator="equal">
      <formula>0</formula>
    </cfRule>
  </conditionalFormatting>
  <conditionalFormatting sqref="BH70 BH73:BH74">
    <cfRule type="cellIs" dxfId="22" priority="3" stopIfTrue="1" operator="equal">
      <formula>0</formula>
    </cfRule>
  </conditionalFormatting>
  <conditionalFormatting sqref="BI70:BI74">
    <cfRule type="cellIs" dxfId="21" priority="2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rgb="FF92D050"/>
  </sheetPr>
  <dimension ref="A1:BI160"/>
  <sheetViews>
    <sheetView showGridLines="0" showRowColHeaders="0" zoomScaleNormal="100" workbookViewId="0">
      <selection activeCell="L15" sqref="L15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>
        <f>AP9</f>
        <v>0</v>
      </c>
    </row>
    <row r="2" spans="1:61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257" t="s">
        <v>239</v>
      </c>
      <c r="AY2" s="256">
        <f>AP6</f>
        <v>2</v>
      </c>
    </row>
    <row r="3" spans="1:61" ht="12.9" customHeight="1">
      <c r="AV3" s="255"/>
      <c r="AW3" s="257" t="s">
        <v>240</v>
      </c>
      <c r="AY3" s="256">
        <f>AP15</f>
        <v>2</v>
      </c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AP12</f>
        <v>0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 thickBot="1">
      <c r="AU5" s="22">
        <f>OBJ!B25</f>
        <v>9255242</v>
      </c>
      <c r="AV5" s="23" t="str">
        <f>VLOOKUP(AU5,CENY!$B$11:$G$1034,2,FALSE)</f>
        <v>AVANTECH YOU BOKY V SADĚ V77 MM NL500 MM STŘÍBRNÁ</v>
      </c>
      <c r="AW5" s="24">
        <f>VLOOKUP(AU5,CENY!$B$11:$G$1034,3,FALSE)</f>
        <v>1</v>
      </c>
      <c r="AX5" s="24"/>
      <c r="AY5" s="77"/>
      <c r="AZ5" s="107">
        <f>VLOOKUP(AU5,CENY!$B$11:$M$2005,12,FALSE)</f>
        <v>576.28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AVANTECH YOU BOK V101 MM NL550 MM STŘÍBRNÝ LEVÝ</v>
      </c>
      <c r="BE5" s="24">
        <f>VLOOKUP(BC5,CENY!$B$11:$G$1034,3,FALSE)</f>
        <v>20</v>
      </c>
      <c r="BF5" s="24"/>
      <c r="BG5" s="77"/>
      <c r="BH5" s="107">
        <f>VLOOKUP(BC5,CENY!$B$11:$M$2005,12,FALSE)</f>
        <v>196.37</v>
      </c>
      <c r="BI5" s="107">
        <f t="shared" ref="BI5:BI91" si="1">IF(BH5="","",BH5*BG5)</f>
        <v>0</v>
      </c>
    </row>
    <row r="6" spans="1:61" ht="14.4" customHeight="1" thickBot="1">
      <c r="B6" s="553" t="str">
        <f>" "&amp;verze!E90</f>
        <v xml:space="preserve"> bočnice: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 t="s">
        <v>299</v>
      </c>
      <c r="AP6" s="602">
        <v>2</v>
      </c>
      <c r="AQ6" s="603"/>
      <c r="AU6" s="22">
        <f>OBJ!B26</f>
        <v>9255243</v>
      </c>
      <c r="AV6" s="23" t="str">
        <f>VLOOKUP(AU6,CENY!$B$11:$G$1034,2,FALSE)</f>
        <v>AVANTECH YOU BOKY V SADĚ V77 MM NL550 MM STŘÍBRNÁ</v>
      </c>
      <c r="AW6" s="24">
        <f>VLOOKUP(AU6,CENY!$B$11:$G$1034,3,FALSE)</f>
        <v>1</v>
      </c>
      <c r="AX6" s="24"/>
      <c r="AY6" s="77"/>
      <c r="AZ6" s="107">
        <f>VLOOKUP(AU6,CENY!$B$11:$M$2005,12,FALSE)</f>
        <v>583.24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AVANTECH YOU BOK V101 MM NL550 MM STŘÍBRNÝ PRAVÝ</v>
      </c>
      <c r="BE6" s="24">
        <f>VLOOKUP(BC6,CENY!$B$11:$G$1034,3,FALSE)</f>
        <v>20</v>
      </c>
      <c r="BF6" s="24"/>
      <c r="BG6" s="77"/>
      <c r="BH6" s="107">
        <f>VLOOKUP(BC6,CENY!$B$11:$M$2005,12,FALSE)</f>
        <v>196.37</v>
      </c>
      <c r="BI6" s="107">
        <f t="shared" si="1"/>
        <v>0</v>
      </c>
    </row>
    <row r="7" spans="1:61" ht="14.4" customHeight="1">
      <c r="B7" s="553" t="str">
        <f>" "&amp;verze!E91</f>
        <v xml:space="preserve"> záda: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SPOJOVACI ÚHELNÍK 31X31 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5.96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AVANTECH YOU BOK V101 MM NL600 MM STŘÍBRNÝ LEVÝ</v>
      </c>
      <c r="BE7" s="24">
        <f>VLOOKUP(BC7,CENY!$B$11:$G$1034,3,FALSE)</f>
        <v>20</v>
      </c>
      <c r="BF7" s="24"/>
      <c r="BG7" s="77"/>
      <c r="BH7" s="107">
        <f>VLOOKUP(BC7,CENY!$B$11:$M$2005,12,FALSE)</f>
        <v>201.36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barva:</v>
      </c>
      <c r="C8" s="553"/>
      <c r="D8" s="553"/>
      <c r="E8" s="553"/>
      <c r="F8" s="554" t="str">
        <f>" "&amp;FORM!U8</f>
        <v xml:space="preserve"> stříbrná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AVANTECH YOU BOK V101 MM NL600 MM STŘÍBRNÝ PRAVÝ</v>
      </c>
      <c r="BE8" s="24">
        <f>VLOOKUP(BC8,CENY!$B$11:$G$1034,3,FALSE)</f>
        <v>20</v>
      </c>
      <c r="BF8" s="24"/>
      <c r="BG8" s="77"/>
      <c r="BH8" s="107">
        <f>VLOOKUP(BC8,CENY!$B$11:$M$2005,12,FALSE)</f>
        <v>201.36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0</v>
      </c>
      <c r="AQ9" s="603"/>
      <c r="AU9" s="22">
        <f>OBJ!B29</f>
        <v>9255000</v>
      </c>
      <c r="AV9" s="23" t="str">
        <f>VLOOKUP(AU9,CENY!$B$11:$G$1034,2,FALSE)</f>
        <v>AVANTECH YOU BOK V77 MM NL400 MM STŘÍBRNÝ LEVÝ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186.44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AVANTECH YOU BOK V101 MM NL650 MM STŘÍBRNÝ LEVÝ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208.15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čelní kování:</v>
      </c>
      <c r="C10" s="553"/>
      <c r="D10" s="553"/>
      <c r="E10" s="553"/>
      <c r="F10" s="554" t="str">
        <f>" "&amp;FORM!AM8</f>
        <v xml:space="preserve"> na vruty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AVANTECH YOU BOK V77 MM NL400 MM STŘÍBRNÝ PRAVÝ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186.44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AVANTECH YOU BOK V101 MM NL650 MM STŘÍBRNÝ PRAVÝ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208.15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kování: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CZK</v>
      </c>
      <c r="K11" s="609"/>
      <c r="AU11" s="22">
        <f>OBJ!B31</f>
        <v>9255002</v>
      </c>
      <c r="AV11" s="23" t="str">
        <f>VLOOKUP(AU11,CENY!$B$11:$G$1034,2,FALSE)</f>
        <v>AVANTECH YOU BOK V77 MM NL450 MM STŘÍBRNÝ LEVÝ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189.75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CZK</v>
      </c>
      <c r="K12" s="605"/>
      <c r="AO12" s="287" t="s">
        <v>299</v>
      </c>
      <c r="AP12" s="602">
        <v>0</v>
      </c>
      <c r="AQ12" s="603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AVANTECH YOU DEKORATIVNÍ PROFIL NL270 MM STŘÍBRNÝ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9.18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>
        <f>SUM(BA77:BA100)</f>
        <v>0</v>
      </c>
      <c r="G13" s="606"/>
      <c r="H13" s="606"/>
      <c r="I13" s="606"/>
      <c r="J13" s="607" t="str">
        <f>IF(verze!E1="CZK","CZK","EUR")</f>
        <v>CZK</v>
      </c>
      <c r="K13" s="607"/>
      <c r="AU13" s="22">
        <f>OBJ!B34</f>
        <v>9255005</v>
      </c>
      <c r="AV13" s="23" t="str">
        <f>VLOOKUP(AU13,CENY!$B$11:$G$1034,2,FALSE)</f>
        <v>AVANTECH YOU BOK V77 MM NL500 MM STŘÍBRNÝ PRAVÝ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193.06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AVANTECH YOU DEKORATIVNÍ PROFIL NL300 MM STŘÍBRNÝ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9.2799999999999994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AVANTECH YOU BOK V77 MM NL550 MM STŘÍBRNÝ LEVÝ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196.37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AVANTECH YOU DEKORATIVNÍ PROFIL NL350 MM STŘÍBRNÝ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9.4499999999999993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AVANTECH YOU DEKORATIVNÍ PROFIL NL400 MM STŘÍBRNÝ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9.6199999999999992</v>
      </c>
      <c r="BI15" s="107">
        <f t="shared" si="1"/>
        <v>0</v>
      </c>
    </row>
    <row r="16" spans="1:61" ht="14.4" customHeight="1">
      <c r="AU16" s="22"/>
      <c r="AV16" s="23"/>
      <c r="AW16" s="24"/>
      <c r="AX16" s="24"/>
      <c r="AY16" s="25"/>
      <c r="AZ16" s="107"/>
      <c r="BA16" s="107" t="str">
        <f>IF(AZ16="","",AZ16*AY16)</f>
        <v/>
      </c>
      <c r="BC16" s="22">
        <f>OBJ!B75</f>
        <v>9255808</v>
      </c>
      <c r="BD16" s="23" t="str">
        <f>VLOOKUP(BC16,CENY!$B$11:$G$1034,2,FALSE)</f>
        <v>AVANTECH YOU DEKORATIVNÍ PROFIL NL450 MM STŘÍBRNÝ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9.8000000000000007</v>
      </c>
      <c r="BI16" s="107">
        <f t="shared" si="1"/>
        <v>0</v>
      </c>
    </row>
    <row r="17" spans="2:61" ht="14.4" customHeight="1" thickBot="1">
      <c r="B17" s="1" t="str">
        <f>verze!E23</f>
        <v>SILENT SYSTEM - s tlumením</v>
      </c>
      <c r="O17" s="577" t="str">
        <f>verze!$E$26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velkobalení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/>
      <c r="AV17" s="23"/>
      <c r="AW17" s="24"/>
      <c r="AX17" s="24"/>
      <c r="AY17" s="25"/>
      <c r="AZ17" s="107"/>
      <c r="BA17" s="107" t="str">
        <f>IF(AZ17="","",AZ17*AY17)</f>
        <v/>
      </c>
      <c r="BC17" s="22">
        <f>OBJ!B76</f>
        <v>9255809</v>
      </c>
      <c r="BD17" s="23" t="str">
        <f>VLOOKUP(BC17,CENY!$B$11:$G$1034,2,FALSE)</f>
        <v>AVANTECH YOU DEKORATIVNÍ PROFIL NL500 MM STŘÍBRNÝ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9.9700000000000006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163" t="e">
        <f>OBJ!#REF!</f>
        <v>#REF!</v>
      </c>
      <c r="AV18" s="164" t="e">
        <f>VLOOKUP(AU18,CENY!$B$11:$G$1034,2,FALSE)</f>
        <v>#REF!</v>
      </c>
      <c r="AW18" s="24" t="e">
        <f>VLOOKUP(AU18,CENY!$B$11:$G$1034,3,FALSE)</f>
        <v>#REF!</v>
      </c>
      <c r="AX18" s="24"/>
      <c r="AY18" s="77">
        <f>0*(SUM(O19:Z20)+SUM(Q21:AB21)+SUM(O26:Z26)+SUM(Q27:AB27))</f>
        <v>0</v>
      </c>
      <c r="AZ18" s="107" t="e">
        <f>VLOOKUP(AU18,CENY!$B$11:$M$2005,12,FALSE)</f>
        <v>#REF!</v>
      </c>
      <c r="BA18" s="107" t="e">
        <f t="shared" si="0"/>
        <v>#REF!</v>
      </c>
      <c r="BC18" s="22">
        <f>OBJ!B77</f>
        <v>9255810</v>
      </c>
      <c r="BD18" s="23" t="str">
        <f>VLOOKUP(BC18,CENY!$B$11:$G$1034,2,FALSE)</f>
        <v>AVANTECH YOU DEKORATIVNÍ PROFIL NL550 MM STŘÍBRNÝ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10.14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částečný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163">
        <f>OBJ!B153</f>
        <v>9255074</v>
      </c>
      <c r="AV19" s="164" t="str">
        <f>VLOOKUP(AU19,CENY!$B$11:$G$1034,2,FALSE)</f>
        <v>AVANTECH YOU BOK V251 MM NL550 MM STŘÍBRNÝ LEVÝ</v>
      </c>
      <c r="AW19" s="24">
        <f>VLOOKUP(AU19,CENY!$B$11:$G$1034,3,FALSE)</f>
        <v>10</v>
      </c>
      <c r="AX19" s="24"/>
      <c r="AY19" s="77"/>
      <c r="AZ19" s="107">
        <f>VLOOKUP(AU19,CENY!$B$11:$M$2005,12,FALSE)</f>
        <v>510.86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163">
        <f>OBJ!B154</f>
        <v>9255075</v>
      </c>
      <c r="AV20" s="164" t="str">
        <f>VLOOKUP(AU20,CENY!$B$11:$G$1034,2,FALSE)</f>
        <v>AVANTECH YOU BOK V251 MM NL550 MM STŘÍBRNÝ PRAVÝ</v>
      </c>
      <c r="AW20" s="24">
        <f>VLOOKUP(AU20,CENY!$B$11:$G$1034,3,FALSE)</f>
        <v>10</v>
      </c>
      <c r="AX20" s="24"/>
      <c r="AY20" s="77"/>
      <c r="AZ20" s="107">
        <f>VLOOKUP(AU20,CENY!$B$11:$M$2005,12,FALSE)</f>
        <v>510.86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163">
        <f>OBJ!B155</f>
        <v>9255076</v>
      </c>
      <c r="AV21" s="164" t="str">
        <f>VLOOKUP(AU21,CENY!$B$11:$G$1034,2,FALSE)</f>
        <v>AVANTECH YOU BOK V251 MM NL600 MM STŘÍBRNÝ LEVÝ</v>
      </c>
      <c r="AW21" s="24">
        <f>VLOOKUP(AU21,CENY!$B$11:$G$1034,3,FALSE)</f>
        <v>10</v>
      </c>
      <c r="AX21" s="24"/>
      <c r="AY21" s="25">
        <f>(AY3+AY4)*(S19+S20+S21+S26+S27)</f>
        <v>0</v>
      </c>
      <c r="AZ21" s="107">
        <f>VLOOKUP(AU21,CENY!$B$11:$M$2005,12,FALSE)</f>
        <v>523.85</v>
      </c>
      <c r="BA21" s="107">
        <f t="shared" si="0"/>
        <v>0</v>
      </c>
      <c r="BC21" s="22">
        <f>OBJ!B89</f>
        <v>9255028</v>
      </c>
      <c r="BD21" s="23" t="str">
        <f>VLOOKUP(BC21,CENY!$B$11:$G$1034,2,FALSE)</f>
        <v>AVANTECH YOU BOK V139 MM NL300 MM STŘÍBRNÝ LEVÝ</v>
      </c>
      <c r="BE21" s="24">
        <f>VLOOKUP(BC21,CENY!$B$11:$G$1034,3,FALSE)</f>
        <v>20</v>
      </c>
      <c r="BF21" s="24"/>
      <c r="BG21" s="77"/>
      <c r="BH21" s="107">
        <f>VLOOKUP(BC21,CENY!$B$11:$M$2005,12,FALSE)</f>
        <v>229.12</v>
      </c>
      <c r="BI21" s="107">
        <f t="shared" si="1"/>
        <v>0</v>
      </c>
    </row>
    <row r="22" spans="2:61" ht="14.4" customHeight="1">
      <c r="O22" s="4"/>
      <c r="P22" s="4"/>
      <c r="AU22" s="163">
        <f>OBJ!B156</f>
        <v>9255077</v>
      </c>
      <c r="AV22" s="164" t="str">
        <f>VLOOKUP(AU22,CENY!$B$11:$G$1034,2,FALSE)</f>
        <v>AVANTECH YOU BOK V251 MM NL600 MM STŘÍBRNÝ PRAVÝ</v>
      </c>
      <c r="AW22" s="24">
        <f>VLOOKUP(AU22,CENY!$B$11:$G$1034,3,FALSE)</f>
        <v>10</v>
      </c>
      <c r="AX22" s="24"/>
      <c r="AY22" s="25">
        <f>(AY3+AY4)*(U19+U20+U21+U26+U27)</f>
        <v>0</v>
      </c>
      <c r="AZ22" s="107">
        <f>VLOOKUP(AU22,CENY!$B$11:$M$2005,12,FALSE)</f>
        <v>523.85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AVANTECH YOU BOK V139 MM NL350 MM STŘÍBRNÝ LEVÝ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233.33</v>
      </c>
      <c r="BI22" s="107">
        <f t="shared" si="1"/>
        <v>0</v>
      </c>
    </row>
    <row r="23" spans="2:61" ht="14.4" customHeight="1" thickBot="1">
      <c r="AU23" s="163">
        <f>OBJ!B157</f>
        <v>9255078</v>
      </c>
      <c r="AV23" s="164" t="str">
        <f>VLOOKUP(AU23,CENY!$B$11:$G$1034,2,FALSE)</f>
        <v>AVANTECH YOU BOK V251 MM NL650 MM STŘÍBRNÝ LEVÝ</v>
      </c>
      <c r="AW23" s="24">
        <f>VLOOKUP(AU23,CENY!$B$11:$G$1034,3,FALSE)</f>
        <v>10</v>
      </c>
      <c r="AX23" s="24"/>
      <c r="AY23" s="25">
        <f>(AY3+AY4)*(W19+W20+W21+W26+W27)</f>
        <v>0</v>
      </c>
      <c r="AZ23" s="107">
        <f>VLOOKUP(AU23,CENY!$B$11:$M$2005,12,FALSE)</f>
        <v>541.51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>
      <c r="O24" s="625" t="str">
        <f>verze!E161</f>
        <v>Pro výběr kliknu zde.</v>
      </c>
      <c r="P24" s="626"/>
      <c r="Q24" s="626"/>
      <c r="R24" s="626"/>
      <c r="S24" s="627"/>
      <c r="V24" s="181" t="str">
        <f>verze!E159</f>
        <v>Je nutné vybrat skleněné čela podle rozměrů skříněk !</v>
      </c>
      <c r="AU24" s="163">
        <f>OBJ!B158</f>
        <v>9255079</v>
      </c>
      <c r="AV24" s="164" t="str">
        <f>VLOOKUP(AU24,CENY!$B$11:$G$1034,2,FALSE)</f>
        <v>AVANTECH YOU BOK V251 MM NL650 MM STŘÍBRNÝ PRAVÝ</v>
      </c>
      <c r="AW24" s="24">
        <f>VLOOKUP(AU24,CENY!$B$11:$G$1034,3,FALSE)</f>
        <v>10</v>
      </c>
      <c r="AX24" s="24"/>
      <c r="AY24" s="25">
        <f>(AY3+AY4)*(Y19+Y20+Y21+Y26+Y27)</f>
        <v>0</v>
      </c>
      <c r="AZ24" s="107">
        <f>VLOOKUP(AU24,CENY!$B$11:$M$2005,12,FALSE)</f>
        <v>541.51</v>
      </c>
      <c r="BA24" s="107">
        <f t="shared" si="0"/>
        <v>0</v>
      </c>
      <c r="BC24" s="22"/>
      <c r="BD24" s="23"/>
      <c r="BE24" s="24"/>
      <c r="BF24" s="24"/>
      <c r="BG24" s="25"/>
      <c r="BH24" s="107"/>
      <c r="BI24" s="107" t="str">
        <f t="shared" ref="BI24:BI44" si="2">IF(BH24="","",BH24*BG24)</f>
        <v/>
      </c>
    </row>
    <row r="25" spans="2:61" ht="14.4" customHeight="1" thickBot="1">
      <c r="O25" s="628"/>
      <c r="P25" s="629"/>
      <c r="Q25" s="629"/>
      <c r="R25" s="629"/>
      <c r="S25" s="630"/>
      <c r="AU25" s="163">
        <f>OBJ!B159</f>
        <v>9257887</v>
      </c>
      <c r="AV25" s="164" t="str">
        <f>VLOOKUP(AU25,CENY!$B$11:$G$1034,2,FALSE)</f>
        <v>AVANTECH YOU STABILIZÁTOR ČELA V251 MM K NAŠROUBOVÁNÍ</v>
      </c>
      <c r="AW25" s="24">
        <f>VLOOKUP(AU25,CENY!$B$11:$G$1034,3,FALSE)</f>
        <v>200</v>
      </c>
      <c r="AX25" s="24"/>
      <c r="AY25" s="25">
        <f>(AY3+AY4)*(AA21+AA27)</f>
        <v>0</v>
      </c>
      <c r="AZ25" s="107">
        <f>VLOOKUP(AU25,CENY!$B$11:$M$2005,12,FALSE)</f>
        <v>8.86</v>
      </c>
      <c r="BA25" s="107">
        <f t="shared" si="0"/>
        <v>0</v>
      </c>
      <c r="BC25" s="22"/>
      <c r="BD25" s="23"/>
      <c r="BE25" s="24"/>
      <c r="BF25" s="24"/>
      <c r="BG25" s="25"/>
      <c r="BH25" s="107"/>
      <c r="BI25" s="107" t="str">
        <f t="shared" si="2"/>
        <v/>
      </c>
    </row>
    <row r="26" spans="2:61" ht="14.4" customHeight="1">
      <c r="AU26" s="22"/>
      <c r="AV26" s="23"/>
      <c r="AW26" s="24"/>
      <c r="AX26" s="24"/>
      <c r="AY26" s="25"/>
      <c r="AZ26" s="107"/>
      <c r="BA26" s="107" t="str">
        <f>IF(AZ26="","",AZ26*AY26)</f>
        <v/>
      </c>
      <c r="BC26" s="163" t="e">
        <f>OBJ!#REF!</f>
        <v>#REF!</v>
      </c>
      <c r="BD26" s="164" t="e">
        <f>VLOOKUP(BC26,CENY!$B$11:$G$1034,2,FALSE)</f>
        <v>#REF!</v>
      </c>
      <c r="BE26" s="24" t="e">
        <f>VLOOKUP(BC26,CENY!$B$11:$G$1034,3,FALSE)</f>
        <v>#REF!</v>
      </c>
      <c r="BF26" s="24"/>
      <c r="BG26" s="77">
        <f>0*(SUM(AE19:AP20)+SUM(AG21:AR21)+SUM(AE26:AP26)+SUM(AG27:AR27))</f>
        <v>0</v>
      </c>
      <c r="BH26" s="107" t="e">
        <f>VLOOKUP(BC26,CENY!$B$11:$M$2005,12,FALSE)</f>
        <v>#REF!</v>
      </c>
      <c r="BI26" s="107" t="e">
        <f t="shared" si="2"/>
        <v>#REF!</v>
      </c>
    </row>
    <row r="27" spans="2:61" ht="14.4" customHeight="1">
      <c r="AU27" s="22"/>
      <c r="AV27" s="23"/>
      <c r="AW27" s="24"/>
      <c r="AX27" s="24"/>
      <c r="AY27" s="25"/>
      <c r="AZ27" s="107"/>
      <c r="BA27" s="107" t="str">
        <f t="shared" si="0"/>
        <v/>
      </c>
      <c r="BC27" s="163">
        <f>OBJ!B153</f>
        <v>9255074</v>
      </c>
      <c r="BD27" s="164" t="str">
        <f>VLOOKUP(BC27,CENY!$B$11:$G$1034,2,FALSE)</f>
        <v>AVANTECH YOU BOK V251 MM NL550 MM STŘÍBRNÝ LEVÝ</v>
      </c>
      <c r="BE27" s="24">
        <f>VLOOKUP(BC27,CENY!$B$11:$G$1034,3,FALSE)</f>
        <v>10</v>
      </c>
      <c r="BF27" s="24"/>
      <c r="BG27" s="77"/>
      <c r="BH27" s="107">
        <f>VLOOKUP(BC27,CENY!$B$11:$M$2005,12,FALSE)</f>
        <v>510.86</v>
      </c>
      <c r="BI27" s="107">
        <f t="shared" si="2"/>
        <v>0</v>
      </c>
    </row>
    <row r="28" spans="2:61" ht="14.4" customHeight="1">
      <c r="AU28" s="22"/>
      <c r="AV28" s="23"/>
      <c r="AW28" s="24"/>
      <c r="AX28" s="24"/>
      <c r="AY28" s="25"/>
      <c r="AZ28" s="107"/>
      <c r="BA28" s="107" t="str">
        <f t="shared" ref="BA28:BA40" si="3">IF(AZ28="","",AZ28*AY28)</f>
        <v/>
      </c>
      <c r="BC28" s="163">
        <f>OBJ!B154</f>
        <v>9255075</v>
      </c>
      <c r="BD28" s="164" t="str">
        <f>VLOOKUP(BC28,CENY!$B$11:$G$1034,2,FALSE)</f>
        <v>AVANTECH YOU BOK V251 MM NL550 MM STŘÍBRNÝ PRAVÝ</v>
      </c>
      <c r="BE28" s="24">
        <f>VLOOKUP(BC28,CENY!$B$11:$G$1034,3,FALSE)</f>
        <v>10</v>
      </c>
      <c r="BF28" s="24"/>
      <c r="BG28" s="77"/>
      <c r="BH28" s="107">
        <f>VLOOKUP(BC28,CENY!$B$11:$M$2005,12,FALSE)</f>
        <v>510.86</v>
      </c>
      <c r="BI28" s="107">
        <f t="shared" si="2"/>
        <v>0</v>
      </c>
    </row>
    <row r="29" spans="2:61" ht="14.4" customHeight="1">
      <c r="AU29" s="22"/>
      <c r="AV29" s="23"/>
      <c r="AW29" s="24"/>
      <c r="AX29" s="24"/>
      <c r="AY29" s="25"/>
      <c r="AZ29" s="107"/>
      <c r="BA29" s="107" t="str">
        <f t="shared" si="3"/>
        <v/>
      </c>
      <c r="BC29" s="163">
        <f>OBJ!B155</f>
        <v>9255076</v>
      </c>
      <c r="BD29" s="164" t="str">
        <f>VLOOKUP(BC29,CENY!$B$11:$G$1034,2,FALSE)</f>
        <v>AVANTECH YOU BOK V251 MM NL600 MM STŘÍBRNÝ LEVÝ</v>
      </c>
      <c r="BE29" s="24">
        <f>VLOOKUP(BC29,CENY!$B$11:$G$1034,3,FALSE)</f>
        <v>10</v>
      </c>
      <c r="BF29" s="24"/>
      <c r="BG29" s="25">
        <f>(AY3+AY4)*(AI19+AI20+AI21+AI26+AI27)</f>
        <v>0</v>
      </c>
      <c r="BH29" s="107">
        <f>VLOOKUP(BC29,CENY!$B$11:$M$2005,12,FALSE)</f>
        <v>523.85</v>
      </c>
      <c r="BI29" s="107">
        <f t="shared" si="2"/>
        <v>0</v>
      </c>
    </row>
    <row r="30" spans="2:61" ht="14.4" customHeight="1">
      <c r="V30" s="181"/>
      <c r="AU30" s="22"/>
      <c r="AV30" s="23"/>
      <c r="AW30" s="24"/>
      <c r="AX30" s="24"/>
      <c r="AY30" s="25"/>
      <c r="AZ30" s="107"/>
      <c r="BA30" s="107" t="str">
        <f t="shared" si="3"/>
        <v/>
      </c>
      <c r="BC30" s="163">
        <f>OBJ!B156</f>
        <v>9255077</v>
      </c>
      <c r="BD30" s="164" t="str">
        <f>VLOOKUP(BC30,CENY!$B$11:$G$1034,2,FALSE)</f>
        <v>AVANTECH YOU BOK V251 MM NL600 MM STŘÍBRNÝ PRAVÝ</v>
      </c>
      <c r="BE30" s="24">
        <f>VLOOKUP(BC30,CENY!$B$11:$G$1034,3,FALSE)</f>
        <v>10</v>
      </c>
      <c r="BF30" s="24"/>
      <c r="BG30" s="25">
        <f>(AY3+AY4)*(AK19+AK20+AK21+AK26+AK27)</f>
        <v>0</v>
      </c>
      <c r="BH30" s="107">
        <f>VLOOKUP(BC30,CENY!$B$11:$M$2005,12,FALSE)</f>
        <v>523.85</v>
      </c>
      <c r="BI30" s="107">
        <f t="shared" si="2"/>
        <v>0</v>
      </c>
    </row>
    <row r="31" spans="2:61" ht="14.4" customHeight="1">
      <c r="V31" s="112"/>
      <c r="AU31" s="22"/>
      <c r="AV31" s="23"/>
      <c r="AW31" s="24"/>
      <c r="AX31" s="24"/>
      <c r="AY31" s="25"/>
      <c r="AZ31" s="107"/>
      <c r="BA31" s="107" t="str">
        <f t="shared" si="3"/>
        <v/>
      </c>
      <c r="BC31" s="163">
        <f>OBJ!B157</f>
        <v>9255078</v>
      </c>
      <c r="BD31" s="164" t="str">
        <f>VLOOKUP(BC31,CENY!$B$11:$G$1034,2,FALSE)</f>
        <v>AVANTECH YOU BOK V251 MM NL650 MM STŘÍBRNÝ LEVÝ</v>
      </c>
      <c r="BE31" s="24">
        <f>VLOOKUP(BC31,CENY!$B$11:$G$1034,3,FALSE)</f>
        <v>10</v>
      </c>
      <c r="BF31" s="24"/>
      <c r="BG31" s="25">
        <f>(AY3+AY4)*(AM19+AM20+AM21+AM26+AM27)</f>
        <v>0</v>
      </c>
      <c r="BH31" s="107">
        <f>VLOOKUP(BC31,CENY!$B$11:$M$2005,12,FALSE)</f>
        <v>541.51</v>
      </c>
      <c r="BI31" s="107">
        <f t="shared" si="2"/>
        <v>0</v>
      </c>
    </row>
    <row r="32" spans="2:61" ht="14.4" customHeight="1">
      <c r="AU32" s="22"/>
      <c r="AV32" s="23"/>
      <c r="AW32" s="24"/>
      <c r="AX32" s="24"/>
      <c r="AY32" s="25"/>
      <c r="AZ32" s="107"/>
      <c r="BA32" s="107" t="str">
        <f t="shared" si="3"/>
        <v/>
      </c>
      <c r="BC32" s="163">
        <f>OBJ!B158</f>
        <v>9255079</v>
      </c>
      <c r="BD32" s="164" t="str">
        <f>VLOOKUP(BC32,CENY!$B$11:$G$1034,2,FALSE)</f>
        <v>AVANTECH YOU BOK V251 MM NL650 MM STŘÍBRNÝ PRAVÝ</v>
      </c>
      <c r="BE32" s="24">
        <f>VLOOKUP(BC32,CENY!$B$11:$G$1034,3,FALSE)</f>
        <v>10</v>
      </c>
      <c r="BF32" s="24"/>
      <c r="BG32" s="25">
        <f>(AY3+AY4)*(AO19+AO20+AO21+AO26+AO27)</f>
        <v>0</v>
      </c>
      <c r="BH32" s="107">
        <f>VLOOKUP(BC32,CENY!$B$11:$M$2005,12,FALSE)</f>
        <v>541.51</v>
      </c>
      <c r="BI32" s="107">
        <f t="shared" si="2"/>
        <v>0</v>
      </c>
    </row>
    <row r="33" spans="47:61" ht="14.4" customHeight="1">
      <c r="AU33" s="22"/>
      <c r="AV33" s="23"/>
      <c r="AW33" s="24"/>
      <c r="AX33" s="24"/>
      <c r="AY33" s="25"/>
      <c r="AZ33" s="107"/>
      <c r="BA33" s="107" t="str">
        <f t="shared" si="3"/>
        <v/>
      </c>
      <c r="BC33" s="163">
        <f>OBJ!B159</f>
        <v>9257887</v>
      </c>
      <c r="BD33" s="164" t="str">
        <f>VLOOKUP(BC33,CENY!$B$11:$G$1034,2,FALSE)</f>
        <v>AVANTECH YOU STABILIZÁTOR ČELA V251 MM K NAŠROUBOVÁNÍ</v>
      </c>
      <c r="BE33" s="24">
        <f>VLOOKUP(BC33,CENY!$B$11:$G$1034,3,FALSE)</f>
        <v>200</v>
      </c>
      <c r="BF33" s="24"/>
      <c r="BG33" s="25">
        <f>(AY3+AY4)*(AQ21+AQ27)</f>
        <v>0</v>
      </c>
      <c r="BH33" s="107">
        <f>VLOOKUP(BC33,CENY!$B$11:$M$2005,12,FALSE)</f>
        <v>8.86</v>
      </c>
      <c r="BI33" s="107">
        <f t="shared" si="2"/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3"/>
        <v/>
      </c>
      <c r="BC34" s="22"/>
      <c r="BD34" s="23"/>
      <c r="BE34" s="24"/>
      <c r="BF34" s="24"/>
      <c r="BG34" s="25"/>
      <c r="BH34" s="107"/>
      <c r="BI34" s="107" t="str">
        <f t="shared" si="2"/>
        <v/>
      </c>
    </row>
    <row r="35" spans="47:61" ht="14.4" customHeight="1">
      <c r="AU35" s="22"/>
      <c r="AV35" s="23"/>
      <c r="AW35" s="24"/>
      <c r="AX35" s="24"/>
      <c r="AY35" s="25"/>
      <c r="AZ35" s="107"/>
      <c r="BA35" s="107" t="str">
        <f t="shared" si="3"/>
        <v/>
      </c>
      <c r="BC35" s="22"/>
      <c r="BD35" s="23"/>
      <c r="BE35" s="24"/>
      <c r="BF35" s="24"/>
      <c r="BG35" s="25"/>
      <c r="BH35" s="107"/>
      <c r="BI35" s="107" t="str">
        <f t="shared" si="2"/>
        <v/>
      </c>
    </row>
    <row r="36" spans="47:61" ht="14.4" customHeight="1">
      <c r="AU36" s="22"/>
      <c r="AV36" s="23"/>
      <c r="AW36" s="24"/>
      <c r="AX36" s="24"/>
      <c r="AY36" s="25"/>
      <c r="AZ36" s="107"/>
      <c r="BA36" s="107" t="str">
        <f t="shared" si="3"/>
        <v/>
      </c>
      <c r="BC36" s="22"/>
      <c r="BD36" s="23"/>
      <c r="BE36" s="24"/>
      <c r="BF36" s="24"/>
      <c r="BG36" s="25"/>
      <c r="BH36" s="107"/>
      <c r="BI36" s="107" t="str">
        <f t="shared" si="2"/>
        <v/>
      </c>
    </row>
    <row r="37" spans="47:61" ht="14.4" customHeight="1">
      <c r="AU37" s="22"/>
      <c r="AV37" s="23"/>
      <c r="AW37" s="24"/>
      <c r="AX37" s="24"/>
      <c r="AY37" s="25"/>
      <c r="AZ37" s="107"/>
      <c r="BA37" s="107" t="str">
        <f t="shared" si="3"/>
        <v/>
      </c>
      <c r="BC37" s="22"/>
      <c r="BD37" s="23"/>
      <c r="BE37" s="24"/>
      <c r="BF37" s="24"/>
      <c r="BG37" s="25"/>
      <c r="BH37" s="107"/>
      <c r="BI37" s="107" t="str">
        <f t="shared" si="2"/>
        <v/>
      </c>
    </row>
    <row r="38" spans="47:61" ht="14.4" customHeight="1">
      <c r="AU38" s="22"/>
      <c r="AV38" s="23"/>
      <c r="AW38" s="24"/>
      <c r="AX38" s="24"/>
      <c r="AY38" s="25"/>
      <c r="AZ38" s="107"/>
      <c r="BA38" s="107" t="str">
        <f t="shared" si="3"/>
        <v/>
      </c>
      <c r="BC38" s="22"/>
      <c r="BD38" s="23"/>
      <c r="BE38" s="24"/>
      <c r="BF38" s="24"/>
      <c r="BG38" s="25"/>
      <c r="BH38" s="107"/>
      <c r="BI38" s="107" t="str">
        <f t="shared" si="2"/>
        <v/>
      </c>
    </row>
    <row r="39" spans="47:61" ht="14.4" customHeight="1">
      <c r="AU39" s="22"/>
      <c r="AV39" s="23"/>
      <c r="AW39" s="24"/>
      <c r="AX39" s="24"/>
      <c r="AY39" s="25"/>
      <c r="AZ39" s="107"/>
      <c r="BA39" s="107" t="str">
        <f t="shared" si="3"/>
        <v/>
      </c>
      <c r="BC39" s="22"/>
      <c r="BD39" s="23"/>
      <c r="BE39" s="24"/>
      <c r="BF39" s="24"/>
      <c r="BG39" s="25"/>
      <c r="BH39" s="107"/>
      <c r="BI39" s="107" t="str">
        <f t="shared" si="2"/>
        <v/>
      </c>
    </row>
    <row r="40" spans="47:61" ht="14.4" customHeight="1">
      <c r="AU40" s="22"/>
      <c r="AV40" s="23"/>
      <c r="AW40" s="24"/>
      <c r="AX40" s="24"/>
      <c r="AY40" s="25"/>
      <c r="AZ40" s="107"/>
      <c r="BA40" s="107" t="str">
        <f t="shared" si="3"/>
        <v/>
      </c>
      <c r="BC40" s="22"/>
      <c r="BD40" s="23"/>
      <c r="BE40" s="24"/>
      <c r="BF40" s="24"/>
      <c r="BG40" s="25"/>
      <c r="BH40" s="107"/>
      <c r="BI40" s="107" t="str">
        <f t="shared" si="2"/>
        <v/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0"/>
        <v/>
      </c>
      <c r="BC41" s="22"/>
      <c r="BD41" s="23"/>
      <c r="BE41" s="24"/>
      <c r="BF41" s="24"/>
      <c r="BG41" s="25"/>
      <c r="BH41" s="107"/>
      <c r="BI41" s="107" t="str">
        <f t="shared" si="2"/>
        <v/>
      </c>
    </row>
    <row r="42" spans="47:61" ht="14.4" customHeight="1">
      <c r="AU42" s="22">
        <f>OBJ!B258</f>
        <v>9268679</v>
      </c>
      <c r="AV42" s="23" t="str">
        <f>VLOOKUP(AU42,CENY!$B$11:$G$1034,2,FALSE)</f>
        <v>ACTRO YOU 40KG PLNOVÝSUV 600 MM EB21 SILENT SYSTÉM LEVÝ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273.51</v>
      </c>
      <c r="BA42" s="107">
        <f t="shared" si="0"/>
        <v>0</v>
      </c>
      <c r="BC42" s="22"/>
      <c r="BD42" s="23"/>
      <c r="BE42" s="24"/>
      <c r="BF42" s="24"/>
      <c r="BG42" s="25"/>
      <c r="BH42" s="107"/>
      <c r="BI42" s="107" t="str">
        <f t="shared" si="2"/>
        <v/>
      </c>
    </row>
    <row r="43" spans="47:61" ht="14.4" customHeight="1">
      <c r="AU43" s="22">
        <f>OBJ!B259</f>
        <v>9268680</v>
      </c>
      <c r="AV43" s="23" t="str">
        <f>VLOOKUP(AU43,CENY!$B$11:$G$1034,2,FALSE)</f>
        <v>ACTRO YOU 40KG PLNOVÝSUV 600 MM EB21 SILENT SYSTÉM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273.51</v>
      </c>
      <c r="BA43" s="107">
        <f t="shared" si="0"/>
        <v>0</v>
      </c>
      <c r="BC43" s="22"/>
      <c r="BD43" s="23"/>
      <c r="BE43" s="24"/>
      <c r="BF43" s="24"/>
      <c r="BG43" s="25"/>
      <c r="BH43" s="107"/>
      <c r="BI43" s="107" t="str">
        <f t="shared" si="2"/>
        <v/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2"/>
      <c r="BD44" s="23"/>
      <c r="BE44" s="24"/>
      <c r="BF44" s="24"/>
      <c r="BG44" s="25"/>
      <c r="BH44" s="107"/>
      <c r="BI44" s="107" t="str">
        <f t="shared" si="2"/>
        <v/>
      </c>
    </row>
    <row r="45" spans="47:61" ht="14.4" customHeight="1">
      <c r="AU45" s="22">
        <f>OBJ!B261</f>
        <v>9257034</v>
      </c>
      <c r="AV45" s="23" t="str">
        <f>VLOOKUP(AU45,CENY!$B$11:$G$1034,2,FALSE)</f>
        <v>ACTRO YOU 70KG PLNOVÝSUV 450 MM EB21 SILENT SYSTEM SADA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691.9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 70KG PLNOVÝSUV 500 MM EB21 SILENT SYSTEM SADA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698.13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AVANTECH YOU BOKY V SADĚ V139 MM NL300 MM STŘÍBRNÁ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682.46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 70KG PLNOVÝSUV 550 MM EB21 SILENT SYSTEM SADA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731.3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AVANTECH YOU BOKY V SADĚ V139 MM NL350 MM STŘÍBRNÁ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691.23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 70KG PLNOVÝSUV 600 MM EB21 SILENT SYSTEM SADA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798.31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AVANTECH YOU BOKY V SADĚ V139 MM NL400 MM STŘÍBRNÁ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700.01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 70KG PLNOVÝSUV 650 MM EB21 SILENT SYSTEM SADA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828.55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AVANTECH YOU BOKY V SADĚ V139 MM NL450 MM STŘÍBRNÁ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708.78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 70KG PLNOVÝSUV 450 MM EB21 SILENT SYSTEM LEVÝ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309.07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 70KG PLNOVÝSUV 450 MM EB21 SILENT SYSTEM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309.07</v>
      </c>
      <c r="BA51" s="107">
        <f t="shared" si="0"/>
        <v>0</v>
      </c>
      <c r="BC51" s="22"/>
      <c r="BD51" s="23"/>
      <c r="BE51" s="24"/>
      <c r="BF51" s="24"/>
      <c r="BG51" s="25"/>
      <c r="BH51" s="107"/>
      <c r="BI51" s="107" t="str">
        <f t="shared" ref="BI51:BI64" si="4">IF(BH51="","",BH51*BG51)</f>
        <v/>
      </c>
    </row>
    <row r="52" spans="47:61" ht="14.4" customHeight="1">
      <c r="AU52" s="22">
        <f>OBJ!B268</f>
        <v>9257017</v>
      </c>
      <c r="AV52" s="23" t="str">
        <f>VLOOKUP(AU52,CENY!$B$11:$G$1034,2,FALSE)</f>
        <v>ACTRO YOU 70KG PLNOVÝSUV 500 MM EB21 SILENT SYSTEM LEVÝ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312.18</v>
      </c>
      <c r="BA52" s="107">
        <f t="shared" si="0"/>
        <v>0</v>
      </c>
      <c r="BC52" s="22"/>
      <c r="BD52" s="23"/>
      <c r="BE52" s="24"/>
      <c r="BF52" s="24"/>
      <c r="BG52" s="25"/>
      <c r="BH52" s="107"/>
      <c r="BI52" s="107" t="str">
        <f t="shared" si="4"/>
        <v/>
      </c>
    </row>
    <row r="53" spans="47:61" ht="14.4" customHeight="1">
      <c r="AU53" s="22">
        <f>OBJ!B269</f>
        <v>9257018</v>
      </c>
      <c r="AV53" s="23" t="str">
        <f>VLOOKUP(AU53,CENY!$B$11:$G$1034,2,FALSE)</f>
        <v>ACTRO YOU 70KG PLNOVÝSUV 500 MM EB21 SILENT SYSTEM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312.18</v>
      </c>
      <c r="BA53" s="107">
        <f t="shared" si="0"/>
        <v>0</v>
      </c>
      <c r="BC53" s="22"/>
      <c r="BD53" s="23"/>
      <c r="BE53" s="24"/>
      <c r="BF53" s="24"/>
      <c r="BG53" s="25"/>
      <c r="BH53" s="107"/>
      <c r="BI53" s="107" t="str">
        <f t="shared" si="4"/>
        <v/>
      </c>
    </row>
    <row r="54" spans="47:61" ht="14.4" customHeight="1">
      <c r="AU54" s="22">
        <f>OBJ!B270</f>
        <v>9257021</v>
      </c>
      <c r="AV54" s="23" t="str">
        <f>VLOOKUP(AU54,CENY!$B$11:$G$1034,2,FALSE)</f>
        <v>ACTRO YOU 70KG PLNOVÝSUV 550 MM EB21 SILENT SYSTEM LEVÝ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328.77</v>
      </c>
      <c r="BA54" s="107">
        <f t="shared" si="0"/>
        <v>0</v>
      </c>
      <c r="BC54" s="22"/>
      <c r="BD54" s="23"/>
      <c r="BE54" s="24"/>
      <c r="BF54" s="24"/>
      <c r="BG54" s="25"/>
      <c r="BH54" s="107"/>
      <c r="BI54" s="107" t="str">
        <f t="shared" si="4"/>
        <v/>
      </c>
    </row>
    <row r="55" spans="47:61" ht="14.4" customHeight="1">
      <c r="AU55" s="22">
        <f>OBJ!B271</f>
        <v>9257022</v>
      </c>
      <c r="AV55" s="23" t="str">
        <f>VLOOKUP(AU55,CENY!$B$11:$G$1034,2,FALSE)</f>
        <v>ACTRO YOU 70KG PLNOVÝSUV 550 MM EB21 SILENT SYSTEM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328.77</v>
      </c>
      <c r="BA55" s="107">
        <f t="shared" si="0"/>
        <v>0</v>
      </c>
      <c r="BC55" s="22"/>
      <c r="BD55" s="23"/>
      <c r="BE55" s="24"/>
      <c r="BF55" s="24"/>
      <c r="BG55" s="25"/>
      <c r="BH55" s="107"/>
      <c r="BI55" s="107" t="str">
        <f t="shared" si="4"/>
        <v/>
      </c>
    </row>
    <row r="56" spans="47:61" ht="14.4" customHeight="1">
      <c r="AU56" s="22">
        <f>OBJ!B272</f>
        <v>9257025</v>
      </c>
      <c r="AV56" s="23" t="str">
        <f>VLOOKUP(AU56,CENY!$B$11:$G$1034,2,FALSE)</f>
        <v>ACTRO YOU 70KG PLNOVÝSUV 600 MM EB21 SILENT SYSTEM LEVÝ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362.28</v>
      </c>
      <c r="BA56" s="107">
        <f t="shared" si="0"/>
        <v>0</v>
      </c>
      <c r="BC56" s="22"/>
      <c r="BD56" s="23"/>
      <c r="BE56" s="24"/>
      <c r="BF56" s="24"/>
      <c r="BG56" s="25"/>
      <c r="BH56" s="107"/>
      <c r="BI56" s="107" t="str">
        <f t="shared" si="4"/>
        <v/>
      </c>
    </row>
    <row r="57" spans="47:61" ht="14.4" customHeight="1">
      <c r="AU57" s="22">
        <f>OBJ!B273</f>
        <v>9257026</v>
      </c>
      <c r="AV57" s="23" t="str">
        <f>VLOOKUP(AU57,CENY!$B$11:$G$1034,2,FALSE)</f>
        <v>ACTRO YOU 70KG PLNOVÝSUV 600 MM EB21 SILENT SYSTEM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362.28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4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 70KG PLNOVÝSUV 650 MM EB21 SILENT SYSTEM LEVÝ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377.39</v>
      </c>
      <c r="BA58" s="107">
        <f t="shared" si="0"/>
        <v>0</v>
      </c>
      <c r="BC58" s="22"/>
      <c r="BD58" s="23"/>
      <c r="BE58" s="24"/>
      <c r="BF58" s="24"/>
      <c r="BG58" s="25"/>
      <c r="BH58" s="107"/>
      <c r="BI58" s="107" t="str">
        <f t="shared" si="4"/>
        <v/>
      </c>
    </row>
    <row r="59" spans="47:61" ht="14.4" customHeight="1">
      <c r="AU59" s="22">
        <f>OBJ!B275</f>
        <v>9257028</v>
      </c>
      <c r="AV59" s="23" t="str">
        <f>VLOOKUP(AU59,CENY!$B$11:$G$1034,2,FALSE)</f>
        <v>ACTRO YOU 70KG PLNOVÝSUV 650 MM EB21 SILENT SYSTEM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377.39</v>
      </c>
      <c r="BA59" s="107">
        <f t="shared" si="0"/>
        <v>0</v>
      </c>
      <c r="BC59" s="22"/>
      <c r="BD59" s="23"/>
      <c r="BE59" s="24"/>
      <c r="BF59" s="24"/>
      <c r="BG59" s="25"/>
      <c r="BH59" s="107"/>
      <c r="BI59" s="107" t="str">
        <f t="shared" si="4"/>
        <v/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2"/>
      <c r="BD60" s="23"/>
      <c r="BE60" s="24"/>
      <c r="BF60" s="24"/>
      <c r="BG60" s="25"/>
      <c r="BH60" s="107"/>
      <c r="BI60" s="107" t="str">
        <f t="shared" si="4"/>
        <v/>
      </c>
    </row>
    <row r="61" spans="47:61" ht="14.4" customHeight="1">
      <c r="AU61" s="22">
        <f>OBJ!B277</f>
        <v>9257890</v>
      </c>
      <c r="AV61" s="23" t="str">
        <f>VLOOKUP(AU61,CENY!$B$11:$G$1034,2,FALSE)</f>
        <v>PUSH TO OPEN SILENT ACTRO YOU / ACTRO 5D 10 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544.37</v>
      </c>
      <c r="BA61" s="107">
        <f t="shared" si="0"/>
        <v>0</v>
      </c>
      <c r="BC61" s="22"/>
      <c r="BD61" s="23"/>
      <c r="BE61" s="24"/>
      <c r="BF61" s="24"/>
      <c r="BG61" s="25"/>
      <c r="BH61" s="107"/>
      <c r="BI61" s="107" t="str">
        <f t="shared" si="4"/>
        <v/>
      </c>
    </row>
    <row r="62" spans="47:61" ht="14.4" customHeight="1">
      <c r="AU62" s="22">
        <f>OBJ!B278</f>
        <v>9257891</v>
      </c>
      <c r="AV62" s="23" t="str">
        <f>VLOOKUP(AU62,CENY!$B$11:$G$1034,2,FALSE)</f>
        <v>PUSH TO OPEN SILENT ACTRO YOU / ACTRO 5D 20 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544.37</v>
      </c>
      <c r="BA62" s="107">
        <f t="shared" si="0"/>
        <v>0</v>
      </c>
      <c r="BC62" s="22"/>
      <c r="BD62" s="23"/>
      <c r="BE62" s="24"/>
      <c r="BF62" s="24"/>
      <c r="BG62" s="25"/>
      <c r="BH62" s="107"/>
      <c r="BI62" s="107" t="str">
        <f t="shared" si="4"/>
        <v/>
      </c>
    </row>
    <row r="63" spans="47:61" ht="14.4" customHeight="1">
      <c r="AU63" s="22">
        <f>OBJ!B279</f>
        <v>9257892</v>
      </c>
      <c r="AV63" s="23" t="str">
        <f>VLOOKUP(AU63,CENY!$B$11:$G$1034,2,FALSE)</f>
        <v>PUSH TO OPEN SILENT ACTRO YOU / ACTRO 5D 40 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544.37</v>
      </c>
      <c r="BA63" s="107">
        <f t="shared" si="0"/>
        <v>0</v>
      </c>
      <c r="BC63" s="22"/>
      <c r="BD63" s="23"/>
      <c r="BE63" s="24"/>
      <c r="BF63" s="24"/>
      <c r="BG63" s="25"/>
      <c r="BH63" s="107"/>
      <c r="BI63" s="107" t="str">
        <f t="shared" si="4"/>
        <v/>
      </c>
    </row>
    <row r="64" spans="47:61" ht="14.4" customHeight="1">
      <c r="AU64" s="22">
        <f>OBJ!B280</f>
        <v>9257893</v>
      </c>
      <c r="AV64" s="23" t="str">
        <f>VLOOKUP(AU64,CENY!$B$11:$G$1034,2,FALSE)</f>
        <v>PUSH TO OPEN SILENT ACTRO YOU / ACTRO 5D 70 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544.37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 t="shared" si="4"/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SYNCHRONIZAČNÍ TYČ 2000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144.30000000000001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 10 KG PLNOVÝSUV 350 MM EB21 SILENT SYSTEM SADA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421.61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13.07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 10 KG PLNOVÝSUV 270 MM EB21 SILENT SYSTEM LEVÝ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174.19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SILENT ACTRO YOU MULTISYNCHRO - SPOJKA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35.33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 10 KG PLNOVÝSUV 270 MM EB21 SILENT SYSTEM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174.19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SILENT SYNCHRO ADAPTÉR FLEXIBILNÍ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82.35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 10 KG PLNOVÝSUV 300 MM EB21 SILENT SYSTEM LEVÝ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172.7</v>
      </c>
      <c r="BI68" s="107">
        <f t="shared" si="1"/>
        <v>0</v>
      </c>
    </row>
    <row r="69" spans="1:61" ht="23.1" customHeight="1">
      <c r="A69" s="633"/>
      <c r="B69" s="104" t="s">
        <v>293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SILENT ACTRO YOU SYNCHRO POSUNUTÉ NAPOJENÍ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783.93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 10 KG PLNOVÝSUV 300 MM EB21 SILENT SYSTEM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172.7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 10 KG PLNOVÝSUV 350 MM EB21 SILENT SYSTEM LEVÝ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176.43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 10 KG PLNOVÝSUV 270 MM EB21 SILENT SYSTEM SADA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413.4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 10 KG PLNOVÝSUV 350 MM EB21 SILENT SYSTEM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176.43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 PLNOVÝSUV 270 MM EB21 SILENT SYSTEM SADA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372.29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/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 PLNOVÝSUV 300 MM EB21 SILENT SYSTEM SADA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369.3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 PLNOVÝSUV 350 MM EB21 SILENT SYSTEM SADA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376.77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 PLNOVÝSUV 400 MM EB21 SILENT SYSTEM SADA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384.24</v>
      </c>
      <c r="BI76" s="107">
        <f t="shared" si="1"/>
        <v>0</v>
      </c>
    </row>
    <row r="77" spans="1:61" ht="14.4" customHeight="1">
      <c r="A77" s="633"/>
      <c r="AU77" s="182">
        <f>OBJ!B227</f>
        <v>9256969</v>
      </c>
      <c r="AV77" s="23" t="str">
        <f>VLOOKUP(AU77,CENY!$B$11:$G$1034,2,FALSE)</f>
        <v>ACTRO YOU 10KG PLNOVÝSUV 300 MM EB21 SILENT SYSTEM SADA</v>
      </c>
      <c r="AW77" s="24">
        <f>VLOOKUP(AU77,CENY!$B$11:$G$1034,3,FALSE)</f>
        <v>1</v>
      </c>
      <c r="AX77" s="24"/>
      <c r="AY77" s="25">
        <f>((AY2)*((SUM(O19:Z20)+SUM(Q21:AB21)+SUM(O26:Z26)+SUM(Q27:AB27))+1*(SUM(AE19:AP20)+SUM(AG21:AR21)+SUM(AE26:AP26)+SUM(AG27:AR27))))</f>
        <v>0</v>
      </c>
      <c r="AZ77" s="107">
        <f>VLOOKUP(AU77,CENY!$B$11:$M$2005,12,FALSE)</f>
        <v>561.63</v>
      </c>
      <c r="BA77" s="107">
        <f>IF(AZ77="","",AZ77*AY77)</f>
        <v>0</v>
      </c>
      <c r="BC77" s="22">
        <f>OBJ!B301</f>
        <v>9256890</v>
      </c>
      <c r="BD77" s="23" t="str">
        <f>VLOOKUP(BC77,CENY!$B$11:$G$1034,2,FALSE)</f>
        <v>QUADRO YOU PLNOVÝSUV 450 MM EB21 SILENT SYSTEM SADA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391.72</v>
      </c>
      <c r="BI77" s="107">
        <f t="shared" si="1"/>
        <v>0</v>
      </c>
    </row>
    <row r="78" spans="1:61" ht="14.4" customHeight="1">
      <c r="A78" s="633"/>
      <c r="AU78" s="182">
        <f>OBJ!B238</f>
        <v>9257002</v>
      </c>
      <c r="AV78" s="23" t="str">
        <f>VLOOKUP(AU78,CENY!$B$11:$G$1034,2,FALSE)</f>
        <v>ACTRO YOU 40KG PLNOVÝSUV 350 MM EB21 SILENT SYSTEM SADA</v>
      </c>
      <c r="AW78" s="24">
        <f>VLOOKUP(AU78,CENY!$B$11:$G$1034,3,FALSE)</f>
        <v>1</v>
      </c>
      <c r="AX78" s="24"/>
      <c r="AY78" s="25">
        <f>((AY4)*((SUM(O19:Z20)+SUM(Q21:AB21)+SUM(O26:Z26)+SUM(Q27:AB27))+1*(SUM(AE19:AP20)+SUM(AG21:AR21)+SUM(AE26:AP26)+SUM(AG27:AR27))))</f>
        <v>0</v>
      </c>
      <c r="AZ78" s="107">
        <f>VLOOKUP(AU78,CENY!$B$11:$M$2005,12,FALSE)</f>
        <v>561.63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 PLNOVÝSUV 500 MM EB21 SILENT SYSTEM SADA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399.19</v>
      </c>
      <c r="BI78" s="107">
        <f t="shared" si="1"/>
        <v>0</v>
      </c>
    </row>
    <row r="79" spans="1:61" ht="14.4" customHeight="1">
      <c r="A79" s="633"/>
      <c r="AU79" s="22"/>
      <c r="AV79" s="23"/>
      <c r="AW79" s="24"/>
      <c r="AX79" s="24"/>
      <c r="AY79" s="25"/>
      <c r="AZ79" s="107"/>
      <c r="BA79" s="107" t="str">
        <f>IF(AZ79="","",AZ79*AY79)</f>
        <v/>
      </c>
      <c r="BC79" s="22">
        <f>OBJ!B303</f>
        <v>9256894</v>
      </c>
      <c r="BD79" s="23" t="str">
        <f>VLOOKUP(BC79,CENY!$B$11:$G$1034,2,FALSE)</f>
        <v>QUADRO YOU PLNOVÝSUV 550 MM EB21 SILENT SYSTEM SADA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412.64</v>
      </c>
      <c r="BI79" s="107">
        <f t="shared" si="1"/>
        <v>0</v>
      </c>
    </row>
    <row r="80" spans="1:61" ht="14.4" customHeight="1">
      <c r="A80" s="633"/>
      <c r="AU80" s="22"/>
      <c r="AV80" s="23"/>
      <c r="AW80" s="24"/>
      <c r="AX80" s="24"/>
      <c r="AY80" s="25"/>
      <c r="AZ80" s="107"/>
      <c r="BA80" s="107" t="str">
        <f>IF(AZ80="","",AZ80*AY80)</f>
        <v/>
      </c>
      <c r="BC80" s="22">
        <f>OBJ!B304</f>
        <v>9256896</v>
      </c>
      <c r="BD80" s="23" t="str">
        <f>VLOOKUP(BC80,CENY!$B$11:$G$1034,2,FALSE)</f>
        <v>QUADRO YOU PLNOVÝSUV 600 MM EB21 SILENT SYSTEM SADA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420.11</v>
      </c>
      <c r="BI80" s="107">
        <f t="shared" si="1"/>
        <v>0</v>
      </c>
    </row>
    <row r="81" spans="1:61" ht="14.4" customHeight="1">
      <c r="A81" s="633"/>
      <c r="AU81" s="22">
        <f>OBJ!B228</f>
        <v>9256971</v>
      </c>
      <c r="AV81" s="23" t="str">
        <f>VLOOKUP(AU81,CENY!$B$11:$G$1034,2,FALSE)</f>
        <v>ACTRO YOU 10KG PLNOVÝSUV 350 MM EB21 SILENT SYSTEM SADA</v>
      </c>
      <c r="AW81" s="24">
        <f>VLOOKUP(AU81,CENY!$B$11:$G$1034,3,FALSE)</f>
        <v>1</v>
      </c>
      <c r="AX81" s="24"/>
      <c r="AY81" s="25">
        <f>AY2*O84</f>
        <v>0</v>
      </c>
      <c r="AZ81" s="107">
        <f>VLOOKUP(AU81,CENY!$B$11:$M$2005,12,FALSE)</f>
        <v>561.63</v>
      </c>
      <c r="BA81" s="107">
        <f>IF(AZ81="","",AZ81*AY81)</f>
        <v>0</v>
      </c>
      <c r="BC81" s="22">
        <f>OBJ!B305</f>
        <v>9256854</v>
      </c>
      <c r="BD81" s="23" t="str">
        <f>VLOOKUP(BC81,CENY!$B$11:$G$1034,2,FALSE)</f>
        <v>QUADRO YOU PLNOVÝSUV 270 MM EB21 SILENT SYSTEM LEVÝ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174.19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U82" s="22">
        <f>OBJ!B229</f>
        <v>9256959</v>
      </c>
      <c r="AV82" s="23" t="str">
        <f>VLOOKUP(AU82,CENY!$B$11:$G$1034,2,FALSE)</f>
        <v>ACTRO YOU 10KG PLNOVÝSUV 270 MM EB21 SILENT SYSTEM LEVÝ</v>
      </c>
      <c r="AW82" s="24">
        <f>VLOOKUP(AU82,CENY!$B$11:$G$1034,3,FALSE)</f>
        <v>10</v>
      </c>
      <c r="AX82" s="24"/>
      <c r="AY82" s="25">
        <f>AY2*Q84</f>
        <v>0</v>
      </c>
      <c r="AZ82" s="107">
        <f>VLOOKUP(AU82,CENY!$B$11:$M$2005,12,FALSE)</f>
        <v>243.93</v>
      </c>
      <c r="BA82" s="107">
        <f t="shared" ref="BA82:BA100" si="5">IF(AZ82="","",AZ82*AY82)</f>
        <v>0</v>
      </c>
      <c r="BC82" s="22">
        <f>OBJ!B306</f>
        <v>9256855</v>
      </c>
      <c r="BD82" s="23" t="str">
        <f>VLOOKUP(BC82,CENY!$B$11:$G$1034,2,FALSE)</f>
        <v>QUADRO YOU PLNOVÝSUV 270 MM EB21 SILENT SYSTEM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174.19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800</v>
      </c>
      <c r="AB83" s="570"/>
      <c r="AC83" s="569">
        <v>900</v>
      </c>
      <c r="AD83" s="570"/>
      <c r="AE83" s="569">
        <v>1000</v>
      </c>
      <c r="AF83" s="570"/>
      <c r="AG83" s="569">
        <v>1200</v>
      </c>
      <c r="AH83" s="570"/>
      <c r="AU83" s="22">
        <f>OBJ!B230</f>
        <v>9256960</v>
      </c>
      <c r="AV83" s="23" t="str">
        <f>VLOOKUP(AU83,CENY!$B$11:$G$1034,2,FALSE)</f>
        <v>ACTRO YOU 10KG PLNOVÝSUV 270 MM EB21 SILENT SYSTEM PRAVÝ</v>
      </c>
      <c r="AW83" s="24">
        <f>VLOOKUP(AU83,CENY!$B$11:$G$1034,3,FALSE)</f>
        <v>10</v>
      </c>
      <c r="AX83" s="24"/>
      <c r="AY83" s="25">
        <f>AY2*S84</f>
        <v>0</v>
      </c>
      <c r="AZ83" s="107">
        <f>VLOOKUP(AU83,CENY!$B$11:$M$2005,12,FALSE)</f>
        <v>243.93</v>
      </c>
      <c r="BA83" s="107">
        <f t="shared" si="5"/>
        <v>0</v>
      </c>
      <c r="BC83" s="22">
        <f>OBJ!B307</f>
        <v>9256856</v>
      </c>
      <c r="BD83" s="23" t="str">
        <f>VLOOKUP(BC83,CENY!$B$11:$G$1034,2,FALSE)</f>
        <v>QUADRO YOU PLNOVÝSUV 300 MM EB21 SILENT SYSTEM LEVÝ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172.7</v>
      </c>
      <c r="BI83" s="107">
        <f t="shared" si="1"/>
        <v>0</v>
      </c>
    </row>
    <row r="84" spans="1:61" ht="14.4" customHeight="1" thickBot="1">
      <c r="A84" s="633"/>
      <c r="B84" s="183" t="str">
        <f>" "&amp;verze!E168</f>
        <v xml:space="preserve"> Skleněné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8"/>
      <c r="AB84" s="635"/>
      <c r="AC84" s="638"/>
      <c r="AD84" s="635"/>
      <c r="AE84" s="638"/>
      <c r="AF84" s="635"/>
      <c r="AG84" s="281"/>
      <c r="AH84" s="280"/>
      <c r="AU84" s="22">
        <f>OBJ!B231</f>
        <v>9256961</v>
      </c>
      <c r="AV84" s="23" t="str">
        <f>VLOOKUP(AU84,CENY!$B$11:$G$1034,2,FALSE)</f>
        <v>ACTRO YOU 10KG PLNOVÝSUV 300 MM EB21 SILENT SYSTEM LEVÝ</v>
      </c>
      <c r="AW84" s="24">
        <f>VLOOKUP(AU84,CENY!$B$11:$G$1034,3,FALSE)</f>
        <v>10</v>
      </c>
      <c r="AX84" s="24"/>
      <c r="AY84" s="25">
        <f>AY2*U84</f>
        <v>0</v>
      </c>
      <c r="AZ84" s="107">
        <f>VLOOKUP(AU84,CENY!$B$11:$M$2005,12,FALSE)</f>
        <v>243.93</v>
      </c>
      <c r="BA84" s="107">
        <f t="shared" si="5"/>
        <v>0</v>
      </c>
      <c r="BC84" s="22">
        <f>OBJ!B308</f>
        <v>9256857</v>
      </c>
      <c r="BD84" s="23" t="str">
        <f>VLOOKUP(BC84,CENY!$B$11:$G$1034,2,FALSE)</f>
        <v>QUADRO YOU PLNOVÝSUV 300 MM EB21 SILENT SYSTEM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172.7</v>
      </c>
      <c r="BI84" s="107">
        <f t="shared" si="1"/>
        <v>0</v>
      </c>
    </row>
    <row r="85" spans="1:61" ht="14.4" customHeight="1">
      <c r="A85" s="633"/>
      <c r="AU85" s="22">
        <f>OBJ!B232</f>
        <v>9256962</v>
      </c>
      <c r="AV85" s="23" t="str">
        <f>VLOOKUP(AU85,CENY!$B$11:$G$1034,2,FALSE)</f>
        <v>ACTRO YOU 10KG PLNOVÝSUV 300 MM EB21 SILENT SYSTEM PRAVÝ</v>
      </c>
      <c r="AW85" s="24">
        <f>VLOOKUP(AU85,CENY!$B$11:$G$1034,3,FALSE)</f>
        <v>10</v>
      </c>
      <c r="AX85" s="24"/>
      <c r="AY85" s="25">
        <f>AY2*W84</f>
        <v>0</v>
      </c>
      <c r="AZ85" s="107">
        <f>VLOOKUP(AU85,CENY!$B$11:$M$2005,12,FALSE)</f>
        <v>243.93</v>
      </c>
      <c r="BA85" s="107">
        <f t="shared" si="5"/>
        <v>0</v>
      </c>
      <c r="BC85" s="22">
        <f>OBJ!B309</f>
        <v>9256860</v>
      </c>
      <c r="BD85" s="23" t="str">
        <f>VLOOKUP(BC85,CENY!$B$11:$G$1034,2,FALSE)</f>
        <v>QUADRO YOU PLNOVÝSUV 350 MM EB21 SILENT SYSTEM LEVÝ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176.43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potřebné vybrat vnitřní čela na 0 skříň (skříně).</v>
      </c>
      <c r="AU86" s="22">
        <f>OBJ!B233</f>
        <v>9256965</v>
      </c>
      <c r="AV86" s="23" t="str">
        <f>VLOOKUP(AU86,CENY!$B$11:$G$1034,2,FALSE)</f>
        <v>ACTRO YOU 10KG PLNOVÝSUV 350 MM EB21 SILENT SYSTEM LEVÝ</v>
      </c>
      <c r="AW86" s="24">
        <f>VLOOKUP(AU86,CENY!$B$11:$G$1034,3,FALSE)</f>
        <v>10</v>
      </c>
      <c r="AX86" s="24"/>
      <c r="AY86" s="25">
        <f>AY2*Y84</f>
        <v>0</v>
      </c>
      <c r="AZ86" s="107">
        <f>VLOOKUP(AU86,CENY!$B$11:$M$2005,12,FALSE)</f>
        <v>243.93</v>
      </c>
      <c r="BA86" s="107">
        <f t="shared" si="5"/>
        <v>0</v>
      </c>
      <c r="BC86" s="22">
        <f>OBJ!B310</f>
        <v>9256861</v>
      </c>
      <c r="BD86" s="23" t="str">
        <f>VLOOKUP(BC86,CENY!$B$11:$G$1034,2,FALSE)</f>
        <v>QUADRO YOU PLNOVÝSUV 350 MM EB21 SILENT SYSTEM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176.43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 PLNOVÝSUV 400 MM EB21 SILENT SYSTEM LEVÝ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180.17</v>
      </c>
      <c r="BI87" s="107">
        <f t="shared" si="1"/>
        <v>0</v>
      </c>
    </row>
    <row r="88" spans="1:61" ht="14.4" customHeight="1">
      <c r="A88" s="633"/>
      <c r="AU88" s="22">
        <f>OBJ!B239</f>
        <v>9257004</v>
      </c>
      <c r="AV88" s="23" t="str">
        <f>VLOOKUP(AU88,CENY!$B$11:$G$1034,2,FALSE)</f>
        <v>ACTRO YOU 40KG PLNOVÝSUV 400 MM EB21 SILENT SYSTEM SADA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567.85</v>
      </c>
      <c r="BA88" s="107">
        <f t="shared" si="5"/>
        <v>0</v>
      </c>
      <c r="BC88" s="22">
        <f>OBJ!B312</f>
        <v>9256865</v>
      </c>
      <c r="BD88" s="23" t="str">
        <f>VLOOKUP(BC88,CENY!$B$11:$G$1034,2,FALSE)</f>
        <v>QUADRO YOU PLNOVÝSUV 400 MM EB21 SILENT SYSTEM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180.17</v>
      </c>
      <c r="BI88" s="107">
        <f t="shared" si="1"/>
        <v>0</v>
      </c>
    </row>
    <row r="89" spans="1:61" ht="14.4" customHeight="1">
      <c r="A89" s="633"/>
      <c r="AU89" s="22">
        <f>OBJ!B240</f>
        <v>9257006</v>
      </c>
      <c r="AV89" s="23" t="str">
        <f>VLOOKUP(AU89,CENY!$B$11:$G$1034,2,FALSE)</f>
        <v>ACTRO YOU 40KG PLNOVÝSUV 450 MM EB21 SILENT SYSTEM SADA</v>
      </c>
      <c r="AW89" s="24">
        <f>VLOOKUP(AU89,CENY!$B$11:$G$1034,3,FALSE)</f>
        <v>1</v>
      </c>
      <c r="AX89" s="24"/>
      <c r="AY89" s="25">
        <f>AY4*Q84</f>
        <v>0</v>
      </c>
      <c r="AZ89" s="107">
        <f>VLOOKUP(AU89,CENY!$B$11:$M$2005,12,FALSE)</f>
        <v>574.04</v>
      </c>
      <c r="BA89" s="107">
        <f t="shared" si="5"/>
        <v>0</v>
      </c>
      <c r="BC89" s="22">
        <f>OBJ!B313</f>
        <v>9256868</v>
      </c>
      <c r="BD89" s="23" t="str">
        <f>VLOOKUP(BC89,CENY!$B$11:$G$1034,2,FALSE)</f>
        <v>QUADRO YOU PLNOVÝSUV 450 MM EB21 SILENT SYSTEM LEVÝ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183.9</v>
      </c>
      <c r="BI89" s="107">
        <f t="shared" si="1"/>
        <v>0</v>
      </c>
    </row>
    <row r="90" spans="1:61" ht="14.4" customHeight="1">
      <c r="A90" s="633"/>
      <c r="AU90" s="22">
        <f>OBJ!B241</f>
        <v>9257008</v>
      </c>
      <c r="AV90" s="23" t="str">
        <f>VLOOKUP(AU90,CENY!$B$11:$G$1034,2,FALSE)</f>
        <v>ACTRO YOU 40KG PLNOVÝSUV 500 MM EB21 SILENT SYSTEM SADA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580.26</v>
      </c>
      <c r="BA90" s="107">
        <f t="shared" si="5"/>
        <v>0</v>
      </c>
      <c r="BC90" s="22">
        <f>OBJ!B314</f>
        <v>9256869</v>
      </c>
      <c r="BD90" s="23" t="str">
        <f>VLOOKUP(BC90,CENY!$B$11:$G$1034,2,FALSE)</f>
        <v>QUADRO YOU PLNOVÝSUV 450 MM EB21 SILENT SYSTEM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183.9</v>
      </c>
      <c r="BI90" s="107">
        <f t="shared" si="1"/>
        <v>0</v>
      </c>
    </row>
    <row r="91" spans="1:61" ht="14.4" customHeight="1">
      <c r="A91" s="633"/>
      <c r="AU91" s="22">
        <f>OBJ!B242</f>
        <v>9257010</v>
      </c>
      <c r="AV91" s="23" t="str">
        <f>VLOOKUP(AU91,CENY!$B$11:$G$1034,2,FALSE)</f>
        <v>ACTRO YOU 40KG PLNOVÝSUV 550 MM EB21 SILENT SYSTEM SADA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613.44000000000005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 PLNOVÝSUV 500 MM EB21 SILENT SYSTEM LEVÝ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187.64</v>
      </c>
      <c r="BI91" s="107">
        <f t="shared" si="1"/>
        <v>0</v>
      </c>
    </row>
    <row r="92" spans="1:61" ht="14.4" customHeight="1">
      <c r="A92" s="633"/>
      <c r="AU92" s="22">
        <f>OBJ!B243</f>
        <v>9268681</v>
      </c>
      <c r="AV92" s="23" t="str">
        <f>VLOOKUP(AU92,CENY!$B$11:$G$1034,2,FALSE)</f>
        <v>ACTRO YOU 40KG PLNOVÝSUV 600 MM EB21 SILENT SYSTÉM SADA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620.78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 PLNOVÝSUV 500 MM EB21 SILENT SYSTEM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187.64</v>
      </c>
      <c r="BI92" s="107">
        <f t="shared" ref="BI92:BI124" si="6">IF(BH92="","",BH92*BG92)</f>
        <v>0</v>
      </c>
    </row>
    <row r="93" spans="1:61" ht="14.4" customHeight="1">
      <c r="A93" s="633"/>
      <c r="AU93" s="22">
        <f>OBJ!B244</f>
        <v>9256974</v>
      </c>
      <c r="AV93" s="23" t="str">
        <f>VLOOKUP(AU93,CENY!$B$11:$G$1034,2,FALSE)</f>
        <v>ACTRO YOU 40KG PLNOVÝSUV 270 MM EB21 SILENT SYSTEM LEVÝ</v>
      </c>
      <c r="AW93" s="24">
        <f>VLOOKUP(AU93,CENY!$B$11:$G$1034,3,FALSE)</f>
        <v>10</v>
      </c>
      <c r="AX93" s="24"/>
      <c r="AY93" s="25">
        <f>AY4*Y84</f>
        <v>0</v>
      </c>
      <c r="AZ93" s="107">
        <f>VLOOKUP(AU93,CENY!$B$11:$M$2005,12,FALSE)</f>
        <v>243.93</v>
      </c>
      <c r="BA93" s="107">
        <f>IF(AZ93="","",AZ93*AY93)</f>
        <v>0</v>
      </c>
      <c r="BC93" s="22">
        <f>OBJ!B317</f>
        <v>9256876</v>
      </c>
      <c r="BD93" s="23" t="str">
        <f>VLOOKUP(BC93,CENY!$B$11:$G$1034,2,FALSE)</f>
        <v>QUADRO YOU PLNOVÝSUV 550 MM EB21 SILENT SYSTEM LEVÝ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194.36</v>
      </c>
      <c r="BI93" s="107">
        <f t="shared" si="6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5"/>
        <v/>
      </c>
      <c r="BC94" s="22">
        <f>OBJ!B318</f>
        <v>9256877</v>
      </c>
      <c r="BD94" s="23" t="str">
        <f>VLOOKUP(BC94,CENY!$B$11:$G$1034,2,FALSE)</f>
        <v>QUADRO YOU PLNOVÝSUV 550 MM EB21 SILENT SYSTEM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194.36</v>
      </c>
      <c r="BI94" s="107">
        <f t="shared" si="6"/>
        <v>0</v>
      </c>
    </row>
    <row r="95" spans="1:61" ht="14.4" customHeight="1">
      <c r="A95" s="633"/>
      <c r="AU95" s="22"/>
      <c r="AV95" s="23"/>
      <c r="AW95" s="24"/>
      <c r="AX95" s="24"/>
      <c r="AY95" s="25"/>
      <c r="AZ95" s="107"/>
      <c r="BA95" s="107" t="str">
        <f t="shared" si="5"/>
        <v/>
      </c>
      <c r="BC95" s="22">
        <f>OBJ!B319</f>
        <v>9256880</v>
      </c>
      <c r="BD95" s="23" t="str">
        <f>VLOOKUP(BC95,CENY!$B$11:$G$1034,2,FALSE)</f>
        <v>QUADRO YOU PLNOVÝSUV 600 MM EB21 SILENT SYSTEM LEVÝ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198.1</v>
      </c>
      <c r="BI95" s="107">
        <f t="shared" si="6"/>
        <v>0</v>
      </c>
    </row>
    <row r="96" spans="1:61" ht="14.4" customHeight="1">
      <c r="A96" s="633"/>
      <c r="AU96" s="22"/>
      <c r="AV96" s="23"/>
      <c r="AW96" s="24"/>
      <c r="AX96" s="24"/>
      <c r="AY96" s="25"/>
      <c r="AZ96" s="107"/>
      <c r="BA96" s="107" t="str">
        <f t="shared" si="5"/>
        <v/>
      </c>
      <c r="BC96" s="22">
        <f>OBJ!B320</f>
        <v>9256881</v>
      </c>
      <c r="BD96" s="23" t="str">
        <f>VLOOKUP(BC96,CENY!$B$11:$G$1034,2,FALSE)</f>
        <v>QUADRO YOU PLNOVÝSUV 600 MM EB21 SILENT SYSTEM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198.1</v>
      </c>
      <c r="BI96" s="107">
        <f t="shared" si="6"/>
        <v>0</v>
      </c>
    </row>
    <row r="97" spans="1:61" ht="14.4" customHeight="1">
      <c r="A97" s="633"/>
      <c r="AU97" s="22"/>
      <c r="AV97" s="23"/>
      <c r="AW97" s="24"/>
      <c r="AX97" s="24"/>
      <c r="AY97" s="25"/>
      <c r="AZ97" s="107"/>
      <c r="BA97" s="107" t="str">
        <f t="shared" si="5"/>
        <v/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6"/>
        <v>#N/A</v>
      </c>
    </row>
    <row r="98" spans="1:61" ht="14.4" customHeight="1">
      <c r="A98" s="633"/>
      <c r="AU98" s="22"/>
      <c r="AV98" s="23"/>
      <c r="AW98" s="24"/>
      <c r="AX98" s="24"/>
      <c r="AY98" s="25"/>
      <c r="AZ98" s="107"/>
      <c r="BA98" s="107" t="str">
        <f t="shared" si="5"/>
        <v/>
      </c>
      <c r="BC98" s="22">
        <f>OBJ!B322</f>
        <v>9257894</v>
      </c>
      <c r="BD98" s="23" t="str">
        <f>VLOOKUP(BC98,CENY!$B$11:$G$1034,2,FALSE)</f>
        <v>PUSH TO OPEN SILENT QUADRO YOU 10 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544.37</v>
      </c>
      <c r="BI98" s="107">
        <f t="shared" si="6"/>
        <v>0</v>
      </c>
    </row>
    <row r="99" spans="1:61" ht="14.4" customHeight="1">
      <c r="A99" s="633"/>
      <c r="AU99" s="22"/>
      <c r="AV99" s="23"/>
      <c r="AW99" s="24"/>
      <c r="AX99" s="24"/>
      <c r="AY99" s="25"/>
      <c r="AZ99" s="107"/>
      <c r="BA99" s="107" t="str">
        <f t="shared" si="5"/>
        <v/>
      </c>
      <c r="BC99" s="22">
        <f>OBJ!B323</f>
        <v>9257895</v>
      </c>
      <c r="BD99" s="23" t="str">
        <f>VLOOKUP(BC99,CENY!$B$11:$G$1034,2,FALSE)</f>
        <v>PUSH TO OPEN SILENT QUADRO YOU 20 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544.37</v>
      </c>
      <c r="BI99" s="107">
        <f t="shared" si="6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5"/>
        <v/>
      </c>
      <c r="BC100" s="22">
        <f>OBJ!B324</f>
        <v>9257896</v>
      </c>
      <c r="BD100" s="23" t="str">
        <f>VLOOKUP(BC100,CENY!$B$11:$G$1034,2,FALSE)</f>
        <v>PUSH TO OPEN SILENT QUADRO YOU 30 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544.37</v>
      </c>
      <c r="BI100" s="107">
        <f t="shared" si="6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6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vnitřních čel nyní pasuje s počtem zásuvek.</v>
      </c>
      <c r="BC102" s="22">
        <f>OBJ!B326</f>
        <v>9256928</v>
      </c>
      <c r="BD102" s="23" t="str">
        <f>VLOOKUP(BC102,CENY!$B$11:$G$1034,2,FALSE)</f>
        <v>QUADRO YOU PLNOVÝSUV 270 MM EB21 PUSH TO OPEN SADA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413.4</v>
      </c>
      <c r="BI102" s="107">
        <f t="shared" si="6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 PLNOVÝSUV 300 MM EB21 PUSH TO OPEN SADA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414.13</v>
      </c>
      <c r="BI103" s="107">
        <f t="shared" si="6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 PLNOVÝSUV 350 MM EB21 PUSH TO OPEN SADA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421.61</v>
      </c>
      <c r="BI104" s="107">
        <f t="shared" si="6"/>
        <v>0</v>
      </c>
    </row>
    <row r="105" spans="1:61">
      <c r="A105" s="633"/>
      <c r="BC105" s="22">
        <f>OBJ!B329</f>
        <v>9256933</v>
      </c>
      <c r="BD105" s="23" t="str">
        <f>VLOOKUP(BC105,CENY!$B$11:$G$1034,2,FALSE)</f>
        <v>QUADRO YOU PLNOVÝSUV 400 MM EB21 PUSH TO OPEN SADA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429.08</v>
      </c>
      <c r="BI105" s="107">
        <f t="shared" si="6"/>
        <v>0</v>
      </c>
    </row>
    <row r="106" spans="1:61">
      <c r="AU106" s="178">
        <f>SUM(O84:AF84)</f>
        <v>0</v>
      </c>
      <c r="BC106" s="22">
        <f>OBJ!B330</f>
        <v>9256935</v>
      </c>
      <c r="BD106" s="23" t="str">
        <f>VLOOKUP(BC106,CENY!$B$11:$G$1034,2,FALSE)</f>
        <v>QUADRO YOU PLNOVÝSUV 450 MM EB21 PUSH TO OPEN SADA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436.55</v>
      </c>
      <c r="BI106" s="107">
        <f t="shared" si="6"/>
        <v>0</v>
      </c>
    </row>
    <row r="107" spans="1:61">
      <c r="AU107" s="111">
        <f>AU106-AU104</f>
        <v>0</v>
      </c>
      <c r="BC107" s="22">
        <f>OBJ!B331</f>
        <v>9256937</v>
      </c>
      <c r="BD107" s="23" t="str">
        <f>VLOOKUP(BC107,CENY!$B$11:$G$1034,2,FALSE)</f>
        <v>QUADRO YOU PLNOVÝSUV 500 MM EB21 PUSH TO OPEN SADA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444.02</v>
      </c>
      <c r="BI107" s="107">
        <f t="shared" si="6"/>
        <v>0</v>
      </c>
    </row>
    <row r="108" spans="1:61">
      <c r="AU108" s="111">
        <f>AU104-AU106</f>
        <v>0</v>
      </c>
      <c r="BC108" s="22">
        <f>OBJ!B332</f>
        <v>9256939</v>
      </c>
      <c r="BD108" s="23" t="str">
        <f>VLOOKUP(BC108,CENY!$B$11:$G$1034,2,FALSE)</f>
        <v>QUADRO YOU PLNOVÝSUV 550 MM EB21 PUSH TO OPEN SADA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457.48</v>
      </c>
      <c r="BI108" s="107">
        <f t="shared" si="6"/>
        <v>0</v>
      </c>
    </row>
    <row r="109" spans="1:61">
      <c r="BC109" s="22">
        <f>OBJ!B333</f>
        <v>9256941</v>
      </c>
      <c r="BD109" s="23" t="str">
        <f>VLOOKUP(BC109,CENY!$B$11:$G$1034,2,FALSE)</f>
        <v>QUADRO YOU PLNOVÝSUV 600 MM EB21 PUSH TO OPEN SADA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464.95</v>
      </c>
      <c r="BI109" s="107">
        <f t="shared" si="6"/>
        <v>0</v>
      </c>
    </row>
    <row r="110" spans="1:61">
      <c r="BC110" s="22">
        <f>OBJ!B334</f>
        <v>9256899</v>
      </c>
      <c r="BD110" s="23" t="str">
        <f>VLOOKUP(BC110,CENY!$B$11:$G$1034,2,FALSE)</f>
        <v>QUADRO YOU PLNOVÝSUV 270 MM EB21 PUSH TO OPEN LEVÝ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194.74</v>
      </c>
      <c r="BI110" s="107">
        <f t="shared" si="6"/>
        <v>0</v>
      </c>
    </row>
    <row r="111" spans="1:61">
      <c r="BC111" s="22">
        <f>OBJ!B335</f>
        <v>9256900</v>
      </c>
      <c r="BD111" s="23" t="str">
        <f>VLOOKUP(BC111,CENY!$B$11:$G$1034,2,FALSE)</f>
        <v>QUADRO YOU PLNOVÝSUV 270 MM EB21 PUSH TO OPEN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194.74</v>
      </c>
      <c r="BI111" s="107">
        <f t="shared" si="6"/>
        <v>0</v>
      </c>
    </row>
    <row r="112" spans="1:61">
      <c r="BC112" s="22">
        <f>OBJ!B336</f>
        <v>9256901</v>
      </c>
      <c r="BD112" s="23" t="str">
        <f>VLOOKUP(BC112,CENY!$B$11:$G$1034,2,FALSE)</f>
        <v>QUADRO YOU PLNOVÝSUV 300 MM EB21 PUSH TO OPEN LEVÝ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195.11</v>
      </c>
      <c r="BI112" s="107">
        <f t="shared" si="6"/>
        <v>0</v>
      </c>
    </row>
    <row r="113" spans="55:61">
      <c r="BC113" s="22">
        <f>OBJ!B337</f>
        <v>9256902</v>
      </c>
      <c r="BD113" s="23" t="str">
        <f>VLOOKUP(BC113,CENY!$B$11:$G$1034,2,FALSE)</f>
        <v>QUADRO YOU PLNOVÝSUV 300 MM EB21 PUSH TO OPEN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195.11</v>
      </c>
      <c r="BI113" s="107">
        <f t="shared" si="6"/>
        <v>0</v>
      </c>
    </row>
    <row r="114" spans="55:61">
      <c r="BC114" s="22">
        <f>OBJ!B338</f>
        <v>9256905</v>
      </c>
      <c r="BD114" s="23" t="str">
        <f>VLOOKUP(BC114,CENY!$B$11:$G$1034,2,FALSE)</f>
        <v>QUADRO YOU PLNOVÝSUV 350 MM EB21 PUSH TO OPEN LEVÝ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198.85</v>
      </c>
      <c r="BI114" s="107">
        <f t="shared" si="6"/>
        <v>0</v>
      </c>
    </row>
    <row r="115" spans="55:61">
      <c r="BC115" s="22">
        <f>OBJ!B339</f>
        <v>9256906</v>
      </c>
      <c r="BD115" s="23" t="str">
        <f>VLOOKUP(BC115,CENY!$B$11:$G$1034,2,FALSE)</f>
        <v>QUADRO YOU PLNOVÝSUV 350 MM EB21 PUSH TO OPEN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198.85</v>
      </c>
      <c r="BI115" s="107">
        <f t="shared" si="6"/>
        <v>0</v>
      </c>
    </row>
    <row r="116" spans="55:61">
      <c r="BC116" s="22">
        <f>OBJ!B340</f>
        <v>9256909</v>
      </c>
      <c r="BD116" s="23" t="str">
        <f>VLOOKUP(BC116,CENY!$B$11:$G$1034,2,FALSE)</f>
        <v>QUADRO YOU PLNOVÝSUV 400 MM EB21 PUSH TO OPEN LEVÝ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202.58</v>
      </c>
      <c r="BI116" s="107">
        <f t="shared" si="6"/>
        <v>0</v>
      </c>
    </row>
    <row r="117" spans="55:61">
      <c r="BC117" s="22">
        <f>OBJ!B341</f>
        <v>9256910</v>
      </c>
      <c r="BD117" s="23" t="str">
        <f>VLOOKUP(BC117,CENY!$B$11:$G$1034,2,FALSE)</f>
        <v>QUADRO YOU PLNOVÝSUV 400 MM EB21 PUSH TO OPEN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202.58</v>
      </c>
      <c r="BI117" s="107">
        <f t="shared" si="6"/>
        <v>0</v>
      </c>
    </row>
    <row r="118" spans="55:61">
      <c r="BC118" s="22">
        <f>OBJ!B342</f>
        <v>9256913</v>
      </c>
      <c r="BD118" s="23" t="str">
        <f>VLOOKUP(BC118,CENY!$B$11:$G$1034,2,FALSE)</f>
        <v>QUADRO YOU PLNOVÝSUV 450 MM EB21 PUSH TO OPEN LEVÝ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206.32</v>
      </c>
      <c r="BI118" s="107">
        <f t="shared" si="6"/>
        <v>0</v>
      </c>
    </row>
    <row r="119" spans="55:61">
      <c r="BC119" s="22">
        <f>OBJ!B343</f>
        <v>9256914</v>
      </c>
      <c r="BD119" s="23" t="str">
        <f>VLOOKUP(BC119,CENY!$B$11:$G$1034,2,FALSE)</f>
        <v>QUADRO YOU PLNOVÝSUV 450 MM EB21 PUSH TO OPEN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206.32</v>
      </c>
      <c r="BI119" s="107">
        <f t="shared" si="6"/>
        <v>0</v>
      </c>
    </row>
    <row r="120" spans="55:61">
      <c r="BC120" s="22">
        <f>OBJ!B344</f>
        <v>9256917</v>
      </c>
      <c r="BD120" s="23" t="str">
        <f>VLOOKUP(BC120,CENY!$B$11:$G$1034,2,FALSE)</f>
        <v>QUADRO YOU PLNOVÝSUV 500 MM EB21 PUSH TO OPEN LEVÝ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210.06</v>
      </c>
      <c r="BI120" s="107">
        <f t="shared" si="6"/>
        <v>0</v>
      </c>
    </row>
    <row r="121" spans="55:61">
      <c r="BC121" s="22">
        <f>OBJ!B345</f>
        <v>9256918</v>
      </c>
      <c r="BD121" s="23" t="str">
        <f>VLOOKUP(BC121,CENY!$B$11:$G$1034,2,FALSE)</f>
        <v>QUADRO YOU PLNOVÝSUV 500 MM EB21 PUSH TO OPEN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210.06</v>
      </c>
      <c r="BI121" s="107">
        <f t="shared" si="6"/>
        <v>0</v>
      </c>
    </row>
    <row r="122" spans="55:61">
      <c r="BC122" s="22">
        <f>OBJ!B346</f>
        <v>9256921</v>
      </c>
      <c r="BD122" s="23" t="str">
        <f>VLOOKUP(BC122,CENY!$B$11:$G$1034,2,FALSE)</f>
        <v>QUADRO YOU PLNOVÝSUV 550 MM EB21 PUSH TO OPEN LEVÝ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216.78</v>
      </c>
      <c r="BI122" s="107">
        <f t="shared" si="6"/>
        <v>0</v>
      </c>
    </row>
    <row r="123" spans="55:61">
      <c r="BC123" s="22">
        <f>OBJ!B347</f>
        <v>9256922</v>
      </c>
      <c r="BD123" s="23" t="str">
        <f>VLOOKUP(BC123,CENY!$B$11:$G$1034,2,FALSE)</f>
        <v>QUADRO YOU PLNOVÝSUV 550 MM EB21 PUSH TO OPEN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216.78</v>
      </c>
      <c r="BI123" s="107">
        <f t="shared" si="6"/>
        <v>0</v>
      </c>
    </row>
    <row r="124" spans="55:61">
      <c r="BC124" s="22">
        <f>OBJ!B348</f>
        <v>9256925</v>
      </c>
      <c r="BD124" s="23" t="str">
        <f>VLOOKUP(BC124,CENY!$B$11:$G$1034,2,FALSE)</f>
        <v>QUADRO YOU PLNOVÝSUV 600 MM EB21 PUSH TO OPEN LEVÝ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223.51</v>
      </c>
      <c r="BI124" s="107">
        <f t="shared" si="6"/>
        <v>0</v>
      </c>
    </row>
    <row r="125" spans="55:61">
      <c r="BC125" s="22"/>
      <c r="BD125" s="23"/>
      <c r="BE125" s="24"/>
      <c r="BF125" s="24"/>
      <c r="BG125" s="25"/>
      <c r="BH125" s="107"/>
      <c r="BI125" s="107"/>
    </row>
    <row r="126" spans="55:61">
      <c r="BC126" s="22"/>
      <c r="BD126" s="23"/>
      <c r="BE126" s="24"/>
      <c r="BF126" s="24"/>
      <c r="BG126" s="25"/>
      <c r="BH126" s="107"/>
      <c r="BI126" s="107"/>
    </row>
    <row r="127" spans="55:61">
      <c r="BC127" s="22"/>
      <c r="BD127" s="23"/>
      <c r="BE127" s="24"/>
      <c r="BF127" s="24"/>
      <c r="BG127" s="25"/>
      <c r="BH127" s="107"/>
      <c r="BI127" s="107" t="str">
        <f t="shared" ref="BI127:BI134" si="7">IF(BH127="","",BH127*BG127)</f>
        <v/>
      </c>
    </row>
    <row r="128" spans="55:61">
      <c r="BC128" s="22"/>
      <c r="BD128" s="23"/>
      <c r="BE128" s="24"/>
      <c r="BF128" s="24"/>
      <c r="BG128" s="25"/>
      <c r="BH128" s="107"/>
      <c r="BI128" s="107" t="str">
        <f t="shared" si="7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7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7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7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7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7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7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27">
    <mergeCell ref="AA2:AE2"/>
    <mergeCell ref="AI2:AM2"/>
    <mergeCell ref="AO2:AR2"/>
    <mergeCell ref="B6:E6"/>
    <mergeCell ref="F6:K6"/>
    <mergeCell ref="AP6:AQ6"/>
    <mergeCell ref="B7:E7"/>
    <mergeCell ref="F7:K7"/>
    <mergeCell ref="B2:E2"/>
    <mergeCell ref="G2:K2"/>
    <mergeCell ref="O2:S2"/>
    <mergeCell ref="U2:Y2"/>
    <mergeCell ref="B8:E8"/>
    <mergeCell ref="F8:K8"/>
    <mergeCell ref="B9:E9"/>
    <mergeCell ref="F9:K9"/>
    <mergeCell ref="AP9:AQ9"/>
    <mergeCell ref="B10:E10"/>
    <mergeCell ref="F10:K10"/>
    <mergeCell ref="B11:E11"/>
    <mergeCell ref="F11:I11"/>
    <mergeCell ref="J11:K11"/>
    <mergeCell ref="B12:E12"/>
    <mergeCell ref="F12:I12"/>
    <mergeCell ref="J12:K12"/>
    <mergeCell ref="AP12:AQ12"/>
    <mergeCell ref="B13:E13"/>
    <mergeCell ref="F13:I13"/>
    <mergeCell ref="J13:K13"/>
    <mergeCell ref="AP15:AQ15"/>
    <mergeCell ref="O17:AB17"/>
    <mergeCell ref="AE17:AR17"/>
    <mergeCell ref="AI18:AJ18"/>
    <mergeCell ref="AK18:AL18"/>
    <mergeCell ref="AM18:AN18"/>
    <mergeCell ref="AO18:AP18"/>
    <mergeCell ref="AQ18:AR18"/>
    <mergeCell ref="B19:G19"/>
    <mergeCell ref="H19:L19"/>
    <mergeCell ref="M19:N19"/>
    <mergeCell ref="O19:P19"/>
    <mergeCell ref="Q19:R19"/>
    <mergeCell ref="S19:T19"/>
    <mergeCell ref="U19:V19"/>
    <mergeCell ref="W19:X19"/>
    <mergeCell ref="O18:P18"/>
    <mergeCell ref="Q18:R18"/>
    <mergeCell ref="S18:T18"/>
    <mergeCell ref="U18:V18"/>
    <mergeCell ref="W18:X18"/>
    <mergeCell ref="Y18:Z18"/>
    <mergeCell ref="AA18:AB18"/>
    <mergeCell ref="AE18:AF18"/>
    <mergeCell ref="AG18:AH18"/>
    <mergeCell ref="B20:G20"/>
    <mergeCell ref="H20:L20"/>
    <mergeCell ref="M20:N20"/>
    <mergeCell ref="O20:P20"/>
    <mergeCell ref="Q20:R20"/>
    <mergeCell ref="S20:T20"/>
    <mergeCell ref="AM19:AN19"/>
    <mergeCell ref="AO19:AP19"/>
    <mergeCell ref="AQ19:AR19"/>
    <mergeCell ref="AK19:AL19"/>
    <mergeCell ref="U20:V20"/>
    <mergeCell ref="Y19:Z19"/>
    <mergeCell ref="AA19:AB19"/>
    <mergeCell ref="AE19:AF19"/>
    <mergeCell ref="AG19:AH19"/>
    <mergeCell ref="AI19:AJ19"/>
    <mergeCell ref="W20:X20"/>
    <mergeCell ref="Y20:Z20"/>
    <mergeCell ref="AA20:AB20"/>
    <mergeCell ref="AI21:AJ21"/>
    <mergeCell ref="AK21:AL21"/>
    <mergeCell ref="AM21:AN21"/>
    <mergeCell ref="AQ20:AR20"/>
    <mergeCell ref="AK20:AL20"/>
    <mergeCell ref="AM20:AN20"/>
    <mergeCell ref="B21:G21"/>
    <mergeCell ref="H21:L21"/>
    <mergeCell ref="M21:N21"/>
    <mergeCell ref="O21:P21"/>
    <mergeCell ref="Q21:R21"/>
    <mergeCell ref="S21:T21"/>
    <mergeCell ref="AO20:AP20"/>
    <mergeCell ref="AE20:AF20"/>
    <mergeCell ref="AG20:AH20"/>
    <mergeCell ref="AI20:AJ20"/>
    <mergeCell ref="AO21:AP21"/>
    <mergeCell ref="AQ21:AR21"/>
    <mergeCell ref="U21:V21"/>
    <mergeCell ref="W21:X21"/>
    <mergeCell ref="Y21:Z21"/>
    <mergeCell ref="AA21:AB21"/>
    <mergeCell ref="AE21:AF21"/>
    <mergeCell ref="AG21:AH21"/>
    <mergeCell ref="O24:S25"/>
    <mergeCell ref="A66:A105"/>
    <mergeCell ref="B67:E67"/>
    <mergeCell ref="G67:K67"/>
    <mergeCell ref="O67:S67"/>
    <mergeCell ref="U67:Y67"/>
    <mergeCell ref="M84:N84"/>
    <mergeCell ref="O84:P84"/>
    <mergeCell ref="Q84:R84"/>
    <mergeCell ref="S84:T84"/>
    <mergeCell ref="U84:V84"/>
    <mergeCell ref="W84:X84"/>
    <mergeCell ref="AI67:AM67"/>
    <mergeCell ref="AO67:AR67"/>
    <mergeCell ref="O83:P83"/>
    <mergeCell ref="Q83:R83"/>
    <mergeCell ref="S83:T83"/>
    <mergeCell ref="U83:V83"/>
    <mergeCell ref="W83:X83"/>
    <mergeCell ref="Y83:Z83"/>
    <mergeCell ref="O82:AH82"/>
    <mergeCell ref="AA84:AB84"/>
    <mergeCell ref="AC84:AD84"/>
    <mergeCell ref="AE84:AF84"/>
    <mergeCell ref="AG83:AH83"/>
    <mergeCell ref="AA83:AB83"/>
    <mergeCell ref="AC83:AD83"/>
    <mergeCell ref="AE83:AF83"/>
    <mergeCell ref="Y84:Z84"/>
    <mergeCell ref="AA67:AE67"/>
  </mergeCells>
  <conditionalFormatting sqref="BG5:BG160 AY5:AY100">
    <cfRule type="cellIs" dxfId="20" priority="9" stopIfTrue="1" operator="equal">
      <formula>0</formula>
    </cfRule>
  </conditionalFormatting>
  <conditionalFormatting sqref="AR87">
    <cfRule type="expression" dxfId="19" priority="8" stopIfTrue="1">
      <formula>$AV$102=AR87</formula>
    </cfRule>
  </conditionalFormatting>
  <conditionalFormatting sqref="AY18:AY25">
    <cfRule type="cellIs" dxfId="18" priority="7" stopIfTrue="1" operator="equal">
      <formula>0</formula>
    </cfRule>
  </conditionalFormatting>
  <conditionalFormatting sqref="BG26:BG33">
    <cfRule type="cellIs" dxfId="17" priority="6" stopIfTrue="1" operator="equal">
      <formula>0</formula>
    </cfRule>
  </conditionalFormatting>
  <conditionalFormatting sqref="BG27:BG33">
    <cfRule type="cellIs" dxfId="16" priority="5" stopIfTrue="1" operator="equal">
      <formula>0</formula>
    </cfRule>
  </conditionalFormatting>
  <conditionalFormatting sqref="BG21">
    <cfRule type="cellIs" dxfId="15" priority="4" stopIfTrue="1" operator="equal">
      <formula>0</formula>
    </cfRule>
  </conditionalFormatting>
  <conditionalFormatting sqref="BG21">
    <cfRule type="cellIs" dxfId="14" priority="3" stopIfTrue="1" operator="equal">
      <formula>0</formula>
    </cfRule>
  </conditionalFormatting>
  <conditionalFormatting sqref="AY74">
    <cfRule type="cellIs" dxfId="13" priority="2" stopIfTrue="1" operator="equal">
      <formula>0</formula>
    </cfRule>
  </conditionalFormatting>
  <conditionalFormatting sqref="AY74">
    <cfRule type="cellIs" dxfId="12" priority="1" stopIfTrue="1" operator="equal">
      <formula>0</formula>
    </cfRule>
  </conditionalFormatting>
  <hyperlinks>
    <hyperlink ref="O2:S2" location="MENU!A5" display="MENU!A5"/>
    <hyperlink ref="M69" location="MENU!A1" display="MENU!A1"/>
    <hyperlink ref="B67:E67" location="'potr-v-DS'!A1" display="'potr-v-DS'!A1"/>
    <hyperlink ref="O24:S25" location="'potr-v-DS'!A66" display="'potr-v-DS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rgb="FF92D050"/>
  </sheetPr>
  <dimension ref="A1:BI160"/>
  <sheetViews>
    <sheetView showGridLines="0" showRowColHeaders="0" zoomScaleNormal="100" workbookViewId="0">
      <selection activeCell="F12" sqref="F12:I12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/>
    </row>
    <row r="2" spans="1:61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257" t="s">
        <v>239</v>
      </c>
      <c r="AY2" s="256">
        <f>AP9</f>
        <v>2</v>
      </c>
    </row>
    <row r="3" spans="1:61" ht="12.9" customHeight="1">
      <c r="AV3" s="255"/>
      <c r="AW3" s="257" t="s">
        <v>240</v>
      </c>
      <c r="AY3" s="256"/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AP15</f>
        <v>2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>
      <c r="AU5" s="22">
        <f>OBJ!B25</f>
        <v>9255242</v>
      </c>
      <c r="AV5" s="23" t="str">
        <f>VLOOKUP(AU5,CENY!$B$11:$G$1034,2,FALSE)</f>
        <v>AVANTECH YOU BOKY V SADĚ V77 MM NL500 MM STŘÍBRNÁ</v>
      </c>
      <c r="AW5" s="24">
        <f>VLOOKUP(AU5,CENY!$B$11:$G$1034,3,FALSE)</f>
        <v>1</v>
      </c>
      <c r="AX5" s="24"/>
      <c r="AY5" s="77"/>
      <c r="AZ5" s="107">
        <f>VLOOKUP(AU5,CENY!$B$11:$M$2005,12,FALSE)</f>
        <v>576.28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AVANTECH YOU BOK V101 MM NL550 MM STŘÍBRNÝ LEVÝ</v>
      </c>
      <c r="BE5" s="24">
        <f>VLOOKUP(BC5,CENY!$B$11:$G$1034,3,FALSE)</f>
        <v>20</v>
      </c>
      <c r="BF5" s="24"/>
      <c r="BG5" s="77"/>
      <c r="BH5" s="107">
        <f>VLOOKUP(BC5,CENY!$B$11:$M$2005,12,FALSE)</f>
        <v>196.37</v>
      </c>
      <c r="BI5" s="107">
        <f t="shared" ref="BI5:BI91" si="1">IF(BH5="","",BH5*BG5)</f>
        <v>0</v>
      </c>
    </row>
    <row r="6" spans="1:61" ht="14.4" customHeight="1">
      <c r="B6" s="553" t="str">
        <f>" "&amp;verze!E90</f>
        <v xml:space="preserve"> bočnice: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/>
      <c r="AU6" s="22">
        <f>OBJ!B26</f>
        <v>9255243</v>
      </c>
      <c r="AV6" s="23" t="str">
        <f>VLOOKUP(AU6,CENY!$B$11:$G$1034,2,FALSE)</f>
        <v>AVANTECH YOU BOKY V SADĚ V77 MM NL550 MM STŘÍBRNÁ</v>
      </c>
      <c r="AW6" s="24">
        <f>VLOOKUP(AU6,CENY!$B$11:$G$1034,3,FALSE)</f>
        <v>1</v>
      </c>
      <c r="AX6" s="24"/>
      <c r="AY6" s="77"/>
      <c r="AZ6" s="107">
        <f>VLOOKUP(AU6,CENY!$B$11:$M$2005,12,FALSE)</f>
        <v>583.24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AVANTECH YOU BOK V101 MM NL550 MM STŘÍBRNÝ PRAVÝ</v>
      </c>
      <c r="BE6" s="24">
        <f>VLOOKUP(BC6,CENY!$B$11:$G$1034,3,FALSE)</f>
        <v>20</v>
      </c>
      <c r="BF6" s="24"/>
      <c r="BG6" s="77"/>
      <c r="BH6" s="107">
        <f>VLOOKUP(BC6,CENY!$B$11:$M$2005,12,FALSE)</f>
        <v>196.37</v>
      </c>
      <c r="BI6" s="107">
        <f t="shared" si="1"/>
        <v>0</v>
      </c>
    </row>
    <row r="7" spans="1:61" ht="14.4" customHeight="1">
      <c r="B7" s="553" t="str">
        <f>" "&amp;verze!E91</f>
        <v xml:space="preserve"> záda: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SPOJOVACI ÚHELNÍK 31X31 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5.96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AVANTECH YOU BOK V101 MM NL600 MM STŘÍBRNÝ LEVÝ</v>
      </c>
      <c r="BE7" s="24">
        <f>VLOOKUP(BC7,CENY!$B$11:$G$1034,3,FALSE)</f>
        <v>20</v>
      </c>
      <c r="BF7" s="24"/>
      <c r="BG7" s="77"/>
      <c r="BH7" s="107">
        <f>VLOOKUP(BC7,CENY!$B$11:$M$2005,12,FALSE)</f>
        <v>201.36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barva:</v>
      </c>
      <c r="C8" s="553"/>
      <c r="D8" s="553"/>
      <c r="E8" s="553"/>
      <c r="F8" s="554" t="str">
        <f>" "&amp;FORM!U8</f>
        <v xml:space="preserve"> stříbrná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AVANTECH YOU BOK V101 MM NL600 MM STŘÍBRNÝ PRAVÝ</v>
      </c>
      <c r="BE8" s="24">
        <f>VLOOKUP(BC8,CENY!$B$11:$G$1034,3,FALSE)</f>
        <v>20</v>
      </c>
      <c r="BF8" s="24"/>
      <c r="BG8" s="77"/>
      <c r="BH8" s="107">
        <f>VLOOKUP(BC8,CENY!$B$11:$M$2005,12,FALSE)</f>
        <v>201.36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2</v>
      </c>
      <c r="AQ9" s="603"/>
      <c r="AU9" s="22">
        <f>OBJ!B29</f>
        <v>9255000</v>
      </c>
      <c r="AV9" s="23" t="str">
        <f>VLOOKUP(AU9,CENY!$B$11:$G$1034,2,FALSE)</f>
        <v>AVANTECH YOU BOK V77 MM NL400 MM STŘÍBRNÝ LEVÝ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186.44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AVANTECH YOU BOK V101 MM NL650 MM STŘÍBRNÝ LEVÝ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208.15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čelní kování:</v>
      </c>
      <c r="C10" s="553"/>
      <c r="D10" s="553"/>
      <c r="E10" s="553"/>
      <c r="F10" s="554" t="str">
        <f>" "&amp;FORM!AM8</f>
        <v xml:space="preserve"> na vruty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AVANTECH YOU BOK V77 MM NL400 MM STŘÍBRNÝ PRAVÝ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186.44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AVANTECH YOU BOK V101 MM NL650 MM STŘÍBRNÝ PRAVÝ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208.15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kování: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CZK</v>
      </c>
      <c r="K11" s="609"/>
      <c r="AU11" s="22">
        <f>OBJ!B31</f>
        <v>9255002</v>
      </c>
      <c r="AV11" s="23" t="str">
        <f>VLOOKUP(AU11,CENY!$B$11:$G$1034,2,FALSE)</f>
        <v>AVANTECH YOU BOK V77 MM NL450 MM STŘÍBRNÝ LEVÝ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189.75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CZK</v>
      </c>
      <c r="K12" s="605"/>
      <c r="AO12" s="287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AVANTECH YOU DEKORATIVNÍ PROFIL NL270 MM STŘÍBRNÝ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9.18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>
        <f>SUM(BA77:BA100)</f>
        <v>0</v>
      </c>
      <c r="G13" s="606"/>
      <c r="H13" s="606"/>
      <c r="I13" s="606"/>
      <c r="J13" s="607" t="str">
        <f>IF(verze!E1="CZK","CZK","EUR")</f>
        <v>CZK</v>
      </c>
      <c r="K13" s="607"/>
      <c r="AU13" s="22">
        <f>OBJ!B34</f>
        <v>9255005</v>
      </c>
      <c r="AV13" s="23" t="str">
        <f>VLOOKUP(AU13,CENY!$B$11:$G$1034,2,FALSE)</f>
        <v>AVANTECH YOU BOK V77 MM NL500 MM STŘÍBRNÝ PRAVÝ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193.06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AVANTECH YOU DEKORATIVNÍ PROFIL NL300 MM STŘÍBRNÝ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9.2799999999999994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AVANTECH YOU BOK V77 MM NL550 MM STŘÍBRNÝ LEVÝ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196.37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AVANTECH YOU DEKORATIVNÍ PROFIL NL350 MM STŘÍBRNÝ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9.4499999999999993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AVANTECH YOU DEKORATIVNÍ PROFIL NL400 MM STŘÍBRNÝ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9.6199999999999992</v>
      </c>
      <c r="BI15" s="107">
        <f t="shared" si="1"/>
        <v>0</v>
      </c>
    </row>
    <row r="16" spans="1:61" ht="14.4" customHeight="1">
      <c r="AU16" s="22"/>
      <c r="AV16" s="23"/>
      <c r="AW16" s="24"/>
      <c r="AX16" s="24"/>
      <c r="AY16" s="25"/>
      <c r="AZ16" s="107"/>
      <c r="BA16" s="107" t="str">
        <f>IF(AZ16="","",AZ16*AY16)</f>
        <v/>
      </c>
      <c r="BC16" s="22">
        <f>OBJ!B75</f>
        <v>9255808</v>
      </c>
      <c r="BD16" s="23" t="str">
        <f>VLOOKUP(BC16,CENY!$B$11:$G$1034,2,FALSE)</f>
        <v>AVANTECH YOU DEKORATIVNÍ PROFIL NL450 MM STŘÍBRNÝ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9.8000000000000007</v>
      </c>
      <c r="BI16" s="107">
        <f t="shared" si="1"/>
        <v>0</v>
      </c>
    </row>
    <row r="17" spans="2:61" ht="14.4" customHeight="1" thickBot="1">
      <c r="B17" s="1" t="str">
        <f>verze!E23</f>
        <v>SILENT SYSTEM - s tlumením</v>
      </c>
      <c r="O17" s="577" t="str">
        <f>verze!$E$26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velkobalení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/>
      <c r="AV17" s="23"/>
      <c r="AW17" s="24"/>
      <c r="AX17" s="24"/>
      <c r="AY17" s="25"/>
      <c r="AZ17" s="107"/>
      <c r="BA17" s="107" t="str">
        <f>IF(AZ17="","",AZ17*AY17)</f>
        <v/>
      </c>
      <c r="BC17" s="22">
        <f>OBJ!B76</f>
        <v>9255809</v>
      </c>
      <c r="BD17" s="23" t="str">
        <f>VLOOKUP(BC17,CENY!$B$11:$G$1034,2,FALSE)</f>
        <v>AVANTECH YOU DEKORATIVNÍ PROFIL NL500 MM STŘÍBRNÝ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9.9700000000000006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163" t="e">
        <f>OBJ!#REF!</f>
        <v>#REF!</v>
      </c>
      <c r="AV18" s="164" t="e">
        <f>VLOOKUP(AU18,CENY!$B$11:$G$1034,2,FALSE)</f>
        <v>#REF!</v>
      </c>
      <c r="AW18" s="24" t="e">
        <f>VLOOKUP(AU18,CENY!$B$11:$G$1034,3,FALSE)</f>
        <v>#REF!</v>
      </c>
      <c r="AX18" s="24"/>
      <c r="AY18" s="77">
        <f>0*(SUM(O19:Z20)+SUM(Q21:AB21)+SUM(O26:Z26)+SUM(Q27:AB27))</f>
        <v>0</v>
      </c>
      <c r="AZ18" s="107" t="e">
        <f>VLOOKUP(AU18,CENY!$B$11:$M$2005,12,FALSE)</f>
        <v>#REF!</v>
      </c>
      <c r="BA18" s="107" t="e">
        <f t="shared" si="0"/>
        <v>#REF!</v>
      </c>
      <c r="BC18" s="22">
        <f>OBJ!B77</f>
        <v>9255810</v>
      </c>
      <c r="BD18" s="23" t="str">
        <f>VLOOKUP(BC18,CENY!$B$11:$G$1034,2,FALSE)</f>
        <v>AVANTECH YOU DEKORATIVNÍ PROFIL NL550 MM STŘÍBRNÝ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10.14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částečný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163">
        <f>OBJ!B153</f>
        <v>9255074</v>
      </c>
      <c r="AV19" s="164" t="str">
        <f>VLOOKUP(AU19,CENY!$B$11:$G$1034,2,FALSE)</f>
        <v>AVANTECH YOU BOK V251 MM NL550 MM STŘÍBRNÝ LEVÝ</v>
      </c>
      <c r="AW19" s="24">
        <f>VLOOKUP(AU19,CENY!$B$11:$G$1034,3,FALSE)</f>
        <v>10</v>
      </c>
      <c r="AX19" s="24"/>
      <c r="AY19" s="77"/>
      <c r="AZ19" s="107">
        <f>VLOOKUP(AU19,CENY!$B$11:$M$2005,12,FALSE)</f>
        <v>510.86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163">
        <f>OBJ!B154</f>
        <v>9255075</v>
      </c>
      <c r="AV20" s="164" t="str">
        <f>VLOOKUP(AU20,CENY!$B$11:$G$1034,2,FALSE)</f>
        <v>AVANTECH YOU BOK V251 MM NL550 MM STŘÍBRNÝ PRAVÝ</v>
      </c>
      <c r="AW20" s="24">
        <f>VLOOKUP(AU20,CENY!$B$11:$G$1034,3,FALSE)</f>
        <v>10</v>
      </c>
      <c r="AX20" s="24"/>
      <c r="AY20" s="77"/>
      <c r="AZ20" s="107">
        <f>VLOOKUP(AU20,CENY!$B$11:$M$2005,12,FALSE)</f>
        <v>510.86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163">
        <f>OBJ!B155</f>
        <v>9255076</v>
      </c>
      <c r="AV21" s="164" t="str">
        <f>VLOOKUP(AU21,CENY!$B$11:$G$1034,2,FALSE)</f>
        <v>AVANTECH YOU BOK V251 MM NL600 MM STŘÍBRNÝ LEVÝ</v>
      </c>
      <c r="AW21" s="24">
        <f>VLOOKUP(AU21,CENY!$B$11:$G$1034,3,FALSE)</f>
        <v>10</v>
      </c>
      <c r="AX21" s="24"/>
      <c r="AY21" s="25">
        <f>(AY3+AY4)*(S19+S20+S21+S26+S27)</f>
        <v>0</v>
      </c>
      <c r="AZ21" s="107">
        <f>VLOOKUP(AU21,CENY!$B$11:$M$2005,12,FALSE)</f>
        <v>523.85</v>
      </c>
      <c r="BA21" s="107">
        <f t="shared" si="0"/>
        <v>0</v>
      </c>
      <c r="BC21" s="22">
        <f>OBJ!B89</f>
        <v>9255028</v>
      </c>
      <c r="BD21" s="23" t="str">
        <f>VLOOKUP(BC21,CENY!$B$11:$G$1034,2,FALSE)</f>
        <v>AVANTECH YOU BOK V139 MM NL300 MM STŘÍBRNÝ LEVÝ</v>
      </c>
      <c r="BE21" s="24">
        <f>VLOOKUP(BC21,CENY!$B$11:$G$1034,3,FALSE)</f>
        <v>20</v>
      </c>
      <c r="BF21" s="24"/>
      <c r="BG21" s="25">
        <f>((2*AY3)*(SUM(AE19:AP20)+SUM(AG21:AR21)+SUM(AE26:AP26)+SUM(AG27:AR27)))</f>
        <v>0</v>
      </c>
      <c r="BH21" s="107">
        <f>VLOOKUP(BC21,CENY!$B$11:$M$2005,12,FALSE)</f>
        <v>229.12</v>
      </c>
      <c r="BI21" s="107">
        <f t="shared" si="1"/>
        <v>0</v>
      </c>
    </row>
    <row r="22" spans="2:61" ht="14.4" customHeight="1">
      <c r="O22" s="4"/>
      <c r="P22" s="4"/>
      <c r="AU22" s="163">
        <f>OBJ!B156</f>
        <v>9255077</v>
      </c>
      <c r="AV22" s="164" t="str">
        <f>VLOOKUP(AU22,CENY!$B$11:$G$1034,2,FALSE)</f>
        <v>AVANTECH YOU BOK V251 MM NL600 MM STŘÍBRNÝ PRAVÝ</v>
      </c>
      <c r="AW22" s="24">
        <f>VLOOKUP(AU22,CENY!$B$11:$G$1034,3,FALSE)</f>
        <v>10</v>
      </c>
      <c r="AX22" s="24"/>
      <c r="AY22" s="25">
        <f>(AY3+AY4)*(U19+U20+U21+U26+U27)</f>
        <v>0</v>
      </c>
      <c r="AZ22" s="107">
        <f>VLOOKUP(AU22,CENY!$B$11:$M$2005,12,FALSE)</f>
        <v>523.85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AVANTECH YOU BOK V139 MM NL350 MM STŘÍBRNÝ LEVÝ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233.33</v>
      </c>
      <c r="BI22" s="107">
        <f t="shared" si="1"/>
        <v>0</v>
      </c>
    </row>
    <row r="23" spans="2:61" ht="14.4" customHeight="1">
      <c r="AU23" s="163">
        <f>OBJ!B157</f>
        <v>9255078</v>
      </c>
      <c r="AV23" s="164" t="str">
        <f>VLOOKUP(AU23,CENY!$B$11:$G$1034,2,FALSE)</f>
        <v>AVANTECH YOU BOK V251 MM NL650 MM STŘÍBRNÝ LEVÝ</v>
      </c>
      <c r="AW23" s="24">
        <f>VLOOKUP(AU23,CENY!$B$11:$G$1034,3,FALSE)</f>
        <v>10</v>
      </c>
      <c r="AX23" s="24"/>
      <c r="AY23" s="25">
        <f>(AY3+AY4)*(W19+W20+W21+W26+W27)</f>
        <v>0</v>
      </c>
      <c r="AZ23" s="107">
        <f>VLOOKUP(AU23,CENY!$B$11:$M$2005,12,FALSE)</f>
        <v>541.51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 thickBot="1">
      <c r="B24" s="2" t="str">
        <f>verze!E24</f>
        <v>PUSH-TO-OPEN - bez úchytkové</v>
      </c>
      <c r="O24" s="577" t="str">
        <f>verze!$E$26</f>
        <v>flexibilní sety</v>
      </c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E24" s="610" t="str">
        <f>verze!$E$27</f>
        <v>velkobalení</v>
      </c>
      <c r="AF24" s="611"/>
      <c r="AG24" s="611"/>
      <c r="AH24" s="611"/>
      <c r="AI24" s="611"/>
      <c r="AJ24" s="611"/>
      <c r="AK24" s="611"/>
      <c r="AL24" s="611"/>
      <c r="AM24" s="611"/>
      <c r="AN24" s="611"/>
      <c r="AO24" s="611"/>
      <c r="AP24" s="611"/>
      <c r="AQ24" s="611"/>
      <c r="AR24" s="611"/>
      <c r="AU24" s="163">
        <f>OBJ!B158</f>
        <v>9255079</v>
      </c>
      <c r="AV24" s="164" t="str">
        <f>VLOOKUP(AU24,CENY!$B$11:$G$1034,2,FALSE)</f>
        <v>AVANTECH YOU BOK V251 MM NL650 MM STŘÍBRNÝ PRAVÝ</v>
      </c>
      <c r="AW24" s="24">
        <f>VLOOKUP(AU24,CENY!$B$11:$G$1034,3,FALSE)</f>
        <v>10</v>
      </c>
      <c r="AX24" s="24"/>
      <c r="AY24" s="25">
        <f>(AY3+AY4)*(Y19+Y20+Y21+Y26+Y27)</f>
        <v>0</v>
      </c>
      <c r="AZ24" s="107">
        <f>VLOOKUP(AU24,CENY!$B$11:$M$2005,12,FALSE)</f>
        <v>541.51</v>
      </c>
      <c r="BA24" s="107">
        <f t="shared" si="0"/>
        <v>0</v>
      </c>
      <c r="BC24" s="22"/>
      <c r="BD24" s="23"/>
      <c r="BE24" s="24"/>
      <c r="BF24" s="24"/>
      <c r="BG24" s="25"/>
      <c r="BH24" s="107"/>
      <c r="BI24" s="107" t="str">
        <f t="shared" si="1"/>
        <v/>
      </c>
    </row>
    <row r="25" spans="2:61" ht="14.4" customHeight="1" thickBot="1">
      <c r="B25" s="109"/>
      <c r="C25" s="109"/>
      <c r="D25" s="109"/>
      <c r="E25" s="109"/>
      <c r="F25" s="109"/>
      <c r="G25" s="109"/>
      <c r="H25" s="81"/>
      <c r="I25" s="81"/>
      <c r="J25" s="81"/>
      <c r="K25" s="81"/>
      <c r="L25" s="81"/>
      <c r="M25" s="81"/>
      <c r="N25" s="81" t="str">
        <f>verze!$E$20&amp;" "</f>
        <v xml:space="preserve">Jmenovitá délka: </v>
      </c>
      <c r="O25" s="569">
        <v>260</v>
      </c>
      <c r="P25" s="570"/>
      <c r="Q25" s="569">
        <v>300</v>
      </c>
      <c r="R25" s="570"/>
      <c r="S25" s="569">
        <v>350</v>
      </c>
      <c r="T25" s="570"/>
      <c r="U25" s="569">
        <v>420</v>
      </c>
      <c r="V25" s="570"/>
      <c r="W25" s="581">
        <v>470</v>
      </c>
      <c r="X25" s="582"/>
      <c r="Y25" s="569">
        <v>520</v>
      </c>
      <c r="Z25" s="570"/>
      <c r="AA25" s="569">
        <v>620</v>
      </c>
      <c r="AB25" s="570"/>
      <c r="AC25" s="105"/>
      <c r="AD25" s="105"/>
      <c r="AE25" s="569">
        <v>260</v>
      </c>
      <c r="AF25" s="570"/>
      <c r="AG25" s="569">
        <v>300</v>
      </c>
      <c r="AH25" s="570"/>
      <c r="AI25" s="569">
        <v>350</v>
      </c>
      <c r="AJ25" s="570"/>
      <c r="AK25" s="569">
        <v>420</v>
      </c>
      <c r="AL25" s="570"/>
      <c r="AM25" s="581">
        <v>470</v>
      </c>
      <c r="AN25" s="582"/>
      <c r="AO25" s="569">
        <v>520</v>
      </c>
      <c r="AP25" s="570"/>
      <c r="AQ25" s="569">
        <v>620</v>
      </c>
      <c r="AR25" s="570"/>
      <c r="AU25" s="163">
        <f>OBJ!B159</f>
        <v>9257887</v>
      </c>
      <c r="AV25" s="164" t="str">
        <f>VLOOKUP(AU25,CENY!$B$11:$G$1034,2,FALSE)</f>
        <v>AVANTECH YOU STABILIZÁTOR ČELA V251 MM K NAŠROUBOVÁNÍ</v>
      </c>
      <c r="AW25" s="24">
        <f>VLOOKUP(AU25,CENY!$B$11:$G$1034,3,FALSE)</f>
        <v>200</v>
      </c>
      <c r="AX25" s="24"/>
      <c r="AY25" s="25">
        <f>(AY3+AY4)*(AA21+AA27)</f>
        <v>0</v>
      </c>
      <c r="AZ25" s="107">
        <f>VLOOKUP(AU25,CENY!$B$11:$M$2005,12,FALSE)</f>
        <v>8.86</v>
      </c>
      <c r="BA25" s="107">
        <f t="shared" si="0"/>
        <v>0</v>
      </c>
      <c r="BC25" s="22"/>
      <c r="BD25" s="23"/>
      <c r="BE25" s="24"/>
      <c r="BF25" s="24"/>
      <c r="BG25" s="25"/>
      <c r="BH25" s="107"/>
      <c r="BI25" s="107" t="str">
        <f t="shared" si="1"/>
        <v/>
      </c>
    </row>
    <row r="26" spans="2:61" ht="14.4" customHeight="1" thickBot="1">
      <c r="B26" s="591" t="s">
        <v>113</v>
      </c>
      <c r="C26" s="591"/>
      <c r="D26" s="591"/>
      <c r="E26" s="591"/>
      <c r="F26" s="591"/>
      <c r="G26" s="591"/>
      <c r="H26" s="642" t="str">
        <f>verze!E18</f>
        <v>plnovýsuv</v>
      </c>
      <c r="I26" s="642"/>
      <c r="J26" s="642"/>
      <c r="K26" s="642"/>
      <c r="L26" s="642"/>
      <c r="M26" s="574" t="s">
        <v>1</v>
      </c>
      <c r="N26" s="575"/>
      <c r="O26" s="619"/>
      <c r="P26" s="620"/>
      <c r="Q26" s="619"/>
      <c r="R26" s="620"/>
      <c r="S26" s="617"/>
      <c r="T26" s="618"/>
      <c r="U26" s="617"/>
      <c r="V26" s="618"/>
      <c r="W26" s="617"/>
      <c r="X26" s="618"/>
      <c r="Y26" s="617"/>
      <c r="Z26" s="618"/>
      <c r="AA26" s="615"/>
      <c r="AB26" s="616"/>
      <c r="AE26" s="619"/>
      <c r="AF26" s="620"/>
      <c r="AG26" s="619"/>
      <c r="AH26" s="620"/>
      <c r="AI26" s="613"/>
      <c r="AJ26" s="614"/>
      <c r="AK26" s="613"/>
      <c r="AL26" s="614"/>
      <c r="AM26" s="613"/>
      <c r="AN26" s="614"/>
      <c r="AO26" s="613"/>
      <c r="AP26" s="614"/>
      <c r="AQ26" s="615"/>
      <c r="AR26" s="616"/>
      <c r="AU26" s="22"/>
      <c r="AV26" s="23"/>
      <c r="AW26" s="24"/>
      <c r="AX26" s="24"/>
      <c r="AY26" s="25"/>
      <c r="AZ26" s="107"/>
      <c r="BA26" s="107" t="str">
        <f>IF(AZ26="","",AZ26*AY26)</f>
        <v/>
      </c>
      <c r="BC26" s="163" t="e">
        <f>OBJ!#REF!</f>
        <v>#REF!</v>
      </c>
      <c r="BD26" s="164" t="e">
        <f>VLOOKUP(BC26,CENY!$B$11:$G$1034,2,FALSE)</f>
        <v>#REF!</v>
      </c>
      <c r="BE26" s="24" t="e">
        <f>VLOOKUP(BC26,CENY!$B$11:$G$1034,3,FALSE)</f>
        <v>#REF!</v>
      </c>
      <c r="BF26" s="24"/>
      <c r="BG26" s="77">
        <f>0*(SUM(AE19:AP20)+SUM(AG21:AR21)+SUM(AE26:AP26)+SUM(AG27:AR27))</f>
        <v>0</v>
      </c>
      <c r="BH26" s="107" t="e">
        <f>VLOOKUP(BC26,CENY!$B$11:$M$2005,12,FALSE)</f>
        <v>#REF!</v>
      </c>
      <c r="BI26" s="107" t="e">
        <f t="shared" si="1"/>
        <v>#REF!</v>
      </c>
    </row>
    <row r="27" spans="2:61" ht="14.4" customHeight="1" thickBot="1">
      <c r="B27" s="583" t="s">
        <v>114</v>
      </c>
      <c r="C27" s="583"/>
      <c r="D27" s="583"/>
      <c r="E27" s="583"/>
      <c r="F27" s="583"/>
      <c r="G27" s="583"/>
      <c r="H27" s="584" t="str">
        <f>verze!E18</f>
        <v>plnovýsuv</v>
      </c>
      <c r="I27" s="584"/>
      <c r="J27" s="584"/>
      <c r="K27" s="584"/>
      <c r="L27" s="623"/>
      <c r="M27" s="624" t="s">
        <v>2</v>
      </c>
      <c r="N27" s="586"/>
      <c r="O27" s="587"/>
      <c r="P27" s="588"/>
      <c r="Q27" s="587"/>
      <c r="R27" s="588"/>
      <c r="S27" s="589"/>
      <c r="T27" s="590"/>
      <c r="U27" s="589"/>
      <c r="V27" s="590"/>
      <c r="W27" s="589"/>
      <c r="X27" s="590"/>
      <c r="Y27" s="589"/>
      <c r="Z27" s="590"/>
      <c r="AA27" s="589"/>
      <c r="AB27" s="590"/>
      <c r="AE27" s="587"/>
      <c r="AF27" s="588"/>
      <c r="AG27" s="587"/>
      <c r="AH27" s="588"/>
      <c r="AI27" s="631"/>
      <c r="AJ27" s="632"/>
      <c r="AK27" s="631"/>
      <c r="AL27" s="632"/>
      <c r="AM27" s="631"/>
      <c r="AN27" s="632"/>
      <c r="AO27" s="631"/>
      <c r="AP27" s="632"/>
      <c r="AQ27" s="631"/>
      <c r="AR27" s="632"/>
      <c r="AU27" s="22"/>
      <c r="AV27" s="23"/>
      <c r="AW27" s="24"/>
      <c r="AX27" s="24"/>
      <c r="AY27" s="25"/>
      <c r="AZ27" s="107"/>
      <c r="BA27" s="107" t="str">
        <f t="shared" si="0"/>
        <v/>
      </c>
      <c r="BC27" s="163">
        <f>OBJ!B153</f>
        <v>9255074</v>
      </c>
      <c r="BD27" s="164" t="str">
        <f>VLOOKUP(BC27,CENY!$B$11:$G$1034,2,FALSE)</f>
        <v>AVANTECH YOU BOK V251 MM NL550 MM STŘÍBRNÝ LEVÝ</v>
      </c>
      <c r="BE27" s="24">
        <f>VLOOKUP(BC27,CENY!$B$11:$G$1034,3,FALSE)</f>
        <v>10</v>
      </c>
      <c r="BF27" s="24"/>
      <c r="BG27" s="77"/>
      <c r="BH27" s="107">
        <f>VLOOKUP(BC27,CENY!$B$11:$M$2005,12,FALSE)</f>
        <v>510.86</v>
      </c>
      <c r="BI27" s="107">
        <f t="shared" si="1"/>
        <v>0</v>
      </c>
    </row>
    <row r="28" spans="2:61" ht="14.4" customHeight="1">
      <c r="AU28" s="22"/>
      <c r="AV28" s="23"/>
      <c r="AW28" s="24"/>
      <c r="AX28" s="24"/>
      <c r="AY28" s="25"/>
      <c r="AZ28" s="107"/>
      <c r="BA28" s="107" t="str">
        <f t="shared" si="0"/>
        <v/>
      </c>
      <c r="BC28" s="163">
        <f>OBJ!B154</f>
        <v>9255075</v>
      </c>
      <c r="BD28" s="164" t="str">
        <f>VLOOKUP(BC28,CENY!$B$11:$G$1034,2,FALSE)</f>
        <v>AVANTECH YOU BOK V251 MM NL550 MM STŘÍBRNÝ PRAVÝ</v>
      </c>
      <c r="BE28" s="24">
        <f>VLOOKUP(BC28,CENY!$B$11:$G$1034,3,FALSE)</f>
        <v>10</v>
      </c>
      <c r="BF28" s="24"/>
      <c r="BG28" s="77"/>
      <c r="BH28" s="107">
        <f>VLOOKUP(BC28,CENY!$B$11:$M$2005,12,FALSE)</f>
        <v>510.86</v>
      </c>
      <c r="BI28" s="107">
        <f t="shared" si="1"/>
        <v>0</v>
      </c>
    </row>
    <row r="29" spans="2:61" ht="14.4" customHeight="1" thickBot="1">
      <c r="AU29" s="22"/>
      <c r="AV29" s="23"/>
      <c r="AW29" s="24"/>
      <c r="AX29" s="24"/>
      <c r="AY29" s="25"/>
      <c r="AZ29" s="107"/>
      <c r="BA29" s="107" t="str">
        <f t="shared" si="0"/>
        <v/>
      </c>
      <c r="BC29" s="163">
        <f>OBJ!B155</f>
        <v>9255076</v>
      </c>
      <c r="BD29" s="164" t="str">
        <f>VLOOKUP(BC29,CENY!$B$11:$G$1034,2,FALSE)</f>
        <v>AVANTECH YOU BOK V251 MM NL600 MM STŘÍBRNÝ LEVÝ</v>
      </c>
      <c r="BE29" s="24">
        <f>VLOOKUP(BC29,CENY!$B$11:$G$1034,3,FALSE)</f>
        <v>10</v>
      </c>
      <c r="BF29" s="24"/>
      <c r="BG29" s="25">
        <f>(AY3+AY4)*(AI19+AI20+AI21+AI26+AI27)</f>
        <v>0</v>
      </c>
      <c r="BH29" s="107">
        <f>VLOOKUP(BC29,CENY!$B$11:$M$2005,12,FALSE)</f>
        <v>523.85</v>
      </c>
      <c r="BI29" s="107">
        <f t="shared" si="1"/>
        <v>0</v>
      </c>
    </row>
    <row r="30" spans="2:61" ht="14.4" customHeight="1">
      <c r="O30" s="625" t="str">
        <f>verze!E161</f>
        <v>Pro výběr kliknu zde.</v>
      </c>
      <c r="P30" s="626"/>
      <c r="Q30" s="626"/>
      <c r="R30" s="626"/>
      <c r="S30" s="627"/>
      <c r="V30" s="181" t="str">
        <f>verze!E159</f>
        <v>Je nutné vybrat skleněné čela podle rozměrů skříněk !</v>
      </c>
      <c r="AU30" s="22"/>
      <c r="AV30" s="23"/>
      <c r="AW30" s="24"/>
      <c r="AX30" s="24"/>
      <c r="AY30" s="25"/>
      <c r="AZ30" s="107"/>
      <c r="BA30" s="107" t="str">
        <f t="shared" si="0"/>
        <v/>
      </c>
      <c r="BC30" s="163">
        <f>OBJ!B156</f>
        <v>9255077</v>
      </c>
      <c r="BD30" s="164" t="str">
        <f>VLOOKUP(BC30,CENY!$B$11:$G$1034,2,FALSE)</f>
        <v>AVANTECH YOU BOK V251 MM NL600 MM STŘÍBRNÝ PRAVÝ</v>
      </c>
      <c r="BE30" s="24">
        <f>VLOOKUP(BC30,CENY!$B$11:$G$1034,3,FALSE)</f>
        <v>10</v>
      </c>
      <c r="BF30" s="24"/>
      <c r="BG30" s="25">
        <f>(AY3+AY4)*(AK19+AK20+AK21+AK26+AK27)</f>
        <v>0</v>
      </c>
      <c r="BH30" s="107">
        <f>VLOOKUP(BC30,CENY!$B$11:$M$2005,12,FALSE)</f>
        <v>523.85</v>
      </c>
      <c r="BI30" s="107">
        <f t="shared" si="1"/>
        <v>0</v>
      </c>
    </row>
    <row r="31" spans="2:61" ht="14.4" customHeight="1" thickBot="1">
      <c r="O31" s="628"/>
      <c r="P31" s="629"/>
      <c r="Q31" s="629"/>
      <c r="R31" s="629"/>
      <c r="S31" s="630"/>
      <c r="V31" s="112"/>
      <c r="AU31" s="22"/>
      <c r="AV31" s="23"/>
      <c r="AW31" s="24"/>
      <c r="AX31" s="24"/>
      <c r="AY31" s="25"/>
      <c r="AZ31" s="107"/>
      <c r="BA31" s="107" t="str">
        <f t="shared" si="0"/>
        <v/>
      </c>
      <c r="BC31" s="163">
        <f>OBJ!B157</f>
        <v>9255078</v>
      </c>
      <c r="BD31" s="164" t="str">
        <f>VLOOKUP(BC31,CENY!$B$11:$G$1034,2,FALSE)</f>
        <v>AVANTECH YOU BOK V251 MM NL650 MM STŘÍBRNÝ LEVÝ</v>
      </c>
      <c r="BE31" s="24">
        <f>VLOOKUP(BC31,CENY!$B$11:$G$1034,3,FALSE)</f>
        <v>10</v>
      </c>
      <c r="BF31" s="24"/>
      <c r="BG31" s="25">
        <f>(AY3+AY4)*(AM19+AM20+AM21+AM26+AM27)</f>
        <v>0</v>
      </c>
      <c r="BH31" s="107">
        <f>VLOOKUP(BC31,CENY!$B$11:$M$2005,12,FALSE)</f>
        <v>541.51</v>
      </c>
      <c r="BI31" s="107">
        <f t="shared" si="1"/>
        <v>0</v>
      </c>
    </row>
    <row r="32" spans="2:61" ht="14.4" customHeight="1">
      <c r="AU32" s="22"/>
      <c r="AV32" s="23"/>
      <c r="AW32" s="24"/>
      <c r="AX32" s="24"/>
      <c r="AY32" s="25"/>
      <c r="AZ32" s="107"/>
      <c r="BA32" s="107" t="str">
        <f t="shared" si="0"/>
        <v/>
      </c>
      <c r="BC32" s="163">
        <f>OBJ!B158</f>
        <v>9255079</v>
      </c>
      <c r="BD32" s="164" t="str">
        <f>VLOOKUP(BC32,CENY!$B$11:$G$1034,2,FALSE)</f>
        <v>AVANTECH YOU BOK V251 MM NL650 MM STŘÍBRNÝ PRAVÝ</v>
      </c>
      <c r="BE32" s="24">
        <f>VLOOKUP(BC32,CENY!$B$11:$G$1034,3,FALSE)</f>
        <v>10</v>
      </c>
      <c r="BF32" s="24"/>
      <c r="BG32" s="25">
        <f>(AY3+AY4)*(AO19+AO20+AO21+AO26+AO27)</f>
        <v>0</v>
      </c>
      <c r="BH32" s="107">
        <f>VLOOKUP(BC32,CENY!$B$11:$M$2005,12,FALSE)</f>
        <v>541.51</v>
      </c>
      <c r="BI32" s="107">
        <f t="shared" si="1"/>
        <v>0</v>
      </c>
    </row>
    <row r="33" spans="47:61" ht="14.4" customHeight="1">
      <c r="AU33" s="22"/>
      <c r="AV33" s="23"/>
      <c r="AW33" s="24"/>
      <c r="AX33" s="24"/>
      <c r="AY33" s="25"/>
      <c r="AZ33" s="107"/>
      <c r="BA33" s="107" t="str">
        <f t="shared" si="0"/>
        <v/>
      </c>
      <c r="BC33" s="163">
        <f>OBJ!B159</f>
        <v>9257887</v>
      </c>
      <c r="BD33" s="164" t="str">
        <f>VLOOKUP(BC33,CENY!$B$11:$G$1034,2,FALSE)</f>
        <v>AVANTECH YOU STABILIZÁTOR ČELA V251 MM K NAŠROUBOVÁNÍ</v>
      </c>
      <c r="BE33" s="24">
        <f>VLOOKUP(BC33,CENY!$B$11:$G$1034,3,FALSE)</f>
        <v>200</v>
      </c>
      <c r="BF33" s="24"/>
      <c r="BG33" s="25">
        <f>(AY3+AY4)*(AQ21+AQ27)</f>
        <v>0</v>
      </c>
      <c r="BH33" s="107">
        <f>VLOOKUP(BC33,CENY!$B$11:$M$2005,12,FALSE)</f>
        <v>8.86</v>
      </c>
      <c r="BI33" s="107">
        <f t="shared" si="1"/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0"/>
        <v/>
      </c>
      <c r="BC34" s="22"/>
      <c r="BD34" s="23"/>
      <c r="BE34" s="24"/>
      <c r="BF34" s="24"/>
      <c r="BG34" s="25"/>
      <c r="BH34" s="107"/>
      <c r="BI34" s="107" t="str">
        <f t="shared" si="1"/>
        <v/>
      </c>
    </row>
    <row r="35" spans="47:61" ht="14.4" customHeight="1">
      <c r="AU35" s="22"/>
      <c r="AV35" s="23"/>
      <c r="AW35" s="24"/>
      <c r="AX35" s="24"/>
      <c r="AY35" s="25"/>
      <c r="AZ35" s="107"/>
      <c r="BA35" s="107" t="str">
        <f t="shared" si="0"/>
        <v/>
      </c>
      <c r="BC35" s="22"/>
      <c r="BD35" s="23"/>
      <c r="BE35" s="24"/>
      <c r="BF35" s="24"/>
      <c r="BG35" s="25"/>
      <c r="BH35" s="107"/>
      <c r="BI35" s="107" t="str">
        <f t="shared" si="1"/>
        <v/>
      </c>
    </row>
    <row r="36" spans="47:61" ht="14.4" customHeight="1">
      <c r="AU36" s="22"/>
      <c r="AV36" s="23"/>
      <c r="AW36" s="24"/>
      <c r="AX36" s="24"/>
      <c r="AY36" s="25"/>
      <c r="AZ36" s="107"/>
      <c r="BA36" s="107" t="str">
        <f t="shared" si="0"/>
        <v/>
      </c>
      <c r="BC36" s="22"/>
      <c r="BD36" s="23"/>
      <c r="BE36" s="24"/>
      <c r="BF36" s="24"/>
      <c r="BG36" s="25"/>
      <c r="BH36" s="107"/>
      <c r="BI36" s="107" t="str">
        <f t="shared" si="1"/>
        <v/>
      </c>
    </row>
    <row r="37" spans="47:61" ht="14.4" customHeight="1">
      <c r="AU37" s="22"/>
      <c r="AV37" s="23"/>
      <c r="AW37" s="24"/>
      <c r="AX37" s="24"/>
      <c r="AY37" s="25"/>
      <c r="AZ37" s="107"/>
      <c r="BA37" s="107" t="str">
        <f t="shared" si="0"/>
        <v/>
      </c>
      <c r="BC37" s="22"/>
      <c r="BD37" s="23"/>
      <c r="BE37" s="24"/>
      <c r="BF37" s="24"/>
      <c r="BG37" s="25"/>
      <c r="BH37" s="107"/>
      <c r="BI37" s="107" t="str">
        <f t="shared" si="1"/>
        <v/>
      </c>
    </row>
    <row r="38" spans="47:61" ht="14.4" customHeight="1">
      <c r="AU38" s="22"/>
      <c r="AV38" s="23"/>
      <c r="AW38" s="24"/>
      <c r="AX38" s="24"/>
      <c r="AY38" s="25"/>
      <c r="AZ38" s="107"/>
      <c r="BA38" s="107" t="str">
        <f t="shared" si="0"/>
        <v/>
      </c>
      <c r="BC38" s="22"/>
      <c r="BD38" s="23"/>
      <c r="BE38" s="24"/>
      <c r="BF38" s="24"/>
      <c r="BG38" s="25"/>
      <c r="BH38" s="107"/>
      <c r="BI38" s="107" t="str">
        <f t="shared" si="1"/>
        <v/>
      </c>
    </row>
    <row r="39" spans="47:61" ht="14.4" customHeight="1">
      <c r="AU39" s="22"/>
      <c r="AV39" s="23"/>
      <c r="AW39" s="24"/>
      <c r="AX39" s="24"/>
      <c r="AY39" s="25"/>
      <c r="AZ39" s="107"/>
      <c r="BA39" s="107" t="str">
        <f t="shared" si="0"/>
        <v/>
      </c>
      <c r="BC39" s="22"/>
      <c r="BD39" s="23"/>
      <c r="BE39" s="24"/>
      <c r="BF39" s="24"/>
      <c r="BG39" s="25"/>
      <c r="BH39" s="107"/>
      <c r="BI39" s="107" t="str">
        <f t="shared" si="1"/>
        <v/>
      </c>
    </row>
    <row r="40" spans="47:61" ht="14.4" customHeight="1">
      <c r="AU40" s="22"/>
      <c r="AV40" s="23"/>
      <c r="AW40" s="24"/>
      <c r="AX40" s="24"/>
      <c r="AY40" s="25"/>
      <c r="AZ40" s="107"/>
      <c r="BA40" s="107" t="str">
        <f t="shared" si="0"/>
        <v/>
      </c>
      <c r="BC40" s="22"/>
      <c r="BD40" s="23"/>
      <c r="BE40" s="24"/>
      <c r="BF40" s="24"/>
      <c r="BG40" s="25"/>
      <c r="BH40" s="107"/>
      <c r="BI40" s="107" t="str">
        <f t="shared" si="1"/>
        <v/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0"/>
        <v/>
      </c>
      <c r="BC41" s="22"/>
      <c r="BD41" s="23"/>
      <c r="BE41" s="24"/>
      <c r="BF41" s="24"/>
      <c r="BG41" s="25"/>
      <c r="BH41" s="107"/>
      <c r="BI41" s="107" t="str">
        <f t="shared" si="1"/>
        <v/>
      </c>
    </row>
    <row r="42" spans="47:61" ht="14.4" customHeight="1">
      <c r="AU42" s="22">
        <f>OBJ!B258</f>
        <v>9268679</v>
      </c>
      <c r="AV42" s="23" t="str">
        <f>VLOOKUP(AU42,CENY!$B$11:$G$1034,2,FALSE)</f>
        <v>ACTRO YOU 40KG PLNOVÝSUV 600 MM EB21 SILENT SYSTÉM LEVÝ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273.51</v>
      </c>
      <c r="BA42" s="107">
        <f t="shared" si="0"/>
        <v>0</v>
      </c>
      <c r="BC42" s="22"/>
      <c r="BD42" s="23"/>
      <c r="BE42" s="24"/>
      <c r="BF42" s="24"/>
      <c r="BG42" s="25"/>
      <c r="BH42" s="107"/>
      <c r="BI42" s="107" t="str">
        <f t="shared" si="1"/>
        <v/>
      </c>
    </row>
    <row r="43" spans="47:61" ht="14.4" customHeight="1">
      <c r="AU43" s="22">
        <f>OBJ!B259</f>
        <v>9268680</v>
      </c>
      <c r="AV43" s="23" t="str">
        <f>VLOOKUP(AU43,CENY!$B$11:$G$1034,2,FALSE)</f>
        <v>ACTRO YOU 40KG PLNOVÝSUV 600 MM EB21 SILENT SYSTÉM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273.51</v>
      </c>
      <c r="BA43" s="107">
        <f t="shared" si="0"/>
        <v>0</v>
      </c>
      <c r="BC43" s="22"/>
      <c r="BD43" s="23"/>
      <c r="BE43" s="24"/>
      <c r="BF43" s="24"/>
      <c r="BG43" s="25"/>
      <c r="BH43" s="107"/>
      <c r="BI43" s="107" t="str">
        <f t="shared" si="1"/>
        <v/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2"/>
      <c r="BD44" s="23"/>
      <c r="BE44" s="24"/>
      <c r="BF44" s="24"/>
      <c r="BG44" s="25"/>
      <c r="BH44" s="107"/>
      <c r="BI44" s="107" t="str">
        <f t="shared" si="1"/>
        <v/>
      </c>
    </row>
    <row r="45" spans="47:61" ht="14.4" customHeight="1">
      <c r="AU45" s="22">
        <f>OBJ!B261</f>
        <v>9257034</v>
      </c>
      <c r="AV45" s="23" t="str">
        <f>VLOOKUP(AU45,CENY!$B$11:$G$1034,2,FALSE)</f>
        <v>ACTRO YOU 70KG PLNOVÝSUV 450 MM EB21 SILENT SYSTEM SADA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691.9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 70KG PLNOVÝSUV 500 MM EB21 SILENT SYSTEM SADA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698.13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AVANTECH YOU BOKY V SADĚ V139 MM NL300 MM STŘÍBRNÁ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682.46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 70KG PLNOVÝSUV 550 MM EB21 SILENT SYSTEM SADA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731.3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AVANTECH YOU BOKY V SADĚ V139 MM NL350 MM STŘÍBRNÁ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691.23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 70KG PLNOVÝSUV 600 MM EB21 SILENT SYSTEM SADA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798.31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AVANTECH YOU BOKY V SADĚ V139 MM NL400 MM STŘÍBRNÁ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700.01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 70KG PLNOVÝSUV 650 MM EB21 SILENT SYSTEM SADA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828.55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AVANTECH YOU BOKY V SADĚ V139 MM NL450 MM STŘÍBRNÁ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708.78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 70KG PLNOVÝSUV 450 MM EB21 SILENT SYSTEM LEVÝ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309.07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 70KG PLNOVÝSUV 450 MM EB21 SILENT SYSTEM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309.07</v>
      </c>
      <c r="BA51" s="107">
        <f t="shared" si="0"/>
        <v>0</v>
      </c>
      <c r="BC51" s="22"/>
      <c r="BD51" s="23"/>
      <c r="BE51" s="24"/>
      <c r="BF51" s="24"/>
      <c r="BG51" s="25"/>
      <c r="BH51" s="107"/>
      <c r="BI51" s="107" t="str">
        <f t="shared" ref="BI51:BI64" si="2">IF(BH51="","",BH51*BG51)</f>
        <v/>
      </c>
    </row>
    <row r="52" spans="47:61" ht="14.4" customHeight="1">
      <c r="AU52" s="22">
        <f>OBJ!B268</f>
        <v>9257017</v>
      </c>
      <c r="AV52" s="23" t="str">
        <f>VLOOKUP(AU52,CENY!$B$11:$G$1034,2,FALSE)</f>
        <v>ACTRO YOU 70KG PLNOVÝSUV 500 MM EB21 SILENT SYSTEM LEVÝ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312.18</v>
      </c>
      <c r="BA52" s="107">
        <f t="shared" si="0"/>
        <v>0</v>
      </c>
      <c r="BC52" s="22"/>
      <c r="BD52" s="23"/>
      <c r="BE52" s="24"/>
      <c r="BF52" s="24"/>
      <c r="BG52" s="25"/>
      <c r="BH52" s="107"/>
      <c r="BI52" s="107" t="str">
        <f t="shared" si="2"/>
        <v/>
      </c>
    </row>
    <row r="53" spans="47:61" ht="14.4" customHeight="1">
      <c r="AU53" s="22">
        <f>OBJ!B269</f>
        <v>9257018</v>
      </c>
      <c r="AV53" s="23" t="str">
        <f>VLOOKUP(AU53,CENY!$B$11:$G$1034,2,FALSE)</f>
        <v>ACTRO YOU 70KG PLNOVÝSUV 500 MM EB21 SILENT SYSTEM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312.18</v>
      </c>
      <c r="BA53" s="107">
        <f t="shared" si="0"/>
        <v>0</v>
      </c>
      <c r="BC53" s="22"/>
      <c r="BD53" s="23"/>
      <c r="BE53" s="24"/>
      <c r="BF53" s="24"/>
      <c r="BG53" s="25"/>
      <c r="BH53" s="107"/>
      <c r="BI53" s="107" t="str">
        <f t="shared" si="2"/>
        <v/>
      </c>
    </row>
    <row r="54" spans="47:61" ht="14.4" customHeight="1">
      <c r="AU54" s="22">
        <f>OBJ!B270</f>
        <v>9257021</v>
      </c>
      <c r="AV54" s="23" t="str">
        <f>VLOOKUP(AU54,CENY!$B$11:$G$1034,2,FALSE)</f>
        <v>ACTRO YOU 70KG PLNOVÝSUV 550 MM EB21 SILENT SYSTEM LEVÝ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328.77</v>
      </c>
      <c r="BA54" s="107">
        <f t="shared" si="0"/>
        <v>0</v>
      </c>
      <c r="BC54" s="22"/>
      <c r="BD54" s="23"/>
      <c r="BE54" s="24"/>
      <c r="BF54" s="24"/>
      <c r="BG54" s="25"/>
      <c r="BH54" s="107"/>
      <c r="BI54" s="107" t="str">
        <f t="shared" si="2"/>
        <v/>
      </c>
    </row>
    <row r="55" spans="47:61" ht="14.4" customHeight="1">
      <c r="AU55" s="22">
        <f>OBJ!B271</f>
        <v>9257022</v>
      </c>
      <c r="AV55" s="23" t="str">
        <f>VLOOKUP(AU55,CENY!$B$11:$G$1034,2,FALSE)</f>
        <v>ACTRO YOU 70KG PLNOVÝSUV 550 MM EB21 SILENT SYSTEM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328.77</v>
      </c>
      <c r="BA55" s="107">
        <f t="shared" si="0"/>
        <v>0</v>
      </c>
      <c r="BC55" s="22"/>
      <c r="BD55" s="23"/>
      <c r="BE55" s="24"/>
      <c r="BF55" s="24"/>
      <c r="BG55" s="25"/>
      <c r="BH55" s="107"/>
      <c r="BI55" s="107" t="str">
        <f t="shared" si="2"/>
        <v/>
      </c>
    </row>
    <row r="56" spans="47:61" ht="14.4" customHeight="1">
      <c r="AU56" s="22">
        <f>OBJ!B272</f>
        <v>9257025</v>
      </c>
      <c r="AV56" s="23" t="str">
        <f>VLOOKUP(AU56,CENY!$B$11:$G$1034,2,FALSE)</f>
        <v>ACTRO YOU 70KG PLNOVÝSUV 600 MM EB21 SILENT SYSTEM LEVÝ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362.28</v>
      </c>
      <c r="BA56" s="107">
        <f t="shared" si="0"/>
        <v>0</v>
      </c>
      <c r="BC56" s="22"/>
      <c r="BD56" s="23"/>
      <c r="BE56" s="24"/>
      <c r="BF56" s="24"/>
      <c r="BG56" s="25"/>
      <c r="BH56" s="107"/>
      <c r="BI56" s="107" t="str">
        <f t="shared" si="2"/>
        <v/>
      </c>
    </row>
    <row r="57" spans="47:61" ht="14.4" customHeight="1">
      <c r="AU57" s="22">
        <f>OBJ!B273</f>
        <v>9257026</v>
      </c>
      <c r="AV57" s="23" t="str">
        <f>VLOOKUP(AU57,CENY!$B$11:$G$1034,2,FALSE)</f>
        <v>ACTRO YOU 70KG PLNOVÝSUV 600 MM EB21 SILENT SYSTEM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362.28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2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 70KG PLNOVÝSUV 650 MM EB21 SILENT SYSTEM LEVÝ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377.39</v>
      </c>
      <c r="BA58" s="107">
        <f t="shared" si="0"/>
        <v>0</v>
      </c>
      <c r="BC58" s="22"/>
      <c r="BD58" s="23"/>
      <c r="BE58" s="24"/>
      <c r="BF58" s="24"/>
      <c r="BG58" s="25"/>
      <c r="BH58" s="107"/>
      <c r="BI58" s="107" t="str">
        <f t="shared" si="2"/>
        <v/>
      </c>
    </row>
    <row r="59" spans="47:61" ht="14.4" customHeight="1">
      <c r="AU59" s="22">
        <f>OBJ!B275</f>
        <v>9257028</v>
      </c>
      <c r="AV59" s="23" t="str">
        <f>VLOOKUP(AU59,CENY!$B$11:$G$1034,2,FALSE)</f>
        <v>ACTRO YOU 70KG PLNOVÝSUV 650 MM EB21 SILENT SYSTEM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377.39</v>
      </c>
      <c r="BA59" s="107">
        <f t="shared" si="0"/>
        <v>0</v>
      </c>
      <c r="BC59" s="22"/>
      <c r="BD59" s="23"/>
      <c r="BE59" s="24"/>
      <c r="BF59" s="24"/>
      <c r="BG59" s="25"/>
      <c r="BH59" s="107"/>
      <c r="BI59" s="107" t="str">
        <f t="shared" si="2"/>
        <v/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2"/>
      <c r="BD60" s="23"/>
      <c r="BE60" s="24"/>
      <c r="BF60" s="24"/>
      <c r="BG60" s="25"/>
      <c r="BH60" s="107"/>
      <c r="BI60" s="107" t="str">
        <f t="shared" si="2"/>
        <v/>
      </c>
    </row>
    <row r="61" spans="47:61" ht="14.4" customHeight="1">
      <c r="AU61" s="22">
        <f>OBJ!B277</f>
        <v>9257890</v>
      </c>
      <c r="AV61" s="23" t="str">
        <f>VLOOKUP(AU61,CENY!$B$11:$G$1034,2,FALSE)</f>
        <v>PUSH TO OPEN SILENT ACTRO YOU / ACTRO 5D 10 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544.37</v>
      </c>
      <c r="BA61" s="107">
        <f t="shared" si="0"/>
        <v>0</v>
      </c>
      <c r="BC61" s="22"/>
      <c r="BD61" s="23"/>
      <c r="BE61" s="24"/>
      <c r="BF61" s="24"/>
      <c r="BG61" s="25"/>
      <c r="BH61" s="107"/>
      <c r="BI61" s="107" t="str">
        <f t="shared" si="2"/>
        <v/>
      </c>
    </row>
    <row r="62" spans="47:61" ht="14.4" customHeight="1">
      <c r="AU62" s="22">
        <f>OBJ!B278</f>
        <v>9257891</v>
      </c>
      <c r="AV62" s="23" t="str">
        <f>VLOOKUP(AU62,CENY!$B$11:$G$1034,2,FALSE)</f>
        <v>PUSH TO OPEN SILENT ACTRO YOU / ACTRO 5D 20 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544.37</v>
      </c>
      <c r="BA62" s="107">
        <f t="shared" si="0"/>
        <v>0</v>
      </c>
      <c r="BC62" s="22"/>
      <c r="BD62" s="23"/>
      <c r="BE62" s="24"/>
      <c r="BF62" s="24"/>
      <c r="BG62" s="25"/>
      <c r="BH62" s="107"/>
      <c r="BI62" s="107" t="str">
        <f t="shared" si="2"/>
        <v/>
      </c>
    </row>
    <row r="63" spans="47:61" ht="14.4" customHeight="1">
      <c r="AU63" s="22">
        <f>OBJ!B279</f>
        <v>9257892</v>
      </c>
      <c r="AV63" s="23" t="str">
        <f>VLOOKUP(AU63,CENY!$B$11:$G$1034,2,FALSE)</f>
        <v>PUSH TO OPEN SILENT ACTRO YOU / ACTRO 5D 40 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544.37</v>
      </c>
      <c r="BA63" s="107">
        <f t="shared" si="0"/>
        <v>0</v>
      </c>
      <c r="BC63" s="22"/>
      <c r="BD63" s="23"/>
      <c r="BE63" s="24"/>
      <c r="BF63" s="24"/>
      <c r="BG63" s="25"/>
      <c r="BH63" s="107"/>
      <c r="BI63" s="107" t="str">
        <f t="shared" si="2"/>
        <v/>
      </c>
    </row>
    <row r="64" spans="47:61" ht="14.4" customHeight="1">
      <c r="AU64" s="22">
        <f>OBJ!B280</f>
        <v>9257893</v>
      </c>
      <c r="AV64" s="23" t="str">
        <f>VLOOKUP(AU64,CENY!$B$11:$G$1034,2,FALSE)</f>
        <v>PUSH TO OPEN SILENT ACTRO YOU / ACTRO 5D 70 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544.37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 t="shared" si="2"/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SYNCHRONIZAČNÍ TYČ 2000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144.30000000000001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 10 KG PLNOVÝSUV 350 MM EB21 SILENT SYSTEM SADA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421.61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13.07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 10 KG PLNOVÝSUV 270 MM EB21 SILENT SYSTEM LEVÝ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174.19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SILENT ACTRO YOU MULTISYNCHRO - SPOJKA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35.33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 10 KG PLNOVÝSUV 270 MM EB21 SILENT SYSTEM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174.19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SILENT SYNCHRO ADAPTÉR FLEXIBILNÍ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82.35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 10 KG PLNOVÝSUV 300 MM EB21 SILENT SYSTEM LEVÝ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172.7</v>
      </c>
      <c r="BI68" s="107">
        <f t="shared" si="1"/>
        <v>0</v>
      </c>
    </row>
    <row r="69" spans="1:61" ht="23.1" customHeight="1">
      <c r="A69" s="633"/>
      <c r="B69" s="104" t="s">
        <v>293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SILENT ACTRO YOU SYNCHRO POSUNUTÉ NAPOJENÍ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783.93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 10 KG PLNOVÝSUV 300 MM EB21 SILENT SYSTEM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172.7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 10 KG PLNOVÝSUV 350 MM EB21 SILENT SYSTEM LEVÝ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176.43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 10 KG PLNOVÝSUV 270 MM EB21 SILENT SYSTEM SADA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413.4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 10 KG PLNOVÝSUV 350 MM EB21 SILENT SYSTEM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176.43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 PLNOVÝSUV 270 MM EB21 SILENT SYSTEM SADA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372.29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>
        <f>IF(FORM!AM8=FORM!AU10,((2*AY3)*(SUM(O19:Z20)+SUM(Q21:AB21)+SUM(O26:Z26)+SUM(Q27:AB27))),0)</f>
        <v>0</v>
      </c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 PLNOVÝSUV 300 MM EB21 SILENT SYSTEM SADA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369.3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 PLNOVÝSUV 350 MM EB21 SILENT SYSTEM SADA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376.77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 PLNOVÝSUV 400 MM EB21 SILENT SYSTEM SADA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384.24</v>
      </c>
      <c r="BI76" s="107">
        <f t="shared" si="1"/>
        <v>0</v>
      </c>
    </row>
    <row r="77" spans="1:61" ht="14.4" customHeight="1">
      <c r="A77" s="633"/>
      <c r="AU77" s="182">
        <f>OBJ!B227</f>
        <v>9256969</v>
      </c>
      <c r="AV77" s="23" t="str">
        <f>VLOOKUP(AU77,CENY!$B$11:$G$1034,2,FALSE)</f>
        <v>ACTRO YOU 10KG PLNOVÝSUV 300 MM EB21 SILENT SYSTEM SADA</v>
      </c>
      <c r="AW77" s="24">
        <f>VLOOKUP(AU77,CENY!$B$11:$G$1034,3,FALSE)</f>
        <v>1</v>
      </c>
      <c r="AX77" s="24"/>
      <c r="AY77" s="25">
        <f>((AY2)*((SUM(O19:Z20)+SUM(Q21:AB21)+SUM(O26:Z26)+SUM(Q27:AB27))+1*(SUM(AE19:AP20)+SUM(AG21:AR21)+SUM(AE26:AP26)+SUM(AG27:AR27))))</f>
        <v>0</v>
      </c>
      <c r="AZ77" s="107">
        <f>VLOOKUP(AU77,CENY!$B$11:$M$2005,12,FALSE)</f>
        <v>561.63</v>
      </c>
      <c r="BA77" s="107">
        <f>IF(AZ77="","",AZ77*AY77)</f>
        <v>0</v>
      </c>
      <c r="BC77" s="22">
        <f>OBJ!B301</f>
        <v>9256890</v>
      </c>
      <c r="BD77" s="23" t="str">
        <f>VLOOKUP(BC77,CENY!$B$11:$G$1034,2,FALSE)</f>
        <v>QUADRO YOU PLNOVÝSUV 450 MM EB21 SILENT SYSTEM SADA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391.72</v>
      </c>
      <c r="BI77" s="107">
        <f t="shared" si="1"/>
        <v>0</v>
      </c>
    </row>
    <row r="78" spans="1:61" ht="14.4" customHeight="1">
      <c r="A78" s="633"/>
      <c r="AU78" s="182">
        <f>OBJ!B238</f>
        <v>9257002</v>
      </c>
      <c r="AV78" s="23" t="str">
        <f>VLOOKUP(AU78,CENY!$B$11:$G$1034,2,FALSE)</f>
        <v>ACTRO YOU 40KG PLNOVÝSUV 350 MM EB21 SILENT SYSTEM SADA</v>
      </c>
      <c r="AW78" s="24">
        <f>VLOOKUP(AU78,CENY!$B$11:$G$1034,3,FALSE)</f>
        <v>1</v>
      </c>
      <c r="AX78" s="24"/>
      <c r="AY78" s="25">
        <f>((AY4)*((SUM(O19:Z20)+SUM(Q21:AB21)+SUM(O26:Z26)+SUM(Q27:AB27))+1*(SUM(AE19:AP20)+SUM(AG21:AR21)+SUM(AE26:AP26)+SUM(AG27:AR27))))</f>
        <v>0</v>
      </c>
      <c r="AZ78" s="107">
        <f>VLOOKUP(AU78,CENY!$B$11:$M$2005,12,FALSE)</f>
        <v>561.63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 PLNOVÝSUV 500 MM EB21 SILENT SYSTEM SADA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399.19</v>
      </c>
      <c r="BI78" s="107">
        <f t="shared" si="1"/>
        <v>0</v>
      </c>
    </row>
    <row r="79" spans="1:61" ht="14.4" customHeight="1">
      <c r="A79" s="633"/>
      <c r="AU79" s="22"/>
      <c r="AV79" s="23"/>
      <c r="AW79" s="24"/>
      <c r="AX79" s="24"/>
      <c r="AY79" s="25"/>
      <c r="AZ79" s="107"/>
      <c r="BA79" s="107" t="str">
        <f>IF(AZ79="","",AZ79*AY79)</f>
        <v/>
      </c>
      <c r="BC79" s="22">
        <f>OBJ!B303</f>
        <v>9256894</v>
      </c>
      <c r="BD79" s="23" t="str">
        <f>VLOOKUP(BC79,CENY!$B$11:$G$1034,2,FALSE)</f>
        <v>QUADRO YOU PLNOVÝSUV 550 MM EB21 SILENT SYSTEM SADA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412.64</v>
      </c>
      <c r="BI79" s="107">
        <f t="shared" si="1"/>
        <v>0</v>
      </c>
    </row>
    <row r="80" spans="1:61" ht="14.4" customHeight="1">
      <c r="A80" s="633"/>
      <c r="AU80" s="22"/>
      <c r="AV80" s="23"/>
      <c r="AW80" s="24"/>
      <c r="AX80" s="24"/>
      <c r="AY80" s="25"/>
      <c r="AZ80" s="107"/>
      <c r="BA80" s="107" t="str">
        <f>IF(AZ80="","",AZ80*AY80)</f>
        <v/>
      </c>
      <c r="BC80" s="22">
        <f>OBJ!B304</f>
        <v>9256896</v>
      </c>
      <c r="BD80" s="23" t="str">
        <f>VLOOKUP(BC80,CENY!$B$11:$G$1034,2,FALSE)</f>
        <v>QUADRO YOU PLNOVÝSUV 600 MM EB21 SILENT SYSTEM SADA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420.11</v>
      </c>
      <c r="BI80" s="107">
        <f t="shared" si="1"/>
        <v>0</v>
      </c>
    </row>
    <row r="81" spans="1:61" ht="14.4" customHeight="1">
      <c r="A81" s="633"/>
      <c r="AU81" s="22">
        <f>OBJ!B228</f>
        <v>9256971</v>
      </c>
      <c r="AV81" s="23" t="str">
        <f>VLOOKUP(AU81,CENY!$B$11:$G$1034,2,FALSE)</f>
        <v>ACTRO YOU 10KG PLNOVÝSUV 350 MM EB21 SILENT SYSTEM SADA</v>
      </c>
      <c r="AW81" s="24">
        <f>VLOOKUP(AU81,CENY!$B$11:$G$1034,3,FALSE)</f>
        <v>1</v>
      </c>
      <c r="AX81" s="24"/>
      <c r="AY81" s="25">
        <f>AY2*O84</f>
        <v>0</v>
      </c>
      <c r="AZ81" s="107">
        <f>VLOOKUP(AU81,CENY!$B$11:$M$2005,12,FALSE)</f>
        <v>561.63</v>
      </c>
      <c r="BA81" s="107">
        <f>IF(AZ81="","",AZ81*AY81)</f>
        <v>0</v>
      </c>
      <c r="BC81" s="22">
        <f>OBJ!B305</f>
        <v>9256854</v>
      </c>
      <c r="BD81" s="23" t="str">
        <f>VLOOKUP(BC81,CENY!$B$11:$G$1034,2,FALSE)</f>
        <v>QUADRO YOU PLNOVÝSUV 270 MM EB21 SILENT SYSTEM LEVÝ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174.19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U82" s="22">
        <f>OBJ!B229</f>
        <v>9256959</v>
      </c>
      <c r="AV82" s="23" t="str">
        <f>VLOOKUP(AU82,CENY!$B$11:$G$1034,2,FALSE)</f>
        <v>ACTRO YOU 10KG PLNOVÝSUV 270 MM EB21 SILENT SYSTEM LEVÝ</v>
      </c>
      <c r="AW82" s="24">
        <f>VLOOKUP(AU82,CENY!$B$11:$G$1034,3,FALSE)</f>
        <v>10</v>
      </c>
      <c r="AX82" s="24"/>
      <c r="AY82" s="25">
        <f>AY2*Q84</f>
        <v>0</v>
      </c>
      <c r="AZ82" s="107">
        <f>VLOOKUP(AU82,CENY!$B$11:$M$2005,12,FALSE)</f>
        <v>243.93</v>
      </c>
      <c r="BA82" s="107">
        <f t="shared" ref="BA82:BA100" si="3">IF(AZ82="","",AZ82*AY82)</f>
        <v>0</v>
      </c>
      <c r="BC82" s="22">
        <f>OBJ!B306</f>
        <v>9256855</v>
      </c>
      <c r="BD82" s="23" t="str">
        <f>VLOOKUP(BC82,CENY!$B$11:$G$1034,2,FALSE)</f>
        <v>QUADRO YOU PLNOVÝSUV 270 MM EB21 SILENT SYSTEM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174.19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550</v>
      </c>
      <c r="X83" s="570"/>
      <c r="Y83" s="569">
        <v>600</v>
      </c>
      <c r="Z83" s="570"/>
      <c r="AA83" s="569">
        <v>800</v>
      </c>
      <c r="AB83" s="570"/>
      <c r="AC83" s="569">
        <v>900</v>
      </c>
      <c r="AD83" s="570"/>
      <c r="AE83" s="569">
        <v>1000</v>
      </c>
      <c r="AF83" s="570"/>
      <c r="AG83" s="569">
        <v>1200</v>
      </c>
      <c r="AH83" s="570"/>
      <c r="AU83" s="22">
        <f>OBJ!B230</f>
        <v>9256960</v>
      </c>
      <c r="AV83" s="23" t="str">
        <f>VLOOKUP(AU83,CENY!$B$11:$G$1034,2,FALSE)</f>
        <v>ACTRO YOU 10KG PLNOVÝSUV 270 MM EB21 SILENT SYSTEM PRAVÝ</v>
      </c>
      <c r="AW83" s="24">
        <f>VLOOKUP(AU83,CENY!$B$11:$G$1034,3,FALSE)</f>
        <v>10</v>
      </c>
      <c r="AX83" s="24"/>
      <c r="AY83" s="25">
        <f>AY2*S84</f>
        <v>0</v>
      </c>
      <c r="AZ83" s="107">
        <f>VLOOKUP(AU83,CENY!$B$11:$M$2005,12,FALSE)</f>
        <v>243.93</v>
      </c>
      <c r="BA83" s="107">
        <f t="shared" si="3"/>
        <v>0</v>
      </c>
      <c r="BC83" s="22">
        <f>OBJ!B307</f>
        <v>9256856</v>
      </c>
      <c r="BD83" s="23" t="str">
        <f>VLOOKUP(BC83,CENY!$B$11:$G$1034,2,FALSE)</f>
        <v>QUADRO YOU PLNOVÝSUV 300 MM EB21 SILENT SYSTEM LEVÝ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172.7</v>
      </c>
      <c r="BI83" s="107">
        <f t="shared" si="1"/>
        <v>0</v>
      </c>
    </row>
    <row r="84" spans="1:61" ht="14.4" customHeight="1" thickBot="1">
      <c r="A84" s="633"/>
      <c r="B84" s="183" t="str">
        <f>" "&amp;verze!E168</f>
        <v xml:space="preserve"> Skleněné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6"/>
      <c r="Z84" s="637"/>
      <c r="AA84" s="638"/>
      <c r="AB84" s="635"/>
      <c r="AC84" s="638"/>
      <c r="AD84" s="635"/>
      <c r="AE84" s="638"/>
      <c r="AF84" s="635"/>
      <c r="AG84" s="284"/>
      <c r="AH84" s="283"/>
      <c r="AU84" s="22">
        <f>OBJ!B231</f>
        <v>9256961</v>
      </c>
      <c r="AV84" s="23" t="str">
        <f>VLOOKUP(AU84,CENY!$B$11:$G$1034,2,FALSE)</f>
        <v>ACTRO YOU 10KG PLNOVÝSUV 300 MM EB21 SILENT SYSTEM LEVÝ</v>
      </c>
      <c r="AW84" s="24">
        <f>VLOOKUP(AU84,CENY!$B$11:$G$1034,3,FALSE)</f>
        <v>10</v>
      </c>
      <c r="AX84" s="24"/>
      <c r="AY84" s="25">
        <f>AY2*U84</f>
        <v>0</v>
      </c>
      <c r="AZ84" s="107">
        <f>VLOOKUP(AU84,CENY!$B$11:$M$2005,12,FALSE)</f>
        <v>243.93</v>
      </c>
      <c r="BA84" s="107">
        <f t="shared" si="3"/>
        <v>0</v>
      </c>
      <c r="BC84" s="22">
        <f>OBJ!B308</f>
        <v>9256857</v>
      </c>
      <c r="BD84" s="23" t="str">
        <f>VLOOKUP(BC84,CENY!$B$11:$G$1034,2,FALSE)</f>
        <v>QUADRO YOU PLNOVÝSUV 300 MM EB21 SILENT SYSTEM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172.7</v>
      </c>
      <c r="BI84" s="107">
        <f t="shared" si="1"/>
        <v>0</v>
      </c>
    </row>
    <row r="85" spans="1:61" ht="14.4" customHeight="1">
      <c r="A85" s="633"/>
      <c r="AU85" s="22">
        <f>OBJ!B232</f>
        <v>9256962</v>
      </c>
      <c r="AV85" s="23" t="str">
        <f>VLOOKUP(AU85,CENY!$B$11:$G$1034,2,FALSE)</f>
        <v>ACTRO YOU 10KG PLNOVÝSUV 300 MM EB21 SILENT SYSTEM PRAVÝ</v>
      </c>
      <c r="AW85" s="24">
        <f>VLOOKUP(AU85,CENY!$B$11:$G$1034,3,FALSE)</f>
        <v>10</v>
      </c>
      <c r="AX85" s="24"/>
      <c r="AY85" s="25">
        <f>AY2*W84</f>
        <v>0</v>
      </c>
      <c r="AZ85" s="107">
        <f>VLOOKUP(AU85,CENY!$B$11:$M$2005,12,FALSE)</f>
        <v>243.93</v>
      </c>
      <c r="BA85" s="107">
        <f t="shared" si="3"/>
        <v>0</v>
      </c>
      <c r="BC85" s="22">
        <f>OBJ!B309</f>
        <v>9256860</v>
      </c>
      <c r="BD85" s="23" t="str">
        <f>VLOOKUP(BC85,CENY!$B$11:$G$1034,2,FALSE)</f>
        <v>QUADRO YOU PLNOVÝSUV 350 MM EB21 SILENT SYSTEM LEVÝ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176.43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potřebné vybrat vnitřní čela na 0 skříň (skříně).</v>
      </c>
      <c r="AU86" s="22">
        <f>OBJ!B233</f>
        <v>9256965</v>
      </c>
      <c r="AV86" s="23" t="str">
        <f>VLOOKUP(AU86,CENY!$B$11:$G$1034,2,FALSE)</f>
        <v>ACTRO YOU 10KG PLNOVÝSUV 350 MM EB21 SILENT SYSTEM LEVÝ</v>
      </c>
      <c r="AW86" s="24">
        <f>VLOOKUP(AU86,CENY!$B$11:$G$1034,3,FALSE)</f>
        <v>10</v>
      </c>
      <c r="AX86" s="24"/>
      <c r="AY86" s="25">
        <f>AY2*Y84</f>
        <v>0</v>
      </c>
      <c r="AZ86" s="107">
        <f>VLOOKUP(AU86,CENY!$B$11:$M$2005,12,FALSE)</f>
        <v>243.93</v>
      </c>
      <c r="BA86" s="107">
        <f t="shared" si="3"/>
        <v>0</v>
      </c>
      <c r="BC86" s="22">
        <f>OBJ!B310</f>
        <v>9256861</v>
      </c>
      <c r="BD86" s="23" t="str">
        <f>VLOOKUP(BC86,CENY!$B$11:$G$1034,2,FALSE)</f>
        <v>QUADRO YOU PLNOVÝSUV 350 MM EB21 SILENT SYSTEM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176.43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 PLNOVÝSUV 400 MM EB21 SILENT SYSTEM LEVÝ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180.17</v>
      </c>
      <c r="BI87" s="107">
        <f t="shared" si="1"/>
        <v>0</v>
      </c>
    </row>
    <row r="88" spans="1:61" ht="14.4" customHeight="1">
      <c r="A88" s="633"/>
      <c r="AU88" s="22">
        <f>OBJ!B239</f>
        <v>9257004</v>
      </c>
      <c r="AV88" s="23" t="str">
        <f>VLOOKUP(AU88,CENY!$B$11:$G$1034,2,FALSE)</f>
        <v>ACTRO YOU 40KG PLNOVÝSUV 400 MM EB21 SILENT SYSTEM SADA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567.85</v>
      </c>
      <c r="BA88" s="107">
        <f t="shared" si="3"/>
        <v>0</v>
      </c>
      <c r="BC88" s="22">
        <f>OBJ!B312</f>
        <v>9256865</v>
      </c>
      <c r="BD88" s="23" t="str">
        <f>VLOOKUP(BC88,CENY!$B$11:$G$1034,2,FALSE)</f>
        <v>QUADRO YOU PLNOVÝSUV 400 MM EB21 SILENT SYSTEM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180.17</v>
      </c>
      <c r="BI88" s="107">
        <f t="shared" si="1"/>
        <v>0</v>
      </c>
    </row>
    <row r="89" spans="1:61" ht="14.4" customHeight="1">
      <c r="A89" s="633"/>
      <c r="AU89" s="22">
        <f>OBJ!B240</f>
        <v>9257006</v>
      </c>
      <c r="AV89" s="23" t="str">
        <f>VLOOKUP(AU89,CENY!$B$11:$G$1034,2,FALSE)</f>
        <v>ACTRO YOU 40KG PLNOVÝSUV 450 MM EB21 SILENT SYSTEM SADA</v>
      </c>
      <c r="AW89" s="24">
        <f>VLOOKUP(AU89,CENY!$B$11:$G$1034,3,FALSE)</f>
        <v>1</v>
      </c>
      <c r="AX89" s="24"/>
      <c r="AY89" s="25">
        <f>AY4*Q84</f>
        <v>0</v>
      </c>
      <c r="AZ89" s="107">
        <f>VLOOKUP(AU89,CENY!$B$11:$M$2005,12,FALSE)</f>
        <v>574.04</v>
      </c>
      <c r="BA89" s="107">
        <f t="shared" si="3"/>
        <v>0</v>
      </c>
      <c r="BC89" s="22">
        <f>OBJ!B313</f>
        <v>9256868</v>
      </c>
      <c r="BD89" s="23" t="str">
        <f>VLOOKUP(BC89,CENY!$B$11:$G$1034,2,FALSE)</f>
        <v>QUADRO YOU PLNOVÝSUV 450 MM EB21 SILENT SYSTEM LEVÝ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183.9</v>
      </c>
      <c r="BI89" s="107">
        <f t="shared" si="1"/>
        <v>0</v>
      </c>
    </row>
    <row r="90" spans="1:61" ht="14.4" customHeight="1">
      <c r="A90" s="633"/>
      <c r="AU90" s="22">
        <f>OBJ!B241</f>
        <v>9257008</v>
      </c>
      <c r="AV90" s="23" t="str">
        <f>VLOOKUP(AU90,CENY!$B$11:$G$1034,2,FALSE)</f>
        <v>ACTRO YOU 40KG PLNOVÝSUV 500 MM EB21 SILENT SYSTEM SADA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580.26</v>
      </c>
      <c r="BA90" s="107">
        <f t="shared" si="3"/>
        <v>0</v>
      </c>
      <c r="BC90" s="22">
        <f>OBJ!B314</f>
        <v>9256869</v>
      </c>
      <c r="BD90" s="23" t="str">
        <f>VLOOKUP(BC90,CENY!$B$11:$G$1034,2,FALSE)</f>
        <v>QUADRO YOU PLNOVÝSUV 450 MM EB21 SILENT SYSTEM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183.9</v>
      </c>
      <c r="BI90" s="107">
        <f t="shared" si="1"/>
        <v>0</v>
      </c>
    </row>
    <row r="91" spans="1:61" ht="14.4" customHeight="1">
      <c r="A91" s="633"/>
      <c r="AU91" s="22">
        <f>OBJ!B242</f>
        <v>9257010</v>
      </c>
      <c r="AV91" s="23" t="str">
        <f>VLOOKUP(AU91,CENY!$B$11:$G$1034,2,FALSE)</f>
        <v>ACTRO YOU 40KG PLNOVÝSUV 550 MM EB21 SILENT SYSTEM SADA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613.44000000000005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 PLNOVÝSUV 500 MM EB21 SILENT SYSTEM LEVÝ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187.64</v>
      </c>
      <c r="BI91" s="107">
        <f t="shared" si="1"/>
        <v>0</v>
      </c>
    </row>
    <row r="92" spans="1:61" ht="14.4" customHeight="1">
      <c r="A92" s="633"/>
      <c r="AU92" s="22">
        <f>OBJ!B243</f>
        <v>9268681</v>
      </c>
      <c r="AV92" s="23" t="str">
        <f>VLOOKUP(AU92,CENY!$B$11:$G$1034,2,FALSE)</f>
        <v>ACTRO YOU 40KG PLNOVÝSUV 600 MM EB21 SILENT SYSTÉM SADA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620.78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 PLNOVÝSUV 500 MM EB21 SILENT SYSTEM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187.64</v>
      </c>
      <c r="BI92" s="107">
        <f t="shared" ref="BI92:BI124" si="4">IF(BH92="","",BH92*BG92)</f>
        <v>0</v>
      </c>
    </row>
    <row r="93" spans="1:61" ht="14.4" customHeight="1">
      <c r="A93" s="633"/>
      <c r="AU93" s="22">
        <f>OBJ!B244</f>
        <v>9256974</v>
      </c>
      <c r="AV93" s="23" t="str">
        <f>VLOOKUP(AU93,CENY!$B$11:$G$1034,2,FALSE)</f>
        <v>ACTRO YOU 40KG PLNOVÝSUV 270 MM EB21 SILENT SYSTEM LEVÝ</v>
      </c>
      <c r="AW93" s="24">
        <f>VLOOKUP(AU93,CENY!$B$11:$G$1034,3,FALSE)</f>
        <v>10</v>
      </c>
      <c r="AX93" s="24"/>
      <c r="AY93" s="25">
        <f>AY4*Y84</f>
        <v>0</v>
      </c>
      <c r="AZ93" s="107">
        <f>VLOOKUP(AU93,CENY!$B$11:$M$2005,12,FALSE)</f>
        <v>243.93</v>
      </c>
      <c r="BA93" s="107">
        <f>IF(AZ93="","",AZ93*AY93)</f>
        <v>0</v>
      </c>
      <c r="BC93" s="22">
        <f>OBJ!B317</f>
        <v>9256876</v>
      </c>
      <c r="BD93" s="23" t="str">
        <f>VLOOKUP(BC93,CENY!$B$11:$G$1034,2,FALSE)</f>
        <v>QUADRO YOU PLNOVÝSUV 550 MM EB21 SILENT SYSTEM LEVÝ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194.36</v>
      </c>
      <c r="BI93" s="107">
        <f t="shared" si="4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3"/>
        <v/>
      </c>
      <c r="BC94" s="22">
        <f>OBJ!B318</f>
        <v>9256877</v>
      </c>
      <c r="BD94" s="23" t="str">
        <f>VLOOKUP(BC94,CENY!$B$11:$G$1034,2,FALSE)</f>
        <v>QUADRO YOU PLNOVÝSUV 550 MM EB21 SILENT SYSTEM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194.36</v>
      </c>
      <c r="BI94" s="107">
        <f t="shared" si="4"/>
        <v>0</v>
      </c>
    </row>
    <row r="95" spans="1:61" ht="14.4" customHeight="1">
      <c r="A95" s="633"/>
      <c r="AU95" s="22">
        <f>OBJ!B433</f>
        <v>9099540</v>
      </c>
      <c r="AV95" s="23" t="str">
        <f>VLOOKUP(AU95,CENY!$B$11:$G$1034,2,FALSE)</f>
        <v>SENSYS 8657I 165° B12,5 TH52</v>
      </c>
      <c r="AW95" s="24">
        <f>VLOOKUP(AU95,CENY!$B$11:$G$1034,3,FALSE)</f>
        <v>50</v>
      </c>
      <c r="AX95" s="24"/>
      <c r="AY95" s="25">
        <f>VLOOKUP(SUM(AY2:AY4),AZ106:BA113,2,FALSE)*((SUM(O19:Z20)+SUM(Q21:AB21)+SUM(O26:Z26)+SUM(Q27:AB27))+(SUM(AE19:AP20)+SUM(AG21:AR21)+SUM(AE26:AP26)+SUM(AG27:AR27)))</f>
        <v>0</v>
      </c>
      <c r="AZ95" s="107">
        <f>VLOOKUP(AU95,CENY!$B$11:$M$2005,12,FALSE)</f>
        <v>142.76</v>
      </c>
      <c r="BA95" s="107">
        <f t="shared" si="3"/>
        <v>0</v>
      </c>
      <c r="BC95" s="22">
        <f>OBJ!B319</f>
        <v>9256880</v>
      </c>
      <c r="BD95" s="23" t="str">
        <f>VLOOKUP(BC95,CENY!$B$11:$G$1034,2,FALSE)</f>
        <v>QUADRO YOU PLNOVÝSUV 600 MM EB21 SILENT SYSTEM LEVÝ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198.1</v>
      </c>
      <c r="BI95" s="107">
        <f t="shared" si="4"/>
        <v>0</v>
      </c>
    </row>
    <row r="96" spans="1:61" ht="14.4" customHeight="1">
      <c r="A96" s="633"/>
      <c r="AU96" s="22">
        <f>OBJ!B434</f>
        <v>9099600</v>
      </c>
      <c r="AV96" s="23" t="str">
        <f>VLOOKUP(AU96,CENY!$B$11:$G$1034,2,FALSE)</f>
        <v>SENSYS 8657 165° B12,5 TH52 BEZ TLUMIČE</v>
      </c>
      <c r="AW96" s="24">
        <f>VLOOKUP(AU96,CENY!$B$11:$G$1034,3,FALSE)</f>
        <v>50</v>
      </c>
      <c r="AX96" s="24"/>
      <c r="AY96" s="77">
        <v>0</v>
      </c>
      <c r="AZ96" s="107">
        <f>VLOOKUP(AU96,CENY!$B$11:$M$2005,12,FALSE)</f>
        <v>124.34</v>
      </c>
      <c r="BA96" s="107">
        <f t="shared" si="3"/>
        <v>0</v>
      </c>
      <c r="BC96" s="22">
        <f>OBJ!B320</f>
        <v>9256881</v>
      </c>
      <c r="BD96" s="23" t="str">
        <f>VLOOKUP(BC96,CENY!$B$11:$G$1034,2,FALSE)</f>
        <v>QUADRO YOU PLNOVÝSUV 600 MM EB21 SILENT SYSTEM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198.1</v>
      </c>
      <c r="BI96" s="107">
        <f t="shared" si="4"/>
        <v>0</v>
      </c>
    </row>
    <row r="97" spans="1:61" ht="14.4" customHeight="1">
      <c r="A97" s="633"/>
      <c r="AU97" s="22">
        <f>OBJ!B435</f>
        <v>9099660</v>
      </c>
      <c r="AV97" s="23" t="str">
        <f>VLOOKUP(AU97,CENY!$B$11:$G$1034,2,FALSE)</f>
        <v>SENSYS 8687 165° B12,5 TH52 BEZ PRUŽINY</v>
      </c>
      <c r="AW97" s="24">
        <f>VLOOKUP(AU97,CENY!$B$11:$G$1034,3,FALSE)</f>
        <v>50</v>
      </c>
      <c r="AX97" s="24"/>
      <c r="AY97" s="77">
        <v>0</v>
      </c>
      <c r="AZ97" s="107">
        <f>VLOOKUP(AU97,CENY!$B$11:$M$2005,12,FALSE)</f>
        <v>128.94</v>
      </c>
      <c r="BA97" s="107">
        <f t="shared" si="3"/>
        <v>0</v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4"/>
        <v>#N/A</v>
      </c>
    </row>
    <row r="98" spans="1:61" ht="14.4" customHeight="1">
      <c r="A98" s="633"/>
      <c r="AU98" s="22">
        <f>OBJ!B436</f>
        <v>9071576</v>
      </c>
      <c r="AV98" s="23" t="str">
        <f>VLOOKUP(AU98,CENY!$B$11:$G$1034,2,FALSE)</f>
        <v xml:space="preserve">PODLOŽKA 8099 D1,5 </v>
      </c>
      <c r="AW98" s="24">
        <f>VLOOKUP(AU98,CENY!$B$11:$G$1034,3,FALSE)</f>
        <v>200</v>
      </c>
      <c r="AX98" s="24"/>
      <c r="AY98" s="25">
        <f>AY95</f>
        <v>0</v>
      </c>
      <c r="AZ98" s="107">
        <f>VLOOKUP(AU98,CENY!$B$11:$M$2005,12,FALSE)</f>
        <v>7.79</v>
      </c>
      <c r="BA98" s="107">
        <f t="shared" si="3"/>
        <v>0</v>
      </c>
      <c r="BC98" s="22">
        <f>OBJ!B322</f>
        <v>9257894</v>
      </c>
      <c r="BD98" s="23" t="str">
        <f>VLOOKUP(BC98,CENY!$B$11:$G$1034,2,FALSE)</f>
        <v>PUSH TO OPEN SILENT QUADRO YOU 10 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544.37</v>
      </c>
      <c r="BI98" s="107">
        <f t="shared" si="4"/>
        <v>0</v>
      </c>
    </row>
    <row r="99" spans="1:61" ht="14.4" customHeight="1">
      <c r="A99" s="633"/>
      <c r="AU99" s="22">
        <f>OBJ!B437</f>
        <v>9071671</v>
      </c>
      <c r="AV99" s="23" t="str">
        <f>VLOOKUP(AU99,CENY!$B$11:$G$1034,2,FALSE)</f>
        <v>PODLOŽKA 8099 D1,5 EXCENTR VRUTY</v>
      </c>
      <c r="AW99" s="24">
        <f>VLOOKUP(AU99,CENY!$B$11:$G$1034,3,FALSE)</f>
        <v>200</v>
      </c>
      <c r="AX99" s="24"/>
      <c r="AY99" s="77">
        <v>0</v>
      </c>
      <c r="AZ99" s="107">
        <f>VLOOKUP(AU99,CENY!$B$11:$M$2005,12,FALSE)</f>
        <v>15.98</v>
      </c>
      <c r="BA99" s="107">
        <f t="shared" si="3"/>
        <v>0</v>
      </c>
      <c r="BC99" s="22">
        <f>OBJ!B323</f>
        <v>9257895</v>
      </c>
      <c r="BD99" s="23" t="str">
        <f>VLOOKUP(BC99,CENY!$B$11:$G$1034,2,FALSE)</f>
        <v>PUSH TO OPEN SILENT QUADRO YOU 20 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544.37</v>
      </c>
      <c r="BI99" s="107">
        <f t="shared" si="4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3"/>
        <v/>
      </c>
      <c r="BC100" s="22">
        <f>OBJ!B324</f>
        <v>9257896</v>
      </c>
      <c r="BD100" s="23" t="str">
        <f>VLOOKUP(BC100,CENY!$B$11:$G$1034,2,FALSE)</f>
        <v>PUSH TO OPEN SILENT QUADRO YOU 30 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544.37</v>
      </c>
      <c r="BI100" s="107">
        <f t="shared" si="4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4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vnitřních čel nyní pasuje s počtem zásuvek.</v>
      </c>
      <c r="BC102" s="22">
        <f>OBJ!B326</f>
        <v>9256928</v>
      </c>
      <c r="BD102" s="23" t="str">
        <f>VLOOKUP(BC102,CENY!$B$11:$G$1034,2,FALSE)</f>
        <v>QUADRO YOU PLNOVÝSUV 270 MM EB21 PUSH TO OPEN SADA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413.4</v>
      </c>
      <c r="BI102" s="107">
        <f t="shared" si="4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 PLNOVÝSUV 300 MM EB21 PUSH TO OPEN SADA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414.13</v>
      </c>
      <c r="BI103" s="107">
        <f t="shared" si="4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 PLNOVÝSUV 350 MM EB21 PUSH TO OPEN SADA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421.61</v>
      </c>
      <c r="BI104" s="107">
        <f t="shared" si="4"/>
        <v>0</v>
      </c>
    </row>
    <row r="105" spans="1:61">
      <c r="A105" s="633"/>
      <c r="AZ105" s="293" t="s">
        <v>307</v>
      </c>
      <c r="BA105" s="293" t="s">
        <v>308</v>
      </c>
      <c r="BC105" s="22">
        <f>OBJ!B329</f>
        <v>9256933</v>
      </c>
      <c r="BD105" s="23" t="str">
        <f>VLOOKUP(BC105,CENY!$B$11:$G$1034,2,FALSE)</f>
        <v>QUADRO YOU PLNOVÝSUV 400 MM EB21 PUSH TO OPEN SADA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429.08</v>
      </c>
      <c r="BI105" s="107">
        <f t="shared" si="4"/>
        <v>0</v>
      </c>
    </row>
    <row r="106" spans="1:61">
      <c r="AU106" s="178">
        <f>SUM(O84:AF84)</f>
        <v>0</v>
      </c>
      <c r="AZ106" s="294">
        <v>1</v>
      </c>
      <c r="BA106" s="294">
        <v>2</v>
      </c>
      <c r="BC106" s="22">
        <f>OBJ!B330</f>
        <v>9256935</v>
      </c>
      <c r="BD106" s="23" t="str">
        <f>VLOOKUP(BC106,CENY!$B$11:$G$1034,2,FALSE)</f>
        <v>QUADRO YOU PLNOVÝSUV 450 MM EB21 PUSH TO OPEN SADA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436.55</v>
      </c>
      <c r="BI106" s="107">
        <f t="shared" si="4"/>
        <v>0</v>
      </c>
    </row>
    <row r="107" spans="1:61">
      <c r="AU107" s="111">
        <f>AU106-AU104</f>
        <v>0</v>
      </c>
      <c r="AZ107" s="294">
        <v>2</v>
      </c>
      <c r="BA107" s="294">
        <v>2</v>
      </c>
      <c r="BC107" s="22">
        <f>OBJ!B331</f>
        <v>9256937</v>
      </c>
      <c r="BD107" s="23" t="str">
        <f>VLOOKUP(BC107,CENY!$B$11:$G$1034,2,FALSE)</f>
        <v>QUADRO YOU PLNOVÝSUV 500 MM EB21 PUSH TO OPEN SADA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444.02</v>
      </c>
      <c r="BI107" s="107">
        <f t="shared" si="4"/>
        <v>0</v>
      </c>
    </row>
    <row r="108" spans="1:61">
      <c r="AU108" s="111">
        <f>AU104-AU106</f>
        <v>0</v>
      </c>
      <c r="AZ108" s="294">
        <v>3</v>
      </c>
      <c r="BA108" s="294">
        <v>3</v>
      </c>
      <c r="BC108" s="22">
        <f>OBJ!B332</f>
        <v>9256939</v>
      </c>
      <c r="BD108" s="23" t="str">
        <f>VLOOKUP(BC108,CENY!$B$11:$G$1034,2,FALSE)</f>
        <v>QUADRO YOU PLNOVÝSUV 550 MM EB21 PUSH TO OPEN SADA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457.48</v>
      </c>
      <c r="BI108" s="107">
        <f t="shared" si="4"/>
        <v>0</v>
      </c>
    </row>
    <row r="109" spans="1:61">
      <c r="AZ109" s="294">
        <v>4</v>
      </c>
      <c r="BA109" s="294">
        <v>3</v>
      </c>
      <c r="BC109" s="22">
        <f>OBJ!B333</f>
        <v>9256941</v>
      </c>
      <c r="BD109" s="23" t="str">
        <f>VLOOKUP(BC109,CENY!$B$11:$G$1034,2,FALSE)</f>
        <v>QUADRO YOU PLNOVÝSUV 600 MM EB21 PUSH TO OPEN SADA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464.95</v>
      </c>
      <c r="BI109" s="107">
        <f t="shared" si="4"/>
        <v>0</v>
      </c>
    </row>
    <row r="110" spans="1:61">
      <c r="AZ110" s="294">
        <v>5</v>
      </c>
      <c r="BA110" s="294">
        <v>4</v>
      </c>
      <c r="BC110" s="22">
        <f>OBJ!B334</f>
        <v>9256899</v>
      </c>
      <c r="BD110" s="23" t="str">
        <f>VLOOKUP(BC110,CENY!$B$11:$G$1034,2,FALSE)</f>
        <v>QUADRO YOU PLNOVÝSUV 270 MM EB21 PUSH TO OPEN LEVÝ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194.74</v>
      </c>
      <c r="BI110" s="107">
        <f t="shared" si="4"/>
        <v>0</v>
      </c>
    </row>
    <row r="111" spans="1:61">
      <c r="AZ111" s="294">
        <v>6</v>
      </c>
      <c r="BA111" s="294">
        <v>5</v>
      </c>
      <c r="BC111" s="22">
        <f>OBJ!B335</f>
        <v>9256900</v>
      </c>
      <c r="BD111" s="23" t="str">
        <f>VLOOKUP(BC111,CENY!$B$11:$G$1034,2,FALSE)</f>
        <v>QUADRO YOU PLNOVÝSUV 270 MM EB21 PUSH TO OPEN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194.74</v>
      </c>
      <c r="BI111" s="107">
        <f t="shared" si="4"/>
        <v>0</v>
      </c>
    </row>
    <row r="112" spans="1:61">
      <c r="AZ112" s="294">
        <v>7</v>
      </c>
      <c r="BA112" s="294">
        <v>5</v>
      </c>
      <c r="BC112" s="22">
        <f>OBJ!B336</f>
        <v>9256901</v>
      </c>
      <c r="BD112" s="23" t="str">
        <f>VLOOKUP(BC112,CENY!$B$11:$G$1034,2,FALSE)</f>
        <v>QUADRO YOU PLNOVÝSUV 300 MM EB21 PUSH TO OPEN LEVÝ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195.11</v>
      </c>
      <c r="BI112" s="107">
        <f t="shared" si="4"/>
        <v>0</v>
      </c>
    </row>
    <row r="113" spans="52:61">
      <c r="AZ113" s="294">
        <v>8</v>
      </c>
      <c r="BA113" s="294">
        <v>5</v>
      </c>
      <c r="BC113" s="22">
        <f>OBJ!B337</f>
        <v>9256902</v>
      </c>
      <c r="BD113" s="23" t="str">
        <f>VLOOKUP(BC113,CENY!$B$11:$G$1034,2,FALSE)</f>
        <v>QUADRO YOU PLNOVÝSUV 300 MM EB21 PUSH TO OPEN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195.11</v>
      </c>
      <c r="BI113" s="107">
        <f t="shared" si="4"/>
        <v>0</v>
      </c>
    </row>
    <row r="114" spans="52:61">
      <c r="BC114" s="22">
        <f>OBJ!B338</f>
        <v>9256905</v>
      </c>
      <c r="BD114" s="23" t="str">
        <f>VLOOKUP(BC114,CENY!$B$11:$G$1034,2,FALSE)</f>
        <v>QUADRO YOU PLNOVÝSUV 350 MM EB21 PUSH TO OPEN LEVÝ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198.85</v>
      </c>
      <c r="BI114" s="107">
        <f t="shared" si="4"/>
        <v>0</v>
      </c>
    </row>
    <row r="115" spans="52:61">
      <c r="BC115" s="22">
        <f>OBJ!B339</f>
        <v>9256906</v>
      </c>
      <c r="BD115" s="23" t="str">
        <f>VLOOKUP(BC115,CENY!$B$11:$G$1034,2,FALSE)</f>
        <v>QUADRO YOU PLNOVÝSUV 350 MM EB21 PUSH TO OPEN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198.85</v>
      </c>
      <c r="BI115" s="107">
        <f t="shared" si="4"/>
        <v>0</v>
      </c>
    </row>
    <row r="116" spans="52:61">
      <c r="BC116" s="22">
        <f>OBJ!B340</f>
        <v>9256909</v>
      </c>
      <c r="BD116" s="23" t="str">
        <f>VLOOKUP(BC116,CENY!$B$11:$G$1034,2,FALSE)</f>
        <v>QUADRO YOU PLNOVÝSUV 400 MM EB21 PUSH TO OPEN LEVÝ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202.58</v>
      </c>
      <c r="BI116" s="107">
        <f t="shared" si="4"/>
        <v>0</v>
      </c>
    </row>
    <row r="117" spans="52:61">
      <c r="BC117" s="22">
        <f>OBJ!B341</f>
        <v>9256910</v>
      </c>
      <c r="BD117" s="23" t="str">
        <f>VLOOKUP(BC117,CENY!$B$11:$G$1034,2,FALSE)</f>
        <v>QUADRO YOU PLNOVÝSUV 400 MM EB21 PUSH TO OPEN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202.58</v>
      </c>
      <c r="BI117" s="107">
        <f t="shared" si="4"/>
        <v>0</v>
      </c>
    </row>
    <row r="118" spans="52:61">
      <c r="BC118" s="22">
        <f>OBJ!B342</f>
        <v>9256913</v>
      </c>
      <c r="BD118" s="23" t="str">
        <f>VLOOKUP(BC118,CENY!$B$11:$G$1034,2,FALSE)</f>
        <v>QUADRO YOU PLNOVÝSUV 450 MM EB21 PUSH TO OPEN LEVÝ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206.32</v>
      </c>
      <c r="BI118" s="107">
        <f t="shared" si="4"/>
        <v>0</v>
      </c>
    </row>
    <row r="119" spans="52:61">
      <c r="BC119" s="22">
        <f>OBJ!B343</f>
        <v>9256914</v>
      </c>
      <c r="BD119" s="23" t="str">
        <f>VLOOKUP(BC119,CENY!$B$11:$G$1034,2,FALSE)</f>
        <v>QUADRO YOU PLNOVÝSUV 450 MM EB21 PUSH TO OPEN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206.32</v>
      </c>
      <c r="BI119" s="107">
        <f t="shared" si="4"/>
        <v>0</v>
      </c>
    </row>
    <row r="120" spans="52:61">
      <c r="BC120" s="22">
        <f>OBJ!B344</f>
        <v>9256917</v>
      </c>
      <c r="BD120" s="23" t="str">
        <f>VLOOKUP(BC120,CENY!$B$11:$G$1034,2,FALSE)</f>
        <v>QUADRO YOU PLNOVÝSUV 500 MM EB21 PUSH TO OPEN LEVÝ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210.06</v>
      </c>
      <c r="BI120" s="107">
        <f t="shared" si="4"/>
        <v>0</v>
      </c>
    </row>
    <row r="121" spans="52:61">
      <c r="BC121" s="22">
        <f>OBJ!B345</f>
        <v>9256918</v>
      </c>
      <c r="BD121" s="23" t="str">
        <f>VLOOKUP(BC121,CENY!$B$11:$G$1034,2,FALSE)</f>
        <v>QUADRO YOU PLNOVÝSUV 500 MM EB21 PUSH TO OPEN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210.06</v>
      </c>
      <c r="BI121" s="107">
        <f t="shared" si="4"/>
        <v>0</v>
      </c>
    </row>
    <row r="122" spans="52:61">
      <c r="BC122" s="22">
        <f>OBJ!B346</f>
        <v>9256921</v>
      </c>
      <c r="BD122" s="23" t="str">
        <f>VLOOKUP(BC122,CENY!$B$11:$G$1034,2,FALSE)</f>
        <v>QUADRO YOU PLNOVÝSUV 550 MM EB21 PUSH TO OPEN LEVÝ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216.78</v>
      </c>
      <c r="BI122" s="107">
        <f t="shared" si="4"/>
        <v>0</v>
      </c>
    </row>
    <row r="123" spans="52:61">
      <c r="BC123" s="22">
        <f>OBJ!B347</f>
        <v>9256922</v>
      </c>
      <c r="BD123" s="23" t="str">
        <f>VLOOKUP(BC123,CENY!$B$11:$G$1034,2,FALSE)</f>
        <v>QUADRO YOU PLNOVÝSUV 550 MM EB21 PUSH TO OPEN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216.78</v>
      </c>
      <c r="BI123" s="107">
        <f t="shared" si="4"/>
        <v>0</v>
      </c>
    </row>
    <row r="124" spans="52:61">
      <c r="BC124" s="22">
        <f>OBJ!B348</f>
        <v>9256925</v>
      </c>
      <c r="BD124" s="23" t="str">
        <f>VLOOKUP(BC124,CENY!$B$11:$G$1034,2,FALSE)</f>
        <v>QUADRO YOU PLNOVÝSUV 600 MM EB21 PUSH TO OPEN LEVÝ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223.51</v>
      </c>
      <c r="BI124" s="107">
        <f t="shared" si="4"/>
        <v>0</v>
      </c>
    </row>
    <row r="125" spans="52:61">
      <c r="BC125" s="22"/>
      <c r="BD125" s="23"/>
      <c r="BE125" s="24"/>
      <c r="BF125" s="24"/>
      <c r="BG125" s="25"/>
      <c r="BH125" s="107"/>
      <c r="BI125" s="107"/>
    </row>
    <row r="126" spans="52:61">
      <c r="BC126" s="22"/>
      <c r="BD126" s="23"/>
      <c r="BE126" s="24"/>
      <c r="BF126" s="24"/>
      <c r="BG126" s="25"/>
      <c r="BH126" s="107"/>
      <c r="BI126" s="107"/>
    </row>
    <row r="127" spans="52:61">
      <c r="BC127" s="22"/>
      <c r="BD127" s="23"/>
      <c r="BE127" s="24"/>
      <c r="BF127" s="24"/>
      <c r="BG127" s="25"/>
      <c r="BH127" s="107"/>
      <c r="BI127" s="107" t="str">
        <f t="shared" ref="BI127:BI134" si="5">IF(BH127="","",BH127*BG127)</f>
        <v/>
      </c>
    </row>
    <row r="128" spans="52:61">
      <c r="BC128" s="22"/>
      <c r="BD128" s="23"/>
      <c r="BE128" s="24"/>
      <c r="BF128" s="24"/>
      <c r="BG128" s="25"/>
      <c r="BH128" s="107"/>
      <c r="BI128" s="107" t="str">
        <f t="shared" si="5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5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5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5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5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5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5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75">
    <mergeCell ref="AI67:AM67"/>
    <mergeCell ref="AE84:AF84"/>
    <mergeCell ref="AA83:AB83"/>
    <mergeCell ref="AC83:AD83"/>
    <mergeCell ref="AE83:AF83"/>
    <mergeCell ref="AO67:AR67"/>
    <mergeCell ref="O82:AH82"/>
    <mergeCell ref="O83:P83"/>
    <mergeCell ref="Q83:R83"/>
    <mergeCell ref="S83:T83"/>
    <mergeCell ref="U83:V83"/>
    <mergeCell ref="W83:X83"/>
    <mergeCell ref="Y83:Z83"/>
    <mergeCell ref="AG83:AH83"/>
    <mergeCell ref="O84:P84"/>
    <mergeCell ref="Q84:R84"/>
    <mergeCell ref="S84:T84"/>
    <mergeCell ref="U84:V84"/>
    <mergeCell ref="W84:X84"/>
    <mergeCell ref="Y84:Z84"/>
    <mergeCell ref="AA84:AB84"/>
    <mergeCell ref="AC84:AD84"/>
    <mergeCell ref="O30:S31"/>
    <mergeCell ref="A66:A105"/>
    <mergeCell ref="B67:E67"/>
    <mergeCell ref="G67:K67"/>
    <mergeCell ref="O67:S67"/>
    <mergeCell ref="U67:Y67"/>
    <mergeCell ref="W27:X27"/>
    <mergeCell ref="Y27:Z27"/>
    <mergeCell ref="AA27:AB27"/>
    <mergeCell ref="AA67:AE67"/>
    <mergeCell ref="M84:N84"/>
    <mergeCell ref="AQ26:AR26"/>
    <mergeCell ref="B27:G27"/>
    <mergeCell ref="H27:L27"/>
    <mergeCell ref="M27:N27"/>
    <mergeCell ref="O27:P27"/>
    <mergeCell ref="Q27:R27"/>
    <mergeCell ref="S27:T27"/>
    <mergeCell ref="U27:V27"/>
    <mergeCell ref="Y26:Z26"/>
    <mergeCell ref="AA26:AB26"/>
    <mergeCell ref="AE26:AF26"/>
    <mergeCell ref="AG26:AH26"/>
    <mergeCell ref="AI26:AJ26"/>
    <mergeCell ref="AK26:AL26"/>
    <mergeCell ref="AK27:AL27"/>
    <mergeCell ref="AM27:AN27"/>
    <mergeCell ref="AO27:AP27"/>
    <mergeCell ref="AQ27:AR27"/>
    <mergeCell ref="AE27:AF27"/>
    <mergeCell ref="AG27:AH27"/>
    <mergeCell ref="AI27:AJ27"/>
    <mergeCell ref="AO25:AP25"/>
    <mergeCell ref="AQ25:AR25"/>
    <mergeCell ref="B26:G26"/>
    <mergeCell ref="H26:L26"/>
    <mergeCell ref="M26:N26"/>
    <mergeCell ref="O26:P26"/>
    <mergeCell ref="Q26:R26"/>
    <mergeCell ref="S26:T26"/>
    <mergeCell ref="U26:V26"/>
    <mergeCell ref="W26:X26"/>
    <mergeCell ref="AA25:AB25"/>
    <mergeCell ref="AE25:AF25"/>
    <mergeCell ref="AG25:AH25"/>
    <mergeCell ref="AI25:AJ25"/>
    <mergeCell ref="AK25:AL25"/>
    <mergeCell ref="AM25:AN25"/>
    <mergeCell ref="O25:P25"/>
    <mergeCell ref="Q25:R25"/>
    <mergeCell ref="S25:T25"/>
    <mergeCell ref="U25:V25"/>
    <mergeCell ref="W25:X25"/>
    <mergeCell ref="Y25:Z25"/>
    <mergeCell ref="AM26:AN26"/>
    <mergeCell ref="AO26:AP26"/>
    <mergeCell ref="O24:AB24"/>
    <mergeCell ref="AE24:AR24"/>
    <mergeCell ref="U21:V21"/>
    <mergeCell ref="W21:X21"/>
    <mergeCell ref="Y21:Z21"/>
    <mergeCell ref="AA21:AB21"/>
    <mergeCell ref="AE21:AF21"/>
    <mergeCell ref="AG21:AH21"/>
    <mergeCell ref="AO20:AP20"/>
    <mergeCell ref="AE20:AF20"/>
    <mergeCell ref="AG20:AH20"/>
    <mergeCell ref="AI20:AJ20"/>
    <mergeCell ref="AO21:AP21"/>
    <mergeCell ref="AQ21:AR21"/>
    <mergeCell ref="B21:G21"/>
    <mergeCell ref="H21:L21"/>
    <mergeCell ref="M21:N21"/>
    <mergeCell ref="O21:P21"/>
    <mergeCell ref="Q21:R21"/>
    <mergeCell ref="S21:T21"/>
    <mergeCell ref="AM19:AN19"/>
    <mergeCell ref="AO19:AP19"/>
    <mergeCell ref="AQ19:AR19"/>
    <mergeCell ref="AK19:AL19"/>
    <mergeCell ref="AI21:AJ21"/>
    <mergeCell ref="AK21:AL21"/>
    <mergeCell ref="AM21:AN21"/>
    <mergeCell ref="AQ20:AR20"/>
    <mergeCell ref="AK20:AL20"/>
    <mergeCell ref="AM20:AN20"/>
    <mergeCell ref="B20:G20"/>
    <mergeCell ref="H20:L20"/>
    <mergeCell ref="M20:N20"/>
    <mergeCell ref="O20:P20"/>
    <mergeCell ref="Q20:R20"/>
    <mergeCell ref="S20:T20"/>
    <mergeCell ref="U20:V20"/>
    <mergeCell ref="Y19:Z19"/>
    <mergeCell ref="AE19:AF19"/>
    <mergeCell ref="AG19:AH19"/>
    <mergeCell ref="AI19:AJ19"/>
    <mergeCell ref="W20:X20"/>
    <mergeCell ref="Y20:Z20"/>
    <mergeCell ref="AA20:AB20"/>
    <mergeCell ref="AO18:AP18"/>
    <mergeCell ref="AQ18:AR18"/>
    <mergeCell ref="AE18:AF18"/>
    <mergeCell ref="AG18:AH18"/>
    <mergeCell ref="AI18:AJ18"/>
    <mergeCell ref="AK18:AL18"/>
    <mergeCell ref="AM18:AN18"/>
    <mergeCell ref="B19:G19"/>
    <mergeCell ref="H19:L19"/>
    <mergeCell ref="M19:N19"/>
    <mergeCell ref="O19:P19"/>
    <mergeCell ref="Q19:R19"/>
    <mergeCell ref="S19:T19"/>
    <mergeCell ref="U19:V19"/>
    <mergeCell ref="W19:X19"/>
    <mergeCell ref="AA18:AB18"/>
    <mergeCell ref="O18:P18"/>
    <mergeCell ref="Q18:R18"/>
    <mergeCell ref="S18:T18"/>
    <mergeCell ref="U18:V18"/>
    <mergeCell ref="W18:X18"/>
    <mergeCell ref="Y18:Z18"/>
    <mergeCell ref="AA19:AB19"/>
    <mergeCell ref="B13:E13"/>
    <mergeCell ref="F13:I13"/>
    <mergeCell ref="J13:K13"/>
    <mergeCell ref="AP15:AQ15"/>
    <mergeCell ref="O17:AB17"/>
    <mergeCell ref="AE17:AR17"/>
    <mergeCell ref="B10:E10"/>
    <mergeCell ref="F10:K10"/>
    <mergeCell ref="B11:E11"/>
    <mergeCell ref="F11:I11"/>
    <mergeCell ref="J11:K11"/>
    <mergeCell ref="B12:E12"/>
    <mergeCell ref="F12:I12"/>
    <mergeCell ref="J12:K12"/>
    <mergeCell ref="AA2:AE2"/>
    <mergeCell ref="B8:E8"/>
    <mergeCell ref="F8:K8"/>
    <mergeCell ref="B9:E9"/>
    <mergeCell ref="F9:K9"/>
    <mergeCell ref="AP9:AQ9"/>
    <mergeCell ref="AI2:AM2"/>
    <mergeCell ref="AO2:AR2"/>
    <mergeCell ref="B6:E6"/>
    <mergeCell ref="F6:K6"/>
    <mergeCell ref="B7:E7"/>
    <mergeCell ref="F7:K7"/>
    <mergeCell ref="B2:E2"/>
    <mergeCell ref="G2:K2"/>
    <mergeCell ref="O2:S2"/>
    <mergeCell ref="U2:Y2"/>
  </mergeCells>
  <conditionalFormatting sqref="AY5:AY100 BG5:BG160">
    <cfRule type="cellIs" dxfId="11" priority="7" stopIfTrue="1" operator="equal">
      <formula>0</formula>
    </cfRule>
  </conditionalFormatting>
  <conditionalFormatting sqref="AR87">
    <cfRule type="expression" dxfId="10" priority="6" stopIfTrue="1">
      <formula>$AV$102=AR87</formula>
    </cfRule>
  </conditionalFormatting>
  <conditionalFormatting sqref="AY18:AY25">
    <cfRule type="cellIs" dxfId="9" priority="5" stopIfTrue="1" operator="equal">
      <formula>0</formula>
    </cfRule>
  </conditionalFormatting>
  <conditionalFormatting sqref="BG26:BG33">
    <cfRule type="cellIs" dxfId="8" priority="4" stopIfTrue="1" operator="equal">
      <formula>0</formula>
    </cfRule>
  </conditionalFormatting>
  <conditionalFormatting sqref="BG27:BG33">
    <cfRule type="cellIs" dxfId="7" priority="3" stopIfTrue="1" operator="equal">
      <formula>0</formula>
    </cfRule>
  </conditionalFormatting>
  <conditionalFormatting sqref="AY95:AY99">
    <cfRule type="cellIs" dxfId="6" priority="2" stopIfTrue="1" operator="equal">
      <formula>0</formula>
    </cfRule>
  </conditionalFormatting>
  <conditionalFormatting sqref="AY95:AY99">
    <cfRule type="cellIs" dxfId="5" priority="1" stopIfTrue="1" operator="equal">
      <formula>0</formula>
    </cfRule>
  </conditionalFormatting>
  <hyperlinks>
    <hyperlink ref="O2:S2" location="MENU!A5" display="MENU!A5"/>
    <hyperlink ref="M69" location="MENU!A1" display="MENU!A1"/>
    <hyperlink ref="B67:E67" location="'potr-ot-DS'!A1" display="'potr-ot-DS'!A1"/>
    <hyperlink ref="O30:S31" location="'potr-ot-DS'!A66" display="'potr-ot-DS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"/>
  <sheetViews>
    <sheetView showGridLines="0" showRowColHeaders="0" workbookViewId="0"/>
  </sheetViews>
  <sheetFormatPr defaultRowHeight="13.8"/>
  <sheetData/>
  <sheetProtection password="DD97" sheet="1"/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I100"/>
  <sheetViews>
    <sheetView showGridLines="0" showRowColHeaders="0" zoomScaleNormal="100" workbookViewId="0">
      <selection activeCell="B2" sqref="B2:E2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73" width="9" style="97" customWidth="1"/>
    <col min="74" max="16384" width="9" style="97"/>
  </cols>
  <sheetData>
    <row r="1" spans="1:61" ht="12.9" customHeight="1" thickBot="1">
      <c r="AV1" s="159"/>
      <c r="AW1" s="159"/>
    </row>
    <row r="2" spans="1:61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49" t="str">
        <f>verze!E7</f>
        <v xml:space="preserve"> Výběr zásuvek</v>
      </c>
      <c r="P2" s="550"/>
      <c r="Q2" s="550"/>
      <c r="R2" s="550"/>
      <c r="S2" s="551"/>
      <c r="U2" s="516" t="str">
        <f>verze!E8</f>
        <v xml:space="preserve"> </v>
      </c>
      <c r="V2" s="517"/>
      <c r="W2" s="517"/>
      <c r="X2" s="517"/>
      <c r="Y2" s="518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1" ht="12.9" customHeight="1">
      <c r="AV3" s="159"/>
      <c r="AW3" s="159"/>
    </row>
    <row r="4" spans="1:61" ht="23.1" customHeight="1">
      <c r="A4" s="100"/>
      <c r="B4" s="188" t="s">
        <v>199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BA4" s="106" t="e">
        <f>SUM(BA5:BA50)</f>
        <v>#N/A</v>
      </c>
      <c r="BC4" s="105" t="s">
        <v>40</v>
      </c>
      <c r="BI4" s="106" t="e">
        <f>SUM(BI5:BI985)</f>
        <v>#N/A</v>
      </c>
    </row>
    <row r="5" spans="1:61" ht="14.4" customHeight="1">
      <c r="AU5" s="22">
        <f>OBJ!B350</f>
        <v>0</v>
      </c>
      <c r="AV5" s="23" t="e">
        <f>VLOOKUP(AU5,CENY!$B$11:$G$1034,2,FALSE)</f>
        <v>#N/A</v>
      </c>
      <c r="AW5" s="24" t="e">
        <f>VLOOKUP(AU5,CENY!$B$11:$G$1034,3,FALSE)</f>
        <v>#N/A</v>
      </c>
      <c r="AX5" s="24"/>
      <c r="AY5" s="25">
        <f>O19</f>
        <v>0</v>
      </c>
      <c r="AZ5" s="107" t="e">
        <f>VLOOKUP(AU5,CENY!$B$11:$M$2005,12,FALSE)</f>
        <v>#N/A</v>
      </c>
      <c r="BA5" s="107" t="e">
        <f>IF(AZ5="","",AZ5*AY5)</f>
        <v>#N/A</v>
      </c>
      <c r="BC5" s="22"/>
      <c r="BD5" s="23" t="e">
        <f>VLOOKUP(BC5,CENY!$B$11:$G$1034,2,FALSE)</f>
        <v>#N/A</v>
      </c>
      <c r="BE5" s="24" t="e">
        <f>VLOOKUP(BC5,CENY!$B$11:$G$1034,3,FALSE)</f>
        <v>#N/A</v>
      </c>
      <c r="BF5" s="24"/>
      <c r="BG5" s="25"/>
      <c r="BH5" s="107" t="e">
        <f>VLOOKUP(BC5,CENY!$B$11:$M$2005,12,FALSE)</f>
        <v>#N/A</v>
      </c>
      <c r="BI5" s="107" t="e">
        <f>IF(BH5="","",BH5*BG5)</f>
        <v>#N/A</v>
      </c>
    </row>
    <row r="6" spans="1:61" ht="14.4" customHeight="1">
      <c r="B6" s="553" t="str">
        <f>" "&amp;verze!E150</f>
        <v xml:space="preserve"> min.šířka korp.:</v>
      </c>
      <c r="C6" s="553"/>
      <c r="D6" s="553"/>
      <c r="E6" s="553"/>
      <c r="F6" s="554" t="s">
        <v>323</v>
      </c>
      <c r="G6" s="554"/>
      <c r="H6" s="554"/>
      <c r="I6" s="554"/>
      <c r="J6" s="554"/>
      <c r="K6" s="554"/>
      <c r="AU6" s="22">
        <f>OBJ!B351</f>
        <v>9219966</v>
      </c>
      <c r="AV6" s="23" t="str">
        <f>VLOOKUP(AU6,CENY!$B$11:$G$1034,2,FALSE)</f>
        <v>PUSH TO OPEN SYNCHRO ADAPTÉR TYP A</v>
      </c>
      <c r="AW6" s="24">
        <f>VLOOKUP(AU6,CENY!$B$11:$G$1034,3,FALSE)</f>
        <v>200</v>
      </c>
      <c r="AX6" s="24"/>
      <c r="AY6" s="25">
        <f t="shared" ref="AY6:AY17" si="0">O20</f>
        <v>0</v>
      </c>
      <c r="AZ6" s="107">
        <f>VLOOKUP(AU6,CENY!$B$11:$M$2005,12,FALSE)</f>
        <v>13.07</v>
      </c>
      <c r="BA6" s="107">
        <f>IF(AZ6="","",AZ6*AY6)</f>
        <v>0</v>
      </c>
      <c r="BC6" s="22"/>
      <c r="BD6" s="23" t="e">
        <f>VLOOKUP(BC6,CENY!$B$11:$G$1034,2,FALSE)</f>
        <v>#N/A</v>
      </c>
      <c r="BE6" s="24" t="e">
        <f>VLOOKUP(BC6,CENY!$B$11:$G$1034,3,FALSE)</f>
        <v>#N/A</v>
      </c>
      <c r="BF6" s="24"/>
      <c r="BG6" s="25"/>
      <c r="BH6" s="107" t="e">
        <f>VLOOKUP(BC6,CENY!$B$11:$M$2005,12,FALSE)</f>
        <v>#N/A</v>
      </c>
      <c r="BI6" s="107" t="e">
        <f>IF(BH6="","",BH6*BG6)</f>
        <v>#N/A</v>
      </c>
    </row>
    <row r="7" spans="1:61" ht="14.4" customHeight="1">
      <c r="B7" s="553" t="str">
        <f>" "&amp;verze!E151</f>
        <v xml:space="preserve"> max.šířka korp.:</v>
      </c>
      <c r="C7" s="553"/>
      <c r="D7" s="553"/>
      <c r="E7" s="553"/>
      <c r="F7" s="554" t="s">
        <v>324</v>
      </c>
      <c r="G7" s="554"/>
      <c r="H7" s="554"/>
      <c r="I7" s="554"/>
      <c r="J7" s="554"/>
      <c r="K7" s="554"/>
      <c r="AU7" s="22">
        <f>OBJ!B352</f>
        <v>0</v>
      </c>
      <c r="AV7" s="23" t="e">
        <f>VLOOKUP(AU7,CENY!$B$11:$G$1034,2,FALSE)</f>
        <v>#N/A</v>
      </c>
      <c r="AW7" s="24" t="e">
        <f>VLOOKUP(AU7,CENY!$B$11:$G$1034,3,FALSE)</f>
        <v>#N/A</v>
      </c>
      <c r="AX7" s="24"/>
      <c r="AY7" s="25">
        <f t="shared" si="0"/>
        <v>0</v>
      </c>
      <c r="AZ7" s="107" t="e">
        <f>VLOOKUP(AU7,CENY!$B$11:$M$2005,12,FALSE)</f>
        <v>#N/A</v>
      </c>
      <c r="BA7" s="107" t="e">
        <f>IF(AZ7="","",AZ7*AY7)</f>
        <v>#N/A</v>
      </c>
      <c r="BC7" s="22"/>
      <c r="BD7" s="23"/>
      <c r="BE7" s="24"/>
      <c r="BF7" s="24"/>
      <c r="BG7" s="25"/>
      <c r="BH7" s="107"/>
      <c r="BI7" s="107"/>
    </row>
    <row r="8" spans="1:61" ht="14.4" customHeight="1">
      <c r="B8" s="553" t="str">
        <f>" "&amp;verze!E152</f>
        <v xml:space="preserve"> min.hl.příbor. :</v>
      </c>
      <c r="C8" s="553"/>
      <c r="D8" s="553"/>
      <c r="E8" s="553"/>
      <c r="F8" s="554" t="s">
        <v>325</v>
      </c>
      <c r="G8" s="554"/>
      <c r="H8" s="554"/>
      <c r="I8" s="554"/>
      <c r="J8" s="554"/>
      <c r="K8" s="554"/>
      <c r="AU8" s="22">
        <f>OBJ!B353</f>
        <v>9278225</v>
      </c>
      <c r="AV8" s="23" t="str">
        <f>VLOOKUP(AU8,CENY!$B$11:$G$1034,2,FALSE)</f>
        <v>AVANTECH YOU VRUT 3,5X6,5 PANHEAD POZINK.</v>
      </c>
      <c r="AW8" s="24">
        <f>VLOOKUP(AU8,CENY!$B$11:$G$1034,3,FALSE)</f>
        <v>200</v>
      </c>
      <c r="AX8" s="24"/>
      <c r="AY8" s="25">
        <f t="shared" si="0"/>
        <v>0</v>
      </c>
      <c r="AZ8" s="107">
        <f>VLOOKUP(AU8,CENY!$B$11:$M$2005,12,FALSE)</f>
        <v>0.73</v>
      </c>
      <c r="BA8" s="107">
        <f t="shared" ref="BA8:BA40" si="1">IF(AZ8="","",AZ8*AY8)</f>
        <v>0</v>
      </c>
      <c r="BC8" s="22"/>
      <c r="BD8" s="23"/>
      <c r="BE8" s="24"/>
      <c r="BF8" s="24"/>
      <c r="BG8" s="25"/>
      <c r="BH8" s="107"/>
      <c r="BI8" s="107"/>
    </row>
    <row r="9" spans="1:61" ht="14.4" customHeight="1">
      <c r="B9" s="553" t="str">
        <f>" "&amp;verze!E153</f>
        <v xml:space="preserve"> max.hl.příbor.:</v>
      </c>
      <c r="C9" s="553"/>
      <c r="D9" s="553"/>
      <c r="E9" s="553"/>
      <c r="F9" s="554" t="s">
        <v>326</v>
      </c>
      <c r="G9" s="554"/>
      <c r="H9" s="554"/>
      <c r="I9" s="554"/>
      <c r="J9" s="554"/>
      <c r="K9" s="554"/>
      <c r="AU9" s="22">
        <f>OBJ!B354</f>
        <v>45167</v>
      </c>
      <c r="AV9" s="23" t="str">
        <f>VLOOKUP(AU9,CENY!$B$11:$G$1034,2,FALSE)</f>
        <v>VRUT PANHEAD 35X12</v>
      </c>
      <c r="AW9" s="24">
        <f>VLOOKUP(AU9,CENY!$B$11:$G$1034,3,FALSE)</f>
        <v>200</v>
      </c>
      <c r="AX9" s="24"/>
      <c r="AY9" s="25">
        <f t="shared" si="0"/>
        <v>0</v>
      </c>
      <c r="AZ9" s="107">
        <f>VLOOKUP(AU9,CENY!$B$11:$M$2005,12,FALSE)</f>
        <v>0.54</v>
      </c>
      <c r="BA9" s="107">
        <f t="shared" si="1"/>
        <v>0</v>
      </c>
      <c r="BC9" s="22"/>
      <c r="BD9" s="23"/>
      <c r="BE9" s="24"/>
      <c r="BF9" s="24"/>
      <c r="BG9" s="25"/>
      <c r="BH9" s="107"/>
      <c r="BI9" s="107"/>
    </row>
    <row r="10" spans="1:61" ht="14.4" customHeight="1" thickBot="1">
      <c r="B10" s="553"/>
      <c r="C10" s="553"/>
      <c r="D10" s="553"/>
      <c r="E10" s="553"/>
      <c r="F10" s="568"/>
      <c r="G10" s="568"/>
      <c r="H10" s="568"/>
      <c r="I10" s="568"/>
      <c r="J10" s="568"/>
      <c r="K10" s="568"/>
      <c r="AU10" s="22">
        <f>OBJ!B355</f>
        <v>45168</v>
      </c>
      <c r="AV10" s="23" t="str">
        <f>VLOOKUP(AU10,CENY!$B$11:$G$1034,2,FALSE)</f>
        <v>VRUT PANHEAD 35X20</v>
      </c>
      <c r="AW10" s="24">
        <f>VLOOKUP(AU10,CENY!$B$11:$G$1034,3,FALSE)</f>
        <v>200</v>
      </c>
      <c r="AX10" s="24"/>
      <c r="AY10" s="25">
        <f t="shared" si="0"/>
        <v>0</v>
      </c>
      <c r="AZ10" s="107">
        <f>VLOOKUP(AU10,CENY!$B$11:$M$2005,12,FALSE)</f>
        <v>0.78</v>
      </c>
      <c r="BA10" s="107">
        <f t="shared" si="1"/>
        <v>0</v>
      </c>
      <c r="BC10" s="22"/>
      <c r="BD10" s="23"/>
      <c r="BE10" s="24"/>
      <c r="BF10" s="24"/>
      <c r="BG10" s="25"/>
      <c r="BH10" s="107"/>
      <c r="BI10" s="107"/>
    </row>
    <row r="11" spans="1:61" ht="14.4" customHeight="1" thickBot="1">
      <c r="B11" s="553" t="str">
        <f>" "&amp;verze!E92</f>
        <v xml:space="preserve"> cena kování:</v>
      </c>
      <c r="C11" s="553"/>
      <c r="D11" s="553"/>
      <c r="E11" s="555"/>
      <c r="F11" s="606" t="e">
        <f>BA4</f>
        <v>#N/A</v>
      </c>
      <c r="G11" s="606"/>
      <c r="H11" s="606"/>
      <c r="I11" s="606"/>
      <c r="J11" s="607" t="str">
        <f>IF(verze!E1="CZK","CZK","EUR")</f>
        <v>CZK</v>
      </c>
      <c r="K11" s="607"/>
      <c r="AU11" s="22">
        <f>OBJ!B356</f>
        <v>9278224</v>
      </c>
      <c r="AV11" s="23" t="str">
        <f>VLOOKUP(AU11,CENY!$B$11:$G$1034,2,FALSE)</f>
        <v>AVANTECH YOU VRUT 3,5X30 PANHEAD POZINK.</v>
      </c>
      <c r="AW11" s="24">
        <f>VLOOKUP(AU11,CENY!$B$11:$G$1034,3,FALSE)</f>
        <v>200</v>
      </c>
      <c r="AX11" s="24"/>
      <c r="AY11" s="25">
        <f t="shared" si="0"/>
        <v>0</v>
      </c>
      <c r="AZ11" s="107">
        <f>VLOOKUP(AU11,CENY!$B$11:$M$2005,12,FALSE)</f>
        <v>0.73</v>
      </c>
      <c r="BA11" s="107">
        <f t="shared" si="1"/>
        <v>0</v>
      </c>
      <c r="BC11" s="22"/>
      <c r="BD11" s="23"/>
      <c r="BE11" s="24"/>
      <c r="BF11" s="24"/>
      <c r="BG11" s="25"/>
      <c r="BH11" s="107"/>
      <c r="BI11" s="107"/>
    </row>
    <row r="12" spans="1:61" ht="14.4" customHeight="1">
      <c r="B12" s="108"/>
      <c r="C12" s="108"/>
      <c r="D12" s="108"/>
      <c r="E12" s="108"/>
      <c r="AU12" s="22">
        <f>OBJ!B357</f>
        <v>9279197</v>
      </c>
      <c r="AV12" s="23" t="str">
        <f>VLOOKUP(AU12,CENY!$B$11:$G$1034,2,FALSE)</f>
        <v>SAMOŘEZNÝ ŠROUB 3,5X12 PANHEAD POZINK.</v>
      </c>
      <c r="AW12" s="24">
        <f>VLOOKUP(AU12,CENY!$B$11:$G$1034,3,FALSE)</f>
        <v>1000</v>
      </c>
      <c r="AX12" s="24"/>
      <c r="AY12" s="25">
        <f t="shared" si="0"/>
        <v>0</v>
      </c>
      <c r="AZ12" s="107">
        <f>VLOOKUP(AU12,CENY!$B$11:$M$2005,12,FALSE)</f>
        <v>1.51</v>
      </c>
      <c r="BA12" s="107">
        <f t="shared" si="1"/>
        <v>0</v>
      </c>
      <c r="BC12" s="22"/>
      <c r="BD12" s="23"/>
      <c r="BE12" s="24"/>
      <c r="BF12" s="24"/>
      <c r="BG12" s="25"/>
      <c r="BH12" s="107"/>
      <c r="BI12" s="107"/>
    </row>
    <row r="13" spans="1:61" ht="14.4" customHeight="1">
      <c r="B13" s="108"/>
      <c r="C13" s="108"/>
      <c r="D13" s="108"/>
      <c r="E13" s="108"/>
      <c r="AU13" s="22">
        <f>OBJ!B358</f>
        <v>9137114</v>
      </c>
      <c r="AV13" s="23" t="str">
        <f>VLOOKUP(AU13,CENY!$B$11:$G$1034,2,FALSE)</f>
        <v>EUROŠROUB DBS 60 X 14</v>
      </c>
      <c r="AW13" s="24">
        <f>VLOOKUP(AU13,CENY!$B$11:$G$1034,3,FALSE)</f>
        <v>200</v>
      </c>
      <c r="AX13" s="24"/>
      <c r="AY13" s="25">
        <f t="shared" si="0"/>
        <v>0</v>
      </c>
      <c r="AZ13" s="107">
        <f>VLOOKUP(AU13,CENY!$B$11:$M$2005,12,FALSE)</f>
        <v>1.2</v>
      </c>
      <c r="BA13" s="107">
        <f t="shared" si="1"/>
        <v>0</v>
      </c>
      <c r="BC13" s="22"/>
      <c r="BD13" s="23"/>
      <c r="BE13" s="24"/>
      <c r="BF13" s="24"/>
      <c r="BG13" s="25"/>
      <c r="BH13" s="107"/>
      <c r="BI13" s="107"/>
    </row>
    <row r="14" spans="1:61" ht="14.4" customHeight="1">
      <c r="AU14" s="22">
        <f>OBJ!B359</f>
        <v>0</v>
      </c>
      <c r="AV14" s="23" t="e">
        <f>VLOOKUP(AU14,CENY!$B$11:$G$1034,2,FALSE)</f>
        <v>#N/A</v>
      </c>
      <c r="AW14" s="24" t="e">
        <f>VLOOKUP(AU14,CENY!$B$11:$G$1034,3,FALSE)</f>
        <v>#N/A</v>
      </c>
      <c r="AX14" s="24"/>
      <c r="AY14" s="25">
        <f t="shared" si="0"/>
        <v>0</v>
      </c>
      <c r="AZ14" s="107" t="e">
        <f>VLOOKUP(AU14,CENY!$B$11:$M$2005,12,FALSE)</f>
        <v>#N/A</v>
      </c>
      <c r="BA14" s="107" t="e">
        <f t="shared" si="1"/>
        <v>#N/A</v>
      </c>
      <c r="BC14" s="22"/>
      <c r="BD14" s="23"/>
      <c r="BE14" s="24"/>
      <c r="BF14" s="24"/>
      <c r="BG14" s="25"/>
      <c r="BH14" s="107"/>
      <c r="BI14" s="107"/>
    </row>
    <row r="15" spans="1:61" ht="14.4" customHeight="1">
      <c r="AU15" s="22">
        <f>OBJ!B360</f>
        <v>0</v>
      </c>
      <c r="AV15" s="23" t="e">
        <f>VLOOKUP(AU15,CENY!$B$11:$G$1034,2,FALSE)</f>
        <v>#N/A</v>
      </c>
      <c r="AW15" s="24" t="e">
        <f>VLOOKUP(AU15,CENY!$B$11:$G$1034,3,FALSE)</f>
        <v>#N/A</v>
      </c>
      <c r="AX15" s="24"/>
      <c r="AY15" s="25">
        <f t="shared" si="0"/>
        <v>0</v>
      </c>
      <c r="AZ15" s="107" t="e">
        <f>VLOOKUP(AU15,CENY!$B$11:$M$2005,12,FALSE)</f>
        <v>#N/A</v>
      </c>
      <c r="BA15" s="107" t="e">
        <f t="shared" si="1"/>
        <v>#N/A</v>
      </c>
      <c r="BC15" s="22"/>
      <c r="BD15" s="23"/>
      <c r="BE15" s="24"/>
      <c r="BF15" s="24"/>
      <c r="BG15" s="25"/>
      <c r="BH15" s="107"/>
      <c r="BI15" s="107"/>
    </row>
    <row r="16" spans="1:61" ht="14.4" customHeight="1">
      <c r="AU16" s="22">
        <f>OBJ!B361</f>
        <v>0</v>
      </c>
      <c r="AV16" s="23" t="e">
        <f>VLOOKUP(AU16,CENY!$B$11:$G$1034,2,FALSE)</f>
        <v>#N/A</v>
      </c>
      <c r="AW16" s="24" t="e">
        <f>VLOOKUP(AU16,CENY!$B$11:$G$1034,3,FALSE)</f>
        <v>#N/A</v>
      </c>
      <c r="AX16" s="24"/>
      <c r="AY16" s="25">
        <f t="shared" si="0"/>
        <v>0</v>
      </c>
      <c r="AZ16" s="107" t="e">
        <f>VLOOKUP(AU16,CENY!$B$11:$M$2005,12,FALSE)</f>
        <v>#N/A</v>
      </c>
      <c r="BA16" s="107" t="e">
        <f t="shared" si="1"/>
        <v>#N/A</v>
      </c>
      <c r="BC16" s="22"/>
      <c r="BD16" s="23"/>
      <c r="BE16" s="24"/>
      <c r="BF16" s="24"/>
      <c r="BG16" s="25"/>
      <c r="BH16" s="107"/>
      <c r="BI16" s="107"/>
    </row>
    <row r="17" spans="2:61" ht="14.4" customHeight="1" thickBot="1">
      <c r="B17" s="189" t="str">
        <f>" "&amp;verze!E181</f>
        <v xml:space="preserve"> vnější šířka skřínky</v>
      </c>
      <c r="J17" s="176" t="str">
        <f>verze!E182</f>
        <v>šířka výlisku</v>
      </c>
      <c r="O17" s="640" t="str">
        <f>verze!E183</f>
        <v>hloubka výlisku [mm]</v>
      </c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187"/>
      <c r="AF17" s="693" t="str">
        <f>verze!E184</f>
        <v>hloubka zásuvky</v>
      </c>
      <c r="AG17" s="693"/>
      <c r="AH17" s="693"/>
      <c r="AI17" s="693"/>
      <c r="AJ17" s="694"/>
      <c r="AK17" s="195"/>
      <c r="AL17" s="176"/>
      <c r="AM17" s="194"/>
      <c r="AR17" s="194" t="str">
        <f>verze!E181&amp;" "</f>
        <v xml:space="preserve">vnější šířka skřínky </v>
      </c>
      <c r="AU17" s="22">
        <f>OBJ!B362</f>
        <v>0</v>
      </c>
      <c r="AV17" s="23" t="e">
        <f>VLOOKUP(AU17,CENY!$B$11:$G$1034,2,FALSE)</f>
        <v>#N/A</v>
      </c>
      <c r="AW17" s="24" t="e">
        <f>VLOOKUP(AU17,CENY!$B$11:$G$1034,3,FALSE)</f>
        <v>#N/A</v>
      </c>
      <c r="AX17" s="24"/>
      <c r="AY17" s="25">
        <f t="shared" si="0"/>
        <v>0</v>
      </c>
      <c r="AZ17" s="107" t="e">
        <f>VLOOKUP(AU17,CENY!$B$11:$M$2005,12,FALSE)</f>
        <v>#N/A</v>
      </c>
      <c r="BA17" s="107" t="e">
        <f t="shared" si="1"/>
        <v>#N/A</v>
      </c>
      <c r="BC17" s="22"/>
      <c r="BD17" s="23"/>
      <c r="BE17" s="24"/>
      <c r="BF17" s="24"/>
      <c r="BG17" s="25"/>
      <c r="BH17" s="107"/>
      <c r="BI17" s="107"/>
    </row>
    <row r="18" spans="2:61" ht="14.4" customHeight="1" thickBot="1">
      <c r="B18" s="196" t="s">
        <v>207</v>
      </c>
      <c r="C18" s="196"/>
      <c r="D18" s="109"/>
      <c r="E18" s="109"/>
      <c r="F18" s="109"/>
      <c r="G18" s="109"/>
      <c r="H18" s="81"/>
      <c r="I18" s="81"/>
      <c r="J18" s="196" t="s">
        <v>201</v>
      </c>
      <c r="K18" s="81"/>
      <c r="L18" s="81"/>
      <c r="M18" s="81"/>
      <c r="N18" s="81"/>
      <c r="O18" s="569" t="s">
        <v>183</v>
      </c>
      <c r="P18" s="570"/>
      <c r="Q18" s="570"/>
      <c r="R18" s="659"/>
      <c r="S18" s="581" t="s">
        <v>184</v>
      </c>
      <c r="T18" s="582"/>
      <c r="U18" s="582"/>
      <c r="V18" s="692"/>
      <c r="W18" s="569" t="s">
        <v>185</v>
      </c>
      <c r="X18" s="570"/>
      <c r="Y18" s="570"/>
      <c r="Z18" s="570"/>
      <c r="AA18" s="187"/>
      <c r="AC18" s="110"/>
      <c r="AD18" s="110"/>
      <c r="AF18" s="695">
        <v>470</v>
      </c>
      <c r="AG18" s="695"/>
      <c r="AH18" s="695"/>
      <c r="AI18" s="695"/>
      <c r="AJ18" s="696"/>
      <c r="AK18" s="198"/>
      <c r="AM18" s="109"/>
      <c r="AN18" s="109"/>
      <c r="AO18" s="109"/>
      <c r="AP18" s="109"/>
      <c r="AQ18" s="109"/>
      <c r="AR18" s="197" t="s">
        <v>208</v>
      </c>
      <c r="AU18" s="22">
        <f>OBJ!B363</f>
        <v>0</v>
      </c>
      <c r="AV18" s="23" t="e">
        <f>VLOOKUP(AU18,CENY!$B$11:$G$1034,2,FALSE)</f>
        <v>#N/A</v>
      </c>
      <c r="AW18" s="24" t="e">
        <f>VLOOKUP(AU18,CENY!$B$11:$G$1034,3,FALSE)</f>
        <v>#N/A</v>
      </c>
      <c r="AX18" s="24"/>
      <c r="AY18" s="25">
        <f>S19</f>
        <v>0</v>
      </c>
      <c r="AZ18" s="107" t="e">
        <f>VLOOKUP(AU18,CENY!$B$11:$M$2005,12,FALSE)</f>
        <v>#N/A</v>
      </c>
      <c r="BA18" s="107" t="e">
        <f t="shared" si="1"/>
        <v>#N/A</v>
      </c>
      <c r="BC18" s="22"/>
      <c r="BD18" s="23"/>
      <c r="BE18" s="24"/>
      <c r="BF18" s="24"/>
      <c r="BG18" s="25"/>
      <c r="BH18" s="107"/>
      <c r="BI18" s="107"/>
    </row>
    <row r="19" spans="2:61" ht="14.4" customHeight="1" thickBot="1">
      <c r="B19" s="680" t="str">
        <f>" "&amp;275</f>
        <v xml:space="preserve"> 275</v>
      </c>
      <c r="C19" s="680"/>
      <c r="D19" s="680"/>
      <c r="E19" s="680"/>
      <c r="F19" s="680"/>
      <c r="G19" s="680"/>
      <c r="H19" s="190"/>
      <c r="I19" s="190"/>
      <c r="J19" s="191" t="s">
        <v>186</v>
      </c>
      <c r="K19" s="192"/>
      <c r="L19" s="192"/>
      <c r="M19" s="192"/>
      <c r="N19" s="192"/>
      <c r="O19" s="682"/>
      <c r="P19" s="683"/>
      <c r="Q19" s="683"/>
      <c r="R19" s="684"/>
      <c r="S19" s="682"/>
      <c r="T19" s="683"/>
      <c r="U19" s="683"/>
      <c r="V19" s="684"/>
      <c r="W19" s="634"/>
      <c r="X19" s="638"/>
      <c r="Y19" s="638"/>
      <c r="Z19" s="638"/>
      <c r="AA19" s="187"/>
      <c r="AC19" s="110"/>
      <c r="AD19" s="110"/>
      <c r="AF19" s="697"/>
      <c r="AG19" s="697"/>
      <c r="AH19" s="697"/>
      <c r="AI19" s="697"/>
      <c r="AJ19" s="698"/>
      <c r="AK19" s="190"/>
      <c r="AL19" s="190"/>
      <c r="AM19" s="687" t="str">
        <f>275&amp;" "</f>
        <v xml:space="preserve">275 </v>
      </c>
      <c r="AN19" s="687"/>
      <c r="AO19" s="687"/>
      <c r="AP19" s="687"/>
      <c r="AQ19" s="687"/>
      <c r="AR19" s="687"/>
      <c r="AU19" s="22">
        <f>OBJ!B364</f>
        <v>0</v>
      </c>
      <c r="AV19" s="23" t="e">
        <f>VLOOKUP(AU19,CENY!$B$11:$G$1034,2,FALSE)</f>
        <v>#N/A</v>
      </c>
      <c r="AW19" s="24" t="e">
        <f>VLOOKUP(AU19,CENY!$B$11:$G$1034,3,FALSE)</f>
        <v>#N/A</v>
      </c>
      <c r="AX19" s="24"/>
      <c r="AY19" s="25">
        <f t="shared" ref="AY19:AY30" si="2">S20</f>
        <v>0</v>
      </c>
      <c r="AZ19" s="107" t="e">
        <f>VLOOKUP(AU19,CENY!$B$11:$M$2005,12,FALSE)</f>
        <v>#N/A</v>
      </c>
      <c r="BA19" s="107" t="e">
        <f t="shared" si="1"/>
        <v>#N/A</v>
      </c>
      <c r="BC19" s="22"/>
      <c r="BD19" s="23"/>
      <c r="BE19" s="24"/>
      <c r="BF19" s="24"/>
      <c r="BG19" s="25"/>
      <c r="BH19" s="107"/>
      <c r="BI19" s="107"/>
    </row>
    <row r="20" spans="2:61" ht="14.4" customHeight="1" thickBot="1">
      <c r="B20" s="680" t="str">
        <f>" "&amp;300</f>
        <v xml:space="preserve"> 300</v>
      </c>
      <c r="C20" s="680"/>
      <c r="D20" s="680"/>
      <c r="E20" s="680"/>
      <c r="F20" s="680"/>
      <c r="G20" s="680"/>
      <c r="H20" s="190"/>
      <c r="I20" s="190"/>
      <c r="J20" s="191" t="s">
        <v>187</v>
      </c>
      <c r="K20" s="192"/>
      <c r="L20" s="192"/>
      <c r="M20" s="192"/>
      <c r="N20" s="192"/>
      <c r="O20" s="682"/>
      <c r="P20" s="683"/>
      <c r="Q20" s="683"/>
      <c r="R20" s="684"/>
      <c r="S20" s="682"/>
      <c r="T20" s="683"/>
      <c r="U20" s="683"/>
      <c r="V20" s="684"/>
      <c r="W20" s="621"/>
      <c r="X20" s="681"/>
      <c r="Y20" s="681"/>
      <c r="Z20" s="681"/>
      <c r="AA20" s="187"/>
      <c r="AC20" s="110"/>
      <c r="AD20" s="110"/>
      <c r="AF20" s="685"/>
      <c r="AG20" s="685"/>
      <c r="AH20" s="685"/>
      <c r="AI20" s="685"/>
      <c r="AJ20" s="686"/>
      <c r="AK20" s="190"/>
      <c r="AL20" s="190"/>
      <c r="AM20" s="687" t="str">
        <f>300&amp;" "</f>
        <v xml:space="preserve">300 </v>
      </c>
      <c r="AN20" s="687"/>
      <c r="AO20" s="687"/>
      <c r="AP20" s="687"/>
      <c r="AQ20" s="687"/>
      <c r="AR20" s="687"/>
      <c r="AU20" s="22">
        <f>OBJ!B365</f>
        <v>0</v>
      </c>
      <c r="AV20" s="23" t="e">
        <f>VLOOKUP(AU20,CENY!$B$11:$G$1034,2,FALSE)</f>
        <v>#N/A</v>
      </c>
      <c r="AW20" s="24" t="e">
        <f>VLOOKUP(AU20,CENY!$B$11:$G$1034,3,FALSE)</f>
        <v>#N/A</v>
      </c>
      <c r="AX20" s="24"/>
      <c r="AY20" s="25">
        <f t="shared" si="2"/>
        <v>0</v>
      </c>
      <c r="AZ20" s="107" t="e">
        <f>VLOOKUP(AU20,CENY!$B$11:$M$2005,12,FALSE)</f>
        <v>#N/A</v>
      </c>
      <c r="BA20" s="107" t="e">
        <f t="shared" si="1"/>
        <v>#N/A</v>
      </c>
      <c r="BC20" s="22"/>
      <c r="BD20" s="23"/>
      <c r="BE20" s="24"/>
      <c r="BF20" s="24"/>
      <c r="BG20" s="25"/>
      <c r="BH20" s="107"/>
      <c r="BI20" s="107"/>
    </row>
    <row r="21" spans="2:61" ht="14.4" customHeight="1" thickBot="1">
      <c r="B21" s="680" t="str">
        <f>" "&amp;350</f>
        <v xml:space="preserve"> 350</v>
      </c>
      <c r="C21" s="680"/>
      <c r="D21" s="680"/>
      <c r="E21" s="680"/>
      <c r="F21" s="680"/>
      <c r="G21" s="680"/>
      <c r="H21" s="190"/>
      <c r="I21" s="190"/>
      <c r="J21" s="191" t="s">
        <v>188</v>
      </c>
      <c r="K21" s="192"/>
      <c r="L21" s="192"/>
      <c r="M21" s="192"/>
      <c r="N21" s="192"/>
      <c r="O21" s="682"/>
      <c r="P21" s="683"/>
      <c r="Q21" s="683"/>
      <c r="R21" s="684"/>
      <c r="S21" s="682"/>
      <c r="T21" s="683"/>
      <c r="U21" s="683"/>
      <c r="V21" s="684"/>
      <c r="W21" s="621"/>
      <c r="X21" s="681"/>
      <c r="Y21" s="681"/>
      <c r="Z21" s="681"/>
      <c r="AA21" s="187"/>
      <c r="AC21" s="110"/>
      <c r="AD21" s="110"/>
      <c r="AF21" s="685"/>
      <c r="AG21" s="685"/>
      <c r="AH21" s="685"/>
      <c r="AI21" s="685"/>
      <c r="AJ21" s="686"/>
      <c r="AK21" s="190"/>
      <c r="AL21" s="190"/>
      <c r="AM21" s="687" t="str">
        <f>350&amp;" "</f>
        <v xml:space="preserve">350 </v>
      </c>
      <c r="AN21" s="687"/>
      <c r="AO21" s="687"/>
      <c r="AP21" s="687"/>
      <c r="AQ21" s="687"/>
      <c r="AR21" s="687"/>
      <c r="AU21" s="22">
        <f>OBJ!B366</f>
        <v>0</v>
      </c>
      <c r="AV21" s="23" t="e">
        <f>VLOOKUP(AU21,CENY!$B$11:$G$1034,2,FALSE)</f>
        <v>#N/A</v>
      </c>
      <c r="AW21" s="24" t="e">
        <f>VLOOKUP(AU21,CENY!$B$11:$G$1034,3,FALSE)</f>
        <v>#N/A</v>
      </c>
      <c r="AX21" s="24"/>
      <c r="AY21" s="25">
        <f t="shared" si="2"/>
        <v>0</v>
      </c>
      <c r="AZ21" s="107" t="e">
        <f>VLOOKUP(AU21,CENY!$B$11:$M$2005,12,FALSE)</f>
        <v>#N/A</v>
      </c>
      <c r="BA21" s="107" t="e">
        <f t="shared" si="1"/>
        <v>#N/A</v>
      </c>
      <c r="BC21" s="22"/>
      <c r="BD21" s="23"/>
      <c r="BE21" s="24"/>
      <c r="BF21" s="24"/>
      <c r="BG21" s="25"/>
      <c r="BH21" s="107"/>
      <c r="BI21" s="107"/>
    </row>
    <row r="22" spans="2:61" ht="14.4" customHeight="1" thickBot="1">
      <c r="B22" s="680" t="str">
        <f>" "&amp;400</f>
        <v xml:space="preserve"> 400</v>
      </c>
      <c r="C22" s="680"/>
      <c r="D22" s="680"/>
      <c r="E22" s="680"/>
      <c r="F22" s="680"/>
      <c r="G22" s="680"/>
      <c r="H22" s="193"/>
      <c r="I22" s="193"/>
      <c r="J22" s="191" t="s">
        <v>189</v>
      </c>
      <c r="K22" s="192"/>
      <c r="L22" s="192"/>
      <c r="M22" s="192"/>
      <c r="N22" s="192"/>
      <c r="O22" s="682"/>
      <c r="P22" s="683"/>
      <c r="Q22" s="683"/>
      <c r="R22" s="684"/>
      <c r="S22" s="682"/>
      <c r="T22" s="683"/>
      <c r="U22" s="683"/>
      <c r="V22" s="684"/>
      <c r="W22" s="621"/>
      <c r="X22" s="681"/>
      <c r="Y22" s="681"/>
      <c r="Z22" s="681"/>
      <c r="AA22" s="187"/>
      <c r="AF22" s="688"/>
      <c r="AG22" s="688"/>
      <c r="AH22" s="688"/>
      <c r="AI22" s="688"/>
      <c r="AJ22" s="689"/>
      <c r="AK22" s="193"/>
      <c r="AL22" s="193"/>
      <c r="AM22" s="687" t="str">
        <f>400&amp;" "</f>
        <v xml:space="preserve">400 </v>
      </c>
      <c r="AN22" s="687"/>
      <c r="AO22" s="687"/>
      <c r="AP22" s="687"/>
      <c r="AQ22" s="687"/>
      <c r="AR22" s="687"/>
      <c r="AU22" s="22">
        <f>OBJ!B367</f>
        <v>0</v>
      </c>
      <c r="AV22" s="23" t="e">
        <f>VLOOKUP(AU22,CENY!$B$11:$G$1034,2,FALSE)</f>
        <v>#N/A</v>
      </c>
      <c r="AW22" s="24" t="e">
        <f>VLOOKUP(AU22,CENY!$B$11:$G$1034,3,FALSE)</f>
        <v>#N/A</v>
      </c>
      <c r="AX22" s="24"/>
      <c r="AY22" s="25">
        <f t="shared" si="2"/>
        <v>0</v>
      </c>
      <c r="AZ22" s="107" t="e">
        <f>VLOOKUP(AU22,CENY!$B$11:$M$2005,12,FALSE)</f>
        <v>#N/A</v>
      </c>
      <c r="BA22" s="107" t="e">
        <f t="shared" si="1"/>
        <v>#N/A</v>
      </c>
      <c r="BC22" s="22"/>
      <c r="BD22" s="23"/>
      <c r="BE22" s="24"/>
      <c r="BF22" s="24"/>
      <c r="BG22" s="25"/>
      <c r="BH22" s="107"/>
      <c r="BI22" s="107"/>
    </row>
    <row r="23" spans="2:61" ht="14.4" customHeight="1" thickBot="1">
      <c r="B23" s="680" t="str">
        <f>" "&amp;450</f>
        <v xml:space="preserve"> 450</v>
      </c>
      <c r="C23" s="680"/>
      <c r="D23" s="680"/>
      <c r="E23" s="680"/>
      <c r="F23" s="680"/>
      <c r="G23" s="680"/>
      <c r="H23" s="193"/>
      <c r="I23" s="193"/>
      <c r="J23" s="191" t="s">
        <v>190</v>
      </c>
      <c r="K23" s="192"/>
      <c r="L23" s="192"/>
      <c r="M23" s="192"/>
      <c r="N23" s="192"/>
      <c r="O23" s="682"/>
      <c r="P23" s="683"/>
      <c r="Q23" s="683"/>
      <c r="R23" s="684"/>
      <c r="S23" s="682"/>
      <c r="T23" s="683"/>
      <c r="U23" s="683"/>
      <c r="V23" s="684"/>
      <c r="W23" s="621"/>
      <c r="X23" s="681"/>
      <c r="Y23" s="681"/>
      <c r="Z23" s="681"/>
      <c r="AA23" s="187"/>
      <c r="AF23" s="685"/>
      <c r="AG23" s="685"/>
      <c r="AH23" s="685"/>
      <c r="AI23" s="685"/>
      <c r="AJ23" s="686"/>
      <c r="AK23" s="193"/>
      <c r="AL23" s="193"/>
      <c r="AM23" s="687" t="str">
        <f>450&amp;" "</f>
        <v xml:space="preserve">450 </v>
      </c>
      <c r="AN23" s="687"/>
      <c r="AO23" s="687"/>
      <c r="AP23" s="687"/>
      <c r="AQ23" s="687"/>
      <c r="AR23" s="687"/>
      <c r="AU23" s="22">
        <f>OBJ!B368</f>
        <v>0</v>
      </c>
      <c r="AV23" s="23" t="e">
        <f>VLOOKUP(AU23,CENY!$B$11:$G$1034,2,FALSE)</f>
        <v>#N/A</v>
      </c>
      <c r="AW23" s="24" t="e">
        <f>VLOOKUP(AU23,CENY!$B$11:$G$1034,3,FALSE)</f>
        <v>#N/A</v>
      </c>
      <c r="AX23" s="24"/>
      <c r="AY23" s="25">
        <f t="shared" si="2"/>
        <v>0</v>
      </c>
      <c r="AZ23" s="107" t="e">
        <f>VLOOKUP(AU23,CENY!$B$11:$M$2005,12,FALSE)</f>
        <v>#N/A</v>
      </c>
      <c r="BA23" s="107" t="e">
        <f t="shared" si="1"/>
        <v>#N/A</v>
      </c>
      <c r="BC23" s="22"/>
      <c r="BD23" s="23"/>
      <c r="BE23" s="24"/>
      <c r="BF23" s="24"/>
      <c r="BG23" s="25"/>
      <c r="BH23" s="107"/>
      <c r="BI23" s="107"/>
    </row>
    <row r="24" spans="2:61" ht="14.4" customHeight="1" thickBot="1">
      <c r="B24" s="680" t="str">
        <f>" "&amp;500</f>
        <v xml:space="preserve"> 500</v>
      </c>
      <c r="C24" s="680"/>
      <c r="D24" s="680"/>
      <c r="E24" s="680"/>
      <c r="F24" s="680"/>
      <c r="G24" s="680"/>
      <c r="H24" s="193"/>
      <c r="I24" s="193"/>
      <c r="J24" s="191" t="s">
        <v>191</v>
      </c>
      <c r="K24" s="192"/>
      <c r="L24" s="192"/>
      <c r="M24" s="192"/>
      <c r="N24" s="192"/>
      <c r="O24" s="682"/>
      <c r="P24" s="683"/>
      <c r="Q24" s="683"/>
      <c r="R24" s="684"/>
      <c r="S24" s="682"/>
      <c r="T24" s="683"/>
      <c r="U24" s="683"/>
      <c r="V24" s="684"/>
      <c r="W24" s="621"/>
      <c r="X24" s="681"/>
      <c r="Y24" s="681"/>
      <c r="Z24" s="681"/>
      <c r="AA24" s="187"/>
      <c r="AF24" s="688"/>
      <c r="AG24" s="688"/>
      <c r="AH24" s="688"/>
      <c r="AI24" s="688"/>
      <c r="AJ24" s="689"/>
      <c r="AK24" s="193"/>
      <c r="AL24" s="193"/>
      <c r="AM24" s="687" t="str">
        <f>500&amp;" "</f>
        <v xml:space="preserve">500 </v>
      </c>
      <c r="AN24" s="687"/>
      <c r="AO24" s="687"/>
      <c r="AP24" s="687"/>
      <c r="AQ24" s="687"/>
      <c r="AR24" s="687"/>
      <c r="AU24" s="22">
        <f>OBJ!B369</f>
        <v>0</v>
      </c>
      <c r="AV24" s="23" t="e">
        <f>VLOOKUP(AU24,CENY!$B$11:$G$1034,2,FALSE)</f>
        <v>#N/A</v>
      </c>
      <c r="AW24" s="24" t="e">
        <f>VLOOKUP(AU24,CENY!$B$11:$G$1034,3,FALSE)</f>
        <v>#N/A</v>
      </c>
      <c r="AX24" s="24"/>
      <c r="AY24" s="25">
        <f t="shared" si="2"/>
        <v>0</v>
      </c>
      <c r="AZ24" s="107" t="e">
        <f>VLOOKUP(AU24,CENY!$B$11:$M$2005,12,FALSE)</f>
        <v>#N/A</v>
      </c>
      <c r="BA24" s="107" t="e">
        <f t="shared" si="1"/>
        <v>#N/A</v>
      </c>
      <c r="BC24" s="22"/>
      <c r="BD24" s="23"/>
      <c r="BE24" s="24"/>
      <c r="BF24" s="24"/>
      <c r="BG24" s="25"/>
      <c r="BH24" s="107"/>
      <c r="BI24" s="107"/>
    </row>
    <row r="25" spans="2:61" ht="14.4" customHeight="1" thickBot="1">
      <c r="B25" s="680" t="str">
        <f>" "&amp;550</f>
        <v xml:space="preserve"> 550</v>
      </c>
      <c r="C25" s="680"/>
      <c r="D25" s="680"/>
      <c r="E25" s="680"/>
      <c r="F25" s="680"/>
      <c r="G25" s="680"/>
      <c r="H25" s="193"/>
      <c r="I25" s="193"/>
      <c r="J25" s="191" t="s">
        <v>192</v>
      </c>
      <c r="K25" s="192"/>
      <c r="L25" s="192"/>
      <c r="M25" s="192"/>
      <c r="N25" s="192"/>
      <c r="O25" s="682"/>
      <c r="P25" s="683"/>
      <c r="Q25" s="683"/>
      <c r="R25" s="684"/>
      <c r="S25" s="682"/>
      <c r="T25" s="683"/>
      <c r="U25" s="683"/>
      <c r="V25" s="684"/>
      <c r="W25" s="621"/>
      <c r="X25" s="681"/>
      <c r="Y25" s="681"/>
      <c r="Z25" s="681"/>
      <c r="AA25" s="187"/>
      <c r="AF25" s="688"/>
      <c r="AG25" s="688"/>
      <c r="AH25" s="688"/>
      <c r="AI25" s="688"/>
      <c r="AJ25" s="689"/>
      <c r="AK25" s="193"/>
      <c r="AL25" s="193"/>
      <c r="AM25" s="687" t="str">
        <f>550&amp;" "</f>
        <v xml:space="preserve">550 </v>
      </c>
      <c r="AN25" s="687"/>
      <c r="AO25" s="687"/>
      <c r="AP25" s="687"/>
      <c r="AQ25" s="687"/>
      <c r="AR25" s="687"/>
      <c r="AU25" s="22">
        <f>OBJ!B370</f>
        <v>0</v>
      </c>
      <c r="AV25" s="23" t="e">
        <f>VLOOKUP(AU25,CENY!$B$11:$G$1034,2,FALSE)</f>
        <v>#N/A</v>
      </c>
      <c r="AW25" s="24" t="e">
        <f>VLOOKUP(AU25,CENY!$B$11:$G$1034,3,FALSE)</f>
        <v>#N/A</v>
      </c>
      <c r="AX25" s="24"/>
      <c r="AY25" s="25">
        <f t="shared" si="2"/>
        <v>0</v>
      </c>
      <c r="AZ25" s="107" t="e">
        <f>VLOOKUP(AU25,CENY!$B$11:$M$2005,12,FALSE)</f>
        <v>#N/A</v>
      </c>
      <c r="BA25" s="107" t="e">
        <f t="shared" si="1"/>
        <v>#N/A</v>
      </c>
      <c r="BC25" s="22"/>
      <c r="BD25" s="23"/>
      <c r="BE25" s="24"/>
      <c r="BF25" s="24"/>
      <c r="BG25" s="25"/>
      <c r="BH25" s="107"/>
      <c r="BI25" s="107"/>
    </row>
    <row r="26" spans="2:61" ht="14.4" customHeight="1" thickBot="1">
      <c r="B26" s="680" t="str">
        <f>" "&amp;600</f>
        <v xml:space="preserve"> 600</v>
      </c>
      <c r="C26" s="680"/>
      <c r="D26" s="680"/>
      <c r="E26" s="680"/>
      <c r="F26" s="680"/>
      <c r="G26" s="680"/>
      <c r="H26" s="193"/>
      <c r="I26" s="193"/>
      <c r="J26" s="191" t="s">
        <v>193</v>
      </c>
      <c r="K26" s="192"/>
      <c r="L26" s="192"/>
      <c r="M26" s="192"/>
      <c r="N26" s="192"/>
      <c r="O26" s="682"/>
      <c r="P26" s="683"/>
      <c r="Q26" s="683"/>
      <c r="R26" s="684"/>
      <c r="S26" s="682"/>
      <c r="T26" s="683"/>
      <c r="U26" s="683"/>
      <c r="V26" s="684"/>
      <c r="W26" s="682"/>
      <c r="X26" s="683"/>
      <c r="Y26" s="683"/>
      <c r="Z26" s="683"/>
      <c r="AA26" s="187"/>
      <c r="AF26" s="690"/>
      <c r="AG26" s="690"/>
      <c r="AH26" s="690"/>
      <c r="AI26" s="690"/>
      <c r="AJ26" s="691"/>
      <c r="AK26" s="193"/>
      <c r="AL26" s="193"/>
      <c r="AM26" s="687" t="str">
        <f>600&amp;" "</f>
        <v xml:space="preserve">600 </v>
      </c>
      <c r="AN26" s="687"/>
      <c r="AO26" s="687"/>
      <c r="AP26" s="687"/>
      <c r="AQ26" s="687"/>
      <c r="AR26" s="687"/>
      <c r="AU26" s="22">
        <f>OBJ!B371</f>
        <v>0</v>
      </c>
      <c r="AV26" s="23" t="e">
        <f>VLOOKUP(AU26,CENY!$B$11:$G$1034,2,FALSE)</f>
        <v>#N/A</v>
      </c>
      <c r="AW26" s="24" t="e">
        <f>VLOOKUP(AU26,CENY!$B$11:$G$1034,3,FALSE)</f>
        <v>#N/A</v>
      </c>
      <c r="AX26" s="24"/>
      <c r="AY26" s="25">
        <f t="shared" si="2"/>
        <v>0</v>
      </c>
      <c r="AZ26" s="107" t="e">
        <f>VLOOKUP(AU26,CENY!$B$11:$M$2005,12,FALSE)</f>
        <v>#N/A</v>
      </c>
      <c r="BA26" s="107" t="e">
        <f t="shared" si="1"/>
        <v>#N/A</v>
      </c>
      <c r="BC26" s="22"/>
      <c r="BD26" s="23"/>
      <c r="BE26" s="24"/>
      <c r="BF26" s="24"/>
      <c r="BG26" s="25"/>
      <c r="BH26" s="107"/>
      <c r="BI26" s="107"/>
    </row>
    <row r="27" spans="2:61" ht="14.4" customHeight="1" thickBot="1">
      <c r="B27" s="680" t="str">
        <f>" "&amp;700</f>
        <v xml:space="preserve"> 700</v>
      </c>
      <c r="C27" s="680"/>
      <c r="D27" s="680"/>
      <c r="E27" s="680"/>
      <c r="F27" s="680"/>
      <c r="G27" s="680"/>
      <c r="H27" s="193"/>
      <c r="I27" s="193"/>
      <c r="J27" s="191" t="s">
        <v>194</v>
      </c>
      <c r="K27" s="192"/>
      <c r="L27" s="192"/>
      <c r="M27" s="192"/>
      <c r="N27" s="192"/>
      <c r="O27" s="682"/>
      <c r="P27" s="683"/>
      <c r="Q27" s="683"/>
      <c r="R27" s="684"/>
      <c r="S27" s="682"/>
      <c r="T27" s="683"/>
      <c r="U27" s="683"/>
      <c r="V27" s="684"/>
      <c r="W27" s="682"/>
      <c r="X27" s="683"/>
      <c r="Y27" s="683"/>
      <c r="Z27" s="683"/>
      <c r="AA27" s="187"/>
      <c r="AF27" s="685"/>
      <c r="AG27" s="685"/>
      <c r="AH27" s="685"/>
      <c r="AI27" s="685"/>
      <c r="AJ27" s="686"/>
      <c r="AK27" s="193"/>
      <c r="AL27" s="193"/>
      <c r="AM27" s="687" t="str">
        <f>700&amp;" "</f>
        <v xml:space="preserve">700 </v>
      </c>
      <c r="AN27" s="687"/>
      <c r="AO27" s="687"/>
      <c r="AP27" s="687"/>
      <c r="AQ27" s="687"/>
      <c r="AR27" s="687"/>
      <c r="AU27" s="22">
        <f>OBJ!B372</f>
        <v>0</v>
      </c>
      <c r="AV27" s="23" t="e">
        <f>VLOOKUP(AU27,CENY!$B$11:$G$1034,2,FALSE)</f>
        <v>#N/A</v>
      </c>
      <c r="AW27" s="24" t="e">
        <f>VLOOKUP(AU27,CENY!$B$11:$G$1034,3,FALSE)</f>
        <v>#N/A</v>
      </c>
      <c r="AX27" s="24"/>
      <c r="AY27" s="25">
        <f t="shared" si="2"/>
        <v>0</v>
      </c>
      <c r="AZ27" s="107" t="e">
        <f>VLOOKUP(AU27,CENY!$B$11:$M$2005,12,FALSE)</f>
        <v>#N/A</v>
      </c>
      <c r="BA27" s="107" t="e">
        <f t="shared" si="1"/>
        <v>#N/A</v>
      </c>
      <c r="BC27" s="22"/>
      <c r="BD27" s="23"/>
      <c r="BE27" s="24"/>
      <c r="BF27" s="24"/>
      <c r="BG27" s="25"/>
      <c r="BH27" s="107"/>
      <c r="BI27" s="107"/>
    </row>
    <row r="28" spans="2:61" ht="14.4" customHeight="1" thickBot="1">
      <c r="B28" s="680" t="str">
        <f>" "&amp;800</f>
        <v xml:space="preserve"> 800</v>
      </c>
      <c r="C28" s="680"/>
      <c r="D28" s="680"/>
      <c r="E28" s="680"/>
      <c r="F28" s="680"/>
      <c r="G28" s="680"/>
      <c r="H28" s="193"/>
      <c r="I28" s="193"/>
      <c r="J28" s="191" t="s">
        <v>195</v>
      </c>
      <c r="K28" s="192"/>
      <c r="L28" s="192"/>
      <c r="M28" s="192"/>
      <c r="N28" s="192"/>
      <c r="O28" s="682"/>
      <c r="P28" s="683"/>
      <c r="Q28" s="683"/>
      <c r="R28" s="684"/>
      <c r="S28" s="682"/>
      <c r="T28" s="683"/>
      <c r="U28" s="683"/>
      <c r="V28" s="684"/>
      <c r="W28" s="682"/>
      <c r="X28" s="683"/>
      <c r="Y28" s="683"/>
      <c r="Z28" s="683"/>
      <c r="AA28" s="187"/>
      <c r="AF28" s="685"/>
      <c r="AG28" s="685"/>
      <c r="AH28" s="685"/>
      <c r="AI28" s="685"/>
      <c r="AJ28" s="686"/>
      <c r="AK28" s="193"/>
      <c r="AL28" s="193"/>
      <c r="AM28" s="687" t="str">
        <f>800&amp;" "</f>
        <v xml:space="preserve">800 </v>
      </c>
      <c r="AN28" s="687"/>
      <c r="AO28" s="687"/>
      <c r="AP28" s="687"/>
      <c r="AQ28" s="687"/>
      <c r="AR28" s="687"/>
      <c r="AU28" s="22">
        <f>OBJ!B373</f>
        <v>0</v>
      </c>
      <c r="AV28" s="23" t="e">
        <f>VLOOKUP(AU28,CENY!$B$11:$G$1034,2,FALSE)</f>
        <v>#N/A</v>
      </c>
      <c r="AW28" s="24" t="e">
        <f>VLOOKUP(AU28,CENY!$B$11:$G$1034,3,FALSE)</f>
        <v>#N/A</v>
      </c>
      <c r="AX28" s="24"/>
      <c r="AY28" s="25">
        <f t="shared" si="2"/>
        <v>0</v>
      </c>
      <c r="AZ28" s="107" t="e">
        <f>VLOOKUP(AU28,CENY!$B$11:$M$2005,12,FALSE)</f>
        <v>#N/A</v>
      </c>
      <c r="BA28" s="107" t="e">
        <f t="shared" si="1"/>
        <v>#N/A</v>
      </c>
      <c r="BC28" s="22"/>
      <c r="BD28" s="23"/>
      <c r="BE28" s="24"/>
      <c r="BF28" s="24"/>
      <c r="BG28" s="25"/>
      <c r="BH28" s="107"/>
      <c r="BI28" s="107"/>
    </row>
    <row r="29" spans="2:61" ht="14.4" customHeight="1" thickBot="1">
      <c r="B29" s="680" t="str">
        <f>" "&amp;900</f>
        <v xml:space="preserve"> 900</v>
      </c>
      <c r="C29" s="680"/>
      <c r="D29" s="680"/>
      <c r="E29" s="680"/>
      <c r="F29" s="680"/>
      <c r="G29" s="680"/>
      <c r="H29" s="193"/>
      <c r="I29" s="193"/>
      <c r="J29" s="191" t="s">
        <v>196</v>
      </c>
      <c r="K29" s="192"/>
      <c r="L29" s="192"/>
      <c r="M29" s="192"/>
      <c r="N29" s="192"/>
      <c r="O29" s="682"/>
      <c r="P29" s="683"/>
      <c r="Q29" s="683"/>
      <c r="R29" s="684"/>
      <c r="S29" s="682"/>
      <c r="T29" s="683"/>
      <c r="U29" s="683"/>
      <c r="V29" s="684"/>
      <c r="W29" s="682"/>
      <c r="X29" s="683"/>
      <c r="Y29" s="683"/>
      <c r="Z29" s="683"/>
      <c r="AA29" s="187"/>
      <c r="AF29" s="688"/>
      <c r="AG29" s="688"/>
      <c r="AH29" s="688"/>
      <c r="AI29" s="688"/>
      <c r="AJ29" s="689"/>
      <c r="AK29" s="193"/>
      <c r="AL29" s="193"/>
      <c r="AM29" s="687" t="str">
        <f>900&amp;" "</f>
        <v xml:space="preserve">900 </v>
      </c>
      <c r="AN29" s="687"/>
      <c r="AO29" s="687"/>
      <c r="AP29" s="687"/>
      <c r="AQ29" s="687"/>
      <c r="AR29" s="687"/>
      <c r="AU29" s="22">
        <f>OBJ!B374</f>
        <v>0</v>
      </c>
      <c r="AV29" s="23" t="e">
        <f>VLOOKUP(AU29,CENY!$B$11:$G$1034,2,FALSE)</f>
        <v>#N/A</v>
      </c>
      <c r="AW29" s="24" t="e">
        <f>VLOOKUP(AU29,CENY!$B$11:$G$1034,3,FALSE)</f>
        <v>#N/A</v>
      </c>
      <c r="AX29" s="24"/>
      <c r="AY29" s="25">
        <f t="shared" si="2"/>
        <v>0</v>
      </c>
      <c r="AZ29" s="107" t="e">
        <f>VLOOKUP(AU29,CENY!$B$11:$M$2005,12,FALSE)</f>
        <v>#N/A</v>
      </c>
      <c r="BA29" s="107" t="e">
        <f t="shared" si="1"/>
        <v>#N/A</v>
      </c>
      <c r="BC29" s="22"/>
      <c r="BD29" s="23"/>
      <c r="BE29" s="24"/>
      <c r="BF29" s="24"/>
      <c r="BG29" s="25"/>
      <c r="BH29" s="107"/>
      <c r="BI29" s="107"/>
    </row>
    <row r="30" spans="2:61" ht="14.4" customHeight="1" thickBot="1">
      <c r="B30" s="680" t="str">
        <f>" "&amp;1000</f>
        <v xml:space="preserve"> 1000</v>
      </c>
      <c r="C30" s="680"/>
      <c r="D30" s="680"/>
      <c r="E30" s="680"/>
      <c r="F30" s="680"/>
      <c r="G30" s="680"/>
      <c r="H30" s="193"/>
      <c r="I30" s="193"/>
      <c r="J30" s="191" t="s">
        <v>197</v>
      </c>
      <c r="K30" s="192"/>
      <c r="L30" s="192"/>
      <c r="M30" s="192"/>
      <c r="N30" s="192"/>
      <c r="O30" s="682"/>
      <c r="P30" s="683"/>
      <c r="Q30" s="683"/>
      <c r="R30" s="684"/>
      <c r="S30" s="682"/>
      <c r="T30" s="683"/>
      <c r="U30" s="683"/>
      <c r="V30" s="684"/>
      <c r="W30" s="682"/>
      <c r="X30" s="683"/>
      <c r="Y30" s="683"/>
      <c r="Z30" s="683"/>
      <c r="AA30" s="187"/>
      <c r="AF30" s="685"/>
      <c r="AG30" s="685"/>
      <c r="AH30" s="685"/>
      <c r="AI30" s="685"/>
      <c r="AJ30" s="686"/>
      <c r="AK30" s="193"/>
      <c r="AL30" s="193"/>
      <c r="AM30" s="687" t="str">
        <f>1000&amp;" "</f>
        <v xml:space="preserve">1000 </v>
      </c>
      <c r="AN30" s="687"/>
      <c r="AO30" s="687"/>
      <c r="AP30" s="687"/>
      <c r="AQ30" s="687"/>
      <c r="AR30" s="687"/>
      <c r="AU30" s="22">
        <f>OBJ!B375</f>
        <v>0</v>
      </c>
      <c r="AV30" s="23" t="e">
        <f>VLOOKUP(AU30,CENY!$B$11:$G$1034,2,FALSE)</f>
        <v>#N/A</v>
      </c>
      <c r="AW30" s="24" t="e">
        <f>VLOOKUP(AU30,CENY!$B$11:$G$1034,3,FALSE)</f>
        <v>#N/A</v>
      </c>
      <c r="AX30" s="24"/>
      <c r="AY30" s="25">
        <f t="shared" si="2"/>
        <v>0</v>
      </c>
      <c r="AZ30" s="107" t="e">
        <f>VLOOKUP(AU30,CENY!$B$11:$M$2005,12,FALSE)</f>
        <v>#N/A</v>
      </c>
      <c r="BA30" s="107" t="e">
        <f t="shared" si="1"/>
        <v>#N/A</v>
      </c>
      <c r="BC30" s="22"/>
      <c r="BD30" s="23"/>
      <c r="BE30" s="24"/>
      <c r="BF30" s="24"/>
      <c r="BG30" s="25"/>
      <c r="BH30" s="107"/>
      <c r="BI30" s="107"/>
    </row>
    <row r="31" spans="2:61" ht="14.4" customHeight="1" thickBot="1">
      <c r="B31" s="680" t="str">
        <f>" "&amp;1200</f>
        <v xml:space="preserve"> 1200</v>
      </c>
      <c r="C31" s="680"/>
      <c r="D31" s="680"/>
      <c r="E31" s="680"/>
      <c r="F31" s="680"/>
      <c r="G31" s="680"/>
      <c r="H31" s="193"/>
      <c r="I31" s="193"/>
      <c r="J31" s="191" t="s">
        <v>198</v>
      </c>
      <c r="K31" s="192"/>
      <c r="L31" s="192"/>
      <c r="M31" s="192"/>
      <c r="N31" s="192"/>
      <c r="O31" s="699"/>
      <c r="P31" s="700"/>
      <c r="Q31" s="700"/>
      <c r="R31" s="701"/>
      <c r="S31" s="699"/>
      <c r="T31" s="700"/>
      <c r="U31" s="700"/>
      <c r="V31" s="701"/>
      <c r="W31" s="699"/>
      <c r="X31" s="700"/>
      <c r="Y31" s="700"/>
      <c r="Z31" s="700"/>
      <c r="AA31" s="187"/>
      <c r="AF31" s="685"/>
      <c r="AG31" s="685"/>
      <c r="AH31" s="685"/>
      <c r="AI31" s="685"/>
      <c r="AJ31" s="686"/>
      <c r="AK31" s="193"/>
      <c r="AL31" s="193"/>
      <c r="AM31" s="687" t="str">
        <f>1200&amp;" "</f>
        <v xml:space="preserve">1200 </v>
      </c>
      <c r="AN31" s="687"/>
      <c r="AO31" s="687"/>
      <c r="AP31" s="687"/>
      <c r="AQ31" s="687"/>
      <c r="AR31" s="687"/>
      <c r="AU31" s="22">
        <f>OBJ!B376</f>
        <v>0</v>
      </c>
      <c r="AV31" s="23" t="e">
        <f>VLOOKUP(AU31,CENY!$B$11:$G$1034,2,FALSE)</f>
        <v>#N/A</v>
      </c>
      <c r="AW31" s="24" t="e">
        <f>VLOOKUP(AU31,CENY!$B$11:$G$1034,3,FALSE)</f>
        <v>#N/A</v>
      </c>
      <c r="AX31" s="24"/>
      <c r="AY31" s="25">
        <f t="shared" ref="AY31:AY36" si="3">W26</f>
        <v>0</v>
      </c>
      <c r="AZ31" s="107" t="e">
        <f>VLOOKUP(AU31,CENY!$B$11:$M$2005,12,FALSE)</f>
        <v>#N/A</v>
      </c>
      <c r="BA31" s="107" t="e">
        <f t="shared" si="1"/>
        <v>#N/A</v>
      </c>
      <c r="BC31" s="22"/>
      <c r="BD31" s="23"/>
      <c r="BE31" s="24"/>
      <c r="BF31" s="24"/>
      <c r="BG31" s="25"/>
      <c r="BH31" s="107"/>
      <c r="BI31" s="107"/>
    </row>
    <row r="32" spans="2:61" ht="14.4" customHeight="1">
      <c r="AF32" s="187"/>
      <c r="AU32" s="22">
        <f>OBJ!B377</f>
        <v>0</v>
      </c>
      <c r="AV32" s="23" t="e">
        <f>VLOOKUP(AU32,CENY!$B$11:$G$1034,2,FALSE)</f>
        <v>#N/A</v>
      </c>
      <c r="AW32" s="24" t="e">
        <f>VLOOKUP(AU32,CENY!$B$11:$G$1034,3,FALSE)</f>
        <v>#N/A</v>
      </c>
      <c r="AX32" s="24"/>
      <c r="AY32" s="25">
        <f t="shared" si="3"/>
        <v>0</v>
      </c>
      <c r="AZ32" s="107" t="e">
        <f>VLOOKUP(AU32,CENY!$B$11:$M$2005,12,FALSE)</f>
        <v>#N/A</v>
      </c>
      <c r="BA32" s="107" t="e">
        <f t="shared" si="1"/>
        <v>#N/A</v>
      </c>
      <c r="BC32" s="22"/>
      <c r="BD32" s="23"/>
      <c r="BE32" s="24"/>
      <c r="BF32" s="24"/>
      <c r="BG32" s="25"/>
      <c r="BH32" s="107"/>
      <c r="BI32" s="107"/>
    </row>
    <row r="33" spans="47:61" ht="14.4" customHeight="1">
      <c r="AU33" s="22">
        <f>OBJ!B378</f>
        <v>0</v>
      </c>
      <c r="AV33" s="23" t="e">
        <f>VLOOKUP(AU33,CENY!$B$11:$G$1034,2,FALSE)</f>
        <v>#N/A</v>
      </c>
      <c r="AW33" s="24" t="e">
        <f>VLOOKUP(AU33,CENY!$B$11:$G$1034,3,FALSE)</f>
        <v>#N/A</v>
      </c>
      <c r="AX33" s="24"/>
      <c r="AY33" s="25">
        <f t="shared" si="3"/>
        <v>0</v>
      </c>
      <c r="AZ33" s="107" t="e">
        <f>VLOOKUP(AU33,CENY!$B$11:$M$2005,12,FALSE)</f>
        <v>#N/A</v>
      </c>
      <c r="BA33" s="107" t="e">
        <f t="shared" si="1"/>
        <v>#N/A</v>
      </c>
      <c r="BC33" s="22"/>
      <c r="BD33" s="23"/>
      <c r="BE33" s="24"/>
      <c r="BF33" s="24"/>
      <c r="BG33" s="25"/>
      <c r="BH33" s="107"/>
      <c r="BI33" s="107"/>
    </row>
    <row r="34" spans="47:61" ht="14.4" customHeight="1">
      <c r="AU34" s="22">
        <f>OBJ!B379</f>
        <v>0</v>
      </c>
      <c r="AV34" s="23" t="e">
        <f>VLOOKUP(AU34,CENY!$B$11:$G$1034,2,FALSE)</f>
        <v>#N/A</v>
      </c>
      <c r="AW34" s="24" t="e">
        <f>VLOOKUP(AU34,CENY!$B$11:$G$1034,3,FALSE)</f>
        <v>#N/A</v>
      </c>
      <c r="AX34" s="24"/>
      <c r="AY34" s="25">
        <f t="shared" si="3"/>
        <v>0</v>
      </c>
      <c r="AZ34" s="107" t="e">
        <f>VLOOKUP(AU34,CENY!$B$11:$M$2005,12,FALSE)</f>
        <v>#N/A</v>
      </c>
      <c r="BA34" s="107" t="e">
        <f t="shared" si="1"/>
        <v>#N/A</v>
      </c>
      <c r="BC34" s="22"/>
      <c r="BD34" s="23"/>
      <c r="BE34" s="24"/>
      <c r="BF34" s="24"/>
      <c r="BG34" s="25"/>
      <c r="BH34" s="107"/>
      <c r="BI34" s="107"/>
    </row>
    <row r="35" spans="47:61" ht="14.4" customHeight="1">
      <c r="AU35" s="22">
        <f>OBJ!B380</f>
        <v>0</v>
      </c>
      <c r="AV35" s="23" t="e">
        <f>VLOOKUP(AU35,CENY!$B$11:$G$1034,2,FALSE)</f>
        <v>#N/A</v>
      </c>
      <c r="AW35" s="24" t="e">
        <f>VLOOKUP(AU35,CENY!$B$11:$G$1034,3,FALSE)</f>
        <v>#N/A</v>
      </c>
      <c r="AX35" s="24"/>
      <c r="AY35" s="25">
        <f t="shared" si="3"/>
        <v>0</v>
      </c>
      <c r="AZ35" s="107" t="e">
        <f>VLOOKUP(AU35,CENY!$B$11:$M$2005,12,FALSE)</f>
        <v>#N/A</v>
      </c>
      <c r="BA35" s="107" t="e">
        <f t="shared" si="1"/>
        <v>#N/A</v>
      </c>
      <c r="BC35" s="22"/>
      <c r="BD35" s="23"/>
      <c r="BE35" s="24"/>
      <c r="BF35" s="24"/>
      <c r="BG35" s="25"/>
      <c r="BH35" s="107"/>
      <c r="BI35" s="107"/>
    </row>
    <row r="36" spans="47:61" ht="14.4" customHeight="1">
      <c r="AU36" s="22">
        <f>OBJ!B381</f>
        <v>0</v>
      </c>
      <c r="AV36" s="23" t="e">
        <f>VLOOKUP(AU36,CENY!$B$11:$G$1034,2,FALSE)</f>
        <v>#N/A</v>
      </c>
      <c r="AW36" s="24" t="e">
        <f>VLOOKUP(AU36,CENY!$B$11:$G$1034,3,FALSE)</f>
        <v>#N/A</v>
      </c>
      <c r="AX36" s="24"/>
      <c r="AY36" s="25">
        <f t="shared" si="3"/>
        <v>0</v>
      </c>
      <c r="AZ36" s="107" t="e">
        <f>VLOOKUP(AU36,CENY!$B$11:$M$2005,12,FALSE)</f>
        <v>#N/A</v>
      </c>
      <c r="BA36" s="107" t="e">
        <f t="shared" si="1"/>
        <v>#N/A</v>
      </c>
      <c r="BC36" s="22"/>
      <c r="BD36" s="23"/>
      <c r="BE36" s="24"/>
      <c r="BF36" s="24"/>
      <c r="BG36" s="25"/>
      <c r="BH36" s="107"/>
      <c r="BI36" s="107"/>
    </row>
    <row r="37" spans="47:61" ht="14.4" customHeight="1">
      <c r="AU37" s="22">
        <f>OBJ!B382</f>
        <v>0</v>
      </c>
      <c r="AV37" s="23" t="e">
        <f>VLOOKUP(AU37,CENY!$B$11:$G$1034,2,FALSE)</f>
        <v>#N/A</v>
      </c>
      <c r="AW37" s="24" t="e">
        <f>VLOOKUP(AU37,CENY!$B$11:$G$1034,3,FALSE)</f>
        <v>#N/A</v>
      </c>
      <c r="AX37" s="24"/>
      <c r="AY37" s="25">
        <f>AF22</f>
        <v>0</v>
      </c>
      <c r="AZ37" s="107" t="e">
        <f>VLOOKUP(AU37,CENY!$B$11:$M$2005,12,FALSE)</f>
        <v>#N/A</v>
      </c>
      <c r="BA37" s="107" t="e">
        <f t="shared" si="1"/>
        <v>#N/A</v>
      </c>
      <c r="BC37" s="22"/>
      <c r="BD37" s="23"/>
      <c r="BE37" s="24"/>
      <c r="BF37" s="24"/>
      <c r="BG37" s="25"/>
      <c r="BH37" s="107"/>
      <c r="BI37" s="107"/>
    </row>
    <row r="38" spans="47:61" ht="14.4" customHeight="1">
      <c r="AU38" s="22">
        <f>OBJ!B383</f>
        <v>0</v>
      </c>
      <c r="AV38" s="23" t="e">
        <f>VLOOKUP(AU38,CENY!$B$11:$G$1034,2,FALSE)</f>
        <v>#N/A</v>
      </c>
      <c r="AW38" s="24" t="e">
        <f>VLOOKUP(AU38,CENY!$B$11:$G$1034,3,FALSE)</f>
        <v>#N/A</v>
      </c>
      <c r="AX38" s="24"/>
      <c r="AY38" s="25">
        <f>AF24</f>
        <v>0</v>
      </c>
      <c r="AZ38" s="107" t="e">
        <f>VLOOKUP(AU38,CENY!$B$11:$M$2005,12,FALSE)</f>
        <v>#N/A</v>
      </c>
      <c r="BA38" s="107" t="e">
        <f t="shared" si="1"/>
        <v>#N/A</v>
      </c>
      <c r="BC38" s="22"/>
      <c r="BD38" s="23"/>
      <c r="BE38" s="24"/>
      <c r="BF38" s="24"/>
      <c r="BG38" s="25"/>
      <c r="BH38" s="107"/>
      <c r="BI38" s="107"/>
    </row>
    <row r="39" spans="47:61" ht="14.4" customHeight="1">
      <c r="AU39" s="22">
        <f>OBJ!B384</f>
        <v>0</v>
      </c>
      <c r="AV39" s="23" t="e">
        <f>VLOOKUP(AU39,CENY!$B$11:$G$1034,2,FALSE)</f>
        <v>#N/A</v>
      </c>
      <c r="AW39" s="24" t="e">
        <f>VLOOKUP(AU39,CENY!$B$11:$G$1034,3,FALSE)</f>
        <v>#N/A</v>
      </c>
      <c r="AX39" s="24"/>
      <c r="AY39" s="25">
        <f>AF25</f>
        <v>0</v>
      </c>
      <c r="AZ39" s="107" t="e">
        <f>VLOOKUP(AU39,CENY!$B$11:$M$2005,12,FALSE)</f>
        <v>#N/A</v>
      </c>
      <c r="BA39" s="107" t="e">
        <f t="shared" si="1"/>
        <v>#N/A</v>
      </c>
      <c r="BC39" s="22"/>
      <c r="BD39" s="23"/>
      <c r="BE39" s="24"/>
      <c r="BF39" s="24"/>
      <c r="BG39" s="25"/>
      <c r="BH39" s="107"/>
      <c r="BI39" s="107"/>
    </row>
    <row r="40" spans="47:61" ht="14.4" customHeight="1">
      <c r="AU40" s="22">
        <f>OBJ!B385</f>
        <v>0</v>
      </c>
      <c r="AV40" s="23" t="e">
        <f>VLOOKUP(AU40,CENY!$B$11:$G$1034,2,FALSE)</f>
        <v>#N/A</v>
      </c>
      <c r="AW40" s="24" t="e">
        <f>VLOOKUP(AU40,CENY!$B$11:$G$1034,3,FALSE)</f>
        <v>#N/A</v>
      </c>
      <c r="AX40" s="24"/>
      <c r="AY40" s="25">
        <f>AF26</f>
        <v>0</v>
      </c>
      <c r="AZ40" s="107" t="e">
        <f>VLOOKUP(AU40,CENY!$B$11:$M$2005,12,FALSE)</f>
        <v>#N/A</v>
      </c>
      <c r="BA40" s="107" t="e">
        <f t="shared" si="1"/>
        <v>#N/A</v>
      </c>
      <c r="BC40" s="22"/>
      <c r="BD40" s="23"/>
      <c r="BE40" s="24"/>
      <c r="BF40" s="24"/>
      <c r="BG40" s="25"/>
      <c r="BH40" s="107"/>
      <c r="BI40" s="107"/>
    </row>
    <row r="41" spans="47:61" ht="14.4" customHeight="1">
      <c r="AU41" s="22">
        <f>OBJ!B386</f>
        <v>0</v>
      </c>
      <c r="AV41" s="23" t="e">
        <f>VLOOKUP(AU41,CENY!$B$11:$G$1034,2,FALSE)</f>
        <v>#N/A</v>
      </c>
      <c r="AW41" s="24" t="e">
        <f>VLOOKUP(AU41,CENY!$B$11:$G$1034,3,FALSE)</f>
        <v>#N/A</v>
      </c>
      <c r="AX41" s="24"/>
      <c r="AY41" s="25">
        <f>AF29</f>
        <v>0</v>
      </c>
      <c r="AZ41" s="107" t="e">
        <f>VLOOKUP(AU41,CENY!$B$11:$M$2005,12,FALSE)</f>
        <v>#N/A</v>
      </c>
      <c r="BA41" s="107" t="e">
        <f>IF(AZ41="","",AZ41*AY41)</f>
        <v>#N/A</v>
      </c>
      <c r="BC41" s="22"/>
      <c r="BD41" s="23"/>
      <c r="BE41" s="24"/>
      <c r="BF41" s="24"/>
      <c r="BG41" s="25"/>
      <c r="BH41" s="107"/>
      <c r="BI41" s="107"/>
    </row>
    <row r="42" spans="47:61" ht="14.4" customHeight="1">
      <c r="AU42" s="22"/>
      <c r="AV42" s="23"/>
      <c r="AW42" s="24"/>
      <c r="AX42" s="24"/>
      <c r="AY42" s="25"/>
      <c r="AZ42" s="107"/>
      <c r="BA42" s="107"/>
      <c r="BC42" s="22"/>
      <c r="BD42" s="23"/>
      <c r="BE42" s="24"/>
      <c r="BF42" s="24"/>
      <c r="BG42" s="25"/>
      <c r="BH42" s="107"/>
      <c r="BI42" s="107"/>
    </row>
    <row r="43" spans="47:61" ht="14.4" customHeight="1">
      <c r="AU43" s="22"/>
      <c r="AV43" s="23"/>
      <c r="AW43" s="24"/>
      <c r="AX43" s="24"/>
      <c r="AY43" s="25"/>
      <c r="AZ43" s="107"/>
      <c r="BA43" s="107"/>
      <c r="BC43" s="22"/>
      <c r="BD43" s="23"/>
      <c r="BE43" s="24"/>
      <c r="BF43" s="24"/>
      <c r="BG43" s="25"/>
      <c r="BH43" s="107"/>
      <c r="BI43" s="107"/>
    </row>
    <row r="44" spans="47:61" ht="14.4" customHeight="1">
      <c r="AU44" s="22"/>
      <c r="AV44" s="23"/>
      <c r="AW44" s="24"/>
      <c r="AX44" s="24"/>
      <c r="AY44" s="25"/>
      <c r="AZ44" s="107"/>
      <c r="BA44" s="107"/>
      <c r="BC44" s="22"/>
      <c r="BD44" s="23"/>
      <c r="BE44" s="24"/>
      <c r="BF44" s="24"/>
      <c r="BG44" s="25"/>
      <c r="BH44" s="107"/>
      <c r="BI44" s="107"/>
    </row>
    <row r="45" spans="47:61" ht="14.4" customHeight="1">
      <c r="AU45" s="22"/>
      <c r="AV45" s="23"/>
      <c r="AW45" s="24"/>
      <c r="AX45" s="24"/>
      <c r="AY45" s="25"/>
      <c r="AZ45" s="107"/>
      <c r="BA45" s="107"/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/>
      <c r="AV46" s="23"/>
      <c r="AW46" s="24"/>
      <c r="AX46" s="24"/>
      <c r="AY46" s="25"/>
      <c r="AZ46" s="107"/>
      <c r="BA46" s="107"/>
      <c r="BC46" s="22"/>
      <c r="BD46" s="23"/>
      <c r="BE46" s="24"/>
      <c r="BF46" s="24"/>
      <c r="BG46" s="25"/>
      <c r="BH46" s="107"/>
      <c r="BI46" s="107"/>
    </row>
    <row r="47" spans="47:61" ht="14.4" customHeight="1">
      <c r="AU47" s="22"/>
      <c r="AV47" s="23"/>
      <c r="AW47" s="24"/>
      <c r="AX47" s="24"/>
      <c r="AY47" s="25"/>
      <c r="AZ47" s="107"/>
      <c r="BA47" s="107"/>
      <c r="BC47" s="22"/>
      <c r="BD47" s="23"/>
      <c r="BE47" s="24"/>
      <c r="BF47" s="24"/>
      <c r="BG47" s="25"/>
      <c r="BH47" s="107"/>
      <c r="BI47" s="107"/>
    </row>
    <row r="48" spans="47:61" ht="14.4" customHeight="1">
      <c r="AU48" s="22"/>
      <c r="AV48" s="23"/>
      <c r="AW48" s="24"/>
      <c r="AX48" s="24"/>
      <c r="AY48" s="25"/>
      <c r="AZ48" s="107"/>
      <c r="BA48" s="107"/>
      <c r="BC48" s="22"/>
      <c r="BD48" s="23"/>
      <c r="BE48" s="24"/>
      <c r="BF48" s="24"/>
      <c r="BG48" s="25"/>
      <c r="BH48" s="107"/>
      <c r="BI48" s="107"/>
    </row>
    <row r="49" spans="47:61" ht="14.4" customHeight="1">
      <c r="AU49" s="22"/>
      <c r="AV49" s="23"/>
      <c r="AW49" s="24"/>
      <c r="AX49" s="24"/>
      <c r="AY49" s="25"/>
      <c r="AZ49" s="107"/>
      <c r="BA49" s="107"/>
      <c r="BC49" s="22"/>
      <c r="BD49" s="23"/>
      <c r="BE49" s="24"/>
      <c r="BF49" s="24"/>
      <c r="BG49" s="25"/>
      <c r="BH49" s="107"/>
      <c r="BI49" s="107"/>
    </row>
    <row r="50" spans="47:61" ht="14.4" customHeight="1">
      <c r="AU50" s="22"/>
      <c r="AV50" s="23"/>
      <c r="AW50" s="24"/>
      <c r="AX50" s="24"/>
      <c r="AY50" s="25"/>
      <c r="AZ50" s="107"/>
      <c r="BA50" s="107"/>
      <c r="BC50" s="22"/>
      <c r="BD50" s="23"/>
      <c r="BE50" s="24"/>
      <c r="BF50" s="24"/>
      <c r="BG50" s="25"/>
      <c r="BH50" s="107"/>
      <c r="BI50" s="107"/>
    </row>
    <row r="51" spans="47:61" ht="14.4" customHeight="1">
      <c r="AU51" s="22"/>
      <c r="AV51" s="23"/>
      <c r="AW51" s="24"/>
      <c r="AX51" s="24"/>
      <c r="AY51" s="25"/>
      <c r="AZ51" s="107"/>
      <c r="BA51" s="107"/>
      <c r="BC51" s="22"/>
      <c r="BD51" s="23"/>
      <c r="BE51" s="24"/>
      <c r="BF51" s="24"/>
      <c r="BG51" s="25"/>
      <c r="BH51" s="107"/>
      <c r="BI51" s="107"/>
    </row>
    <row r="52" spans="47:61" ht="14.4" customHeight="1">
      <c r="AU52" s="22"/>
      <c r="AV52" s="23"/>
      <c r="AW52" s="24"/>
      <c r="AX52" s="24"/>
      <c r="AY52" s="25"/>
      <c r="AZ52" s="107"/>
      <c r="BA52" s="107"/>
      <c r="BC52" s="22"/>
      <c r="BD52" s="23"/>
      <c r="BE52" s="24"/>
      <c r="BF52" s="24"/>
      <c r="BG52" s="25"/>
      <c r="BH52" s="107"/>
      <c r="BI52" s="107"/>
    </row>
    <row r="53" spans="47:61" ht="14.4" customHeight="1">
      <c r="AU53" s="22"/>
      <c r="AV53" s="23"/>
      <c r="AW53" s="24"/>
      <c r="AX53" s="24"/>
      <c r="AY53" s="25"/>
      <c r="AZ53" s="107"/>
      <c r="BA53" s="107"/>
      <c r="BC53" s="22"/>
      <c r="BD53" s="23"/>
      <c r="BE53" s="24"/>
      <c r="BF53" s="24"/>
      <c r="BG53" s="25"/>
      <c r="BH53" s="107"/>
      <c r="BI53" s="107"/>
    </row>
    <row r="54" spans="47:61" ht="14.4" customHeight="1">
      <c r="AU54" s="22"/>
      <c r="AV54" s="23"/>
      <c r="AW54" s="24"/>
      <c r="AX54" s="24"/>
      <c r="AY54" s="25"/>
      <c r="AZ54" s="107"/>
      <c r="BA54" s="107"/>
      <c r="BC54" s="22"/>
      <c r="BD54" s="23"/>
      <c r="BE54" s="24"/>
      <c r="BF54" s="24"/>
      <c r="BG54" s="25"/>
      <c r="BH54" s="107"/>
      <c r="BI54" s="107"/>
    </row>
    <row r="55" spans="47:61" ht="14.4" customHeight="1">
      <c r="AU55" s="22"/>
      <c r="AV55" s="23"/>
      <c r="AW55" s="24"/>
      <c r="AX55" s="24"/>
      <c r="AY55" s="25"/>
      <c r="AZ55" s="107"/>
      <c r="BA55" s="107"/>
      <c r="BC55" s="22"/>
      <c r="BD55" s="23"/>
      <c r="BE55" s="24"/>
      <c r="BF55" s="24"/>
      <c r="BG55" s="25"/>
      <c r="BH55" s="107"/>
      <c r="BI55" s="107"/>
    </row>
    <row r="56" spans="47:61" ht="14.4" customHeight="1">
      <c r="AU56" s="22"/>
      <c r="AV56" s="23"/>
      <c r="AW56" s="24"/>
      <c r="AX56" s="24"/>
      <c r="AY56" s="25"/>
      <c r="AZ56" s="107"/>
      <c r="BA56" s="107"/>
      <c r="BC56" s="22"/>
      <c r="BD56" s="23"/>
      <c r="BE56" s="24"/>
      <c r="BF56" s="24"/>
      <c r="BG56" s="25"/>
      <c r="BH56" s="107"/>
      <c r="BI56" s="107"/>
    </row>
    <row r="57" spans="47:61" ht="14.4" customHeight="1">
      <c r="AU57" s="22"/>
      <c r="AV57" s="23"/>
      <c r="AW57" s="24"/>
      <c r="AX57" s="24"/>
      <c r="AY57" s="25"/>
      <c r="AZ57" s="107"/>
      <c r="BA57" s="107"/>
      <c r="BC57" s="22"/>
      <c r="BD57" s="23"/>
      <c r="BE57" s="24"/>
      <c r="BF57" s="24"/>
      <c r="BG57" s="25"/>
      <c r="BH57" s="107"/>
      <c r="BI57" s="107"/>
    </row>
    <row r="58" spans="47:61" ht="14.4" customHeight="1">
      <c r="AU58" s="22"/>
      <c r="AV58" s="23"/>
      <c r="AW58" s="24"/>
      <c r="AX58" s="24"/>
      <c r="AY58" s="25"/>
      <c r="AZ58" s="107"/>
      <c r="BA58" s="107"/>
      <c r="BC58" s="22"/>
      <c r="BD58" s="23"/>
      <c r="BE58" s="24"/>
      <c r="BF58" s="24"/>
      <c r="BG58" s="25"/>
      <c r="BH58" s="107"/>
      <c r="BI58" s="107"/>
    </row>
    <row r="59" spans="47:61" ht="14.4" customHeight="1">
      <c r="AU59" s="22"/>
      <c r="AV59" s="23"/>
      <c r="AW59" s="24"/>
      <c r="AX59" s="24"/>
      <c r="AY59" s="25"/>
      <c r="AZ59" s="107"/>
      <c r="BA59" s="107"/>
      <c r="BC59" s="22"/>
      <c r="BD59" s="23"/>
      <c r="BE59" s="24"/>
      <c r="BF59" s="24"/>
      <c r="BG59" s="25"/>
      <c r="BH59" s="107"/>
      <c r="BI59" s="107"/>
    </row>
    <row r="60" spans="47:61" ht="14.4" customHeight="1">
      <c r="AU60" s="22"/>
      <c r="AV60" s="23"/>
      <c r="AW60" s="24"/>
      <c r="AX60" s="24"/>
      <c r="AY60" s="25"/>
      <c r="AZ60" s="107"/>
      <c r="BA60" s="107"/>
      <c r="BC60" s="22"/>
      <c r="BD60" s="23"/>
      <c r="BE60" s="24"/>
      <c r="BF60" s="24"/>
      <c r="BG60" s="25"/>
      <c r="BH60" s="107"/>
      <c r="BI60" s="107"/>
    </row>
    <row r="61" spans="47:61" ht="14.4" customHeight="1">
      <c r="AU61" s="22"/>
      <c r="AV61" s="23"/>
      <c r="AW61" s="24"/>
      <c r="AX61" s="24"/>
      <c r="AY61" s="25"/>
      <c r="AZ61" s="107"/>
      <c r="BA61" s="107"/>
      <c r="BC61" s="22"/>
      <c r="BD61" s="23"/>
      <c r="BE61" s="24"/>
      <c r="BF61" s="24"/>
      <c r="BG61" s="25"/>
      <c r="BH61" s="107"/>
      <c r="BI61" s="107"/>
    </row>
    <row r="62" spans="47:61" ht="14.4" customHeight="1">
      <c r="AU62" s="22"/>
      <c r="AV62" s="23"/>
      <c r="AW62" s="24"/>
      <c r="AX62" s="24"/>
      <c r="AY62" s="25"/>
      <c r="AZ62" s="107"/>
      <c r="BA62" s="107"/>
      <c r="BC62" s="22"/>
      <c r="BD62" s="23"/>
      <c r="BE62" s="24"/>
      <c r="BF62" s="24"/>
      <c r="BG62" s="25"/>
      <c r="BH62" s="107"/>
      <c r="BI62" s="107"/>
    </row>
    <row r="63" spans="47:61" ht="14.4" customHeight="1">
      <c r="AU63" s="22"/>
      <c r="AV63" s="23"/>
      <c r="AW63" s="24"/>
      <c r="AX63" s="24"/>
      <c r="AY63" s="25"/>
      <c r="AZ63" s="107"/>
      <c r="BA63" s="107"/>
      <c r="BC63" s="22"/>
      <c r="BD63" s="23"/>
      <c r="BE63" s="24"/>
      <c r="BF63" s="24"/>
      <c r="BG63" s="25"/>
      <c r="BH63" s="107"/>
      <c r="BI63" s="107"/>
    </row>
    <row r="64" spans="47:61" ht="14.4" customHeight="1">
      <c r="AU64" s="22"/>
      <c r="AV64" s="23"/>
      <c r="AW64" s="24"/>
      <c r="AX64" s="24"/>
      <c r="AY64" s="25"/>
      <c r="AZ64" s="107"/>
      <c r="BA64" s="107"/>
      <c r="BC64" s="22"/>
      <c r="BD64" s="23"/>
      <c r="BE64" s="24"/>
      <c r="BF64" s="24"/>
      <c r="BG64" s="25"/>
      <c r="BH64" s="107"/>
      <c r="BI64" s="107"/>
    </row>
    <row r="65" spans="47:61" ht="14.4" customHeight="1">
      <c r="AU65" s="22"/>
      <c r="AV65" s="23"/>
      <c r="AW65" s="24"/>
      <c r="AX65" s="24"/>
      <c r="AY65" s="25"/>
      <c r="AZ65" s="107"/>
      <c r="BA65" s="107"/>
      <c r="BC65" s="22"/>
      <c r="BD65" s="23"/>
      <c r="BE65" s="24"/>
      <c r="BF65" s="24"/>
      <c r="BG65" s="25"/>
      <c r="BH65" s="107"/>
      <c r="BI65" s="107"/>
    </row>
    <row r="66" spans="47:61" ht="14.4" customHeight="1">
      <c r="AU66" s="22"/>
      <c r="AV66" s="23"/>
      <c r="AW66" s="24"/>
      <c r="AX66" s="24"/>
      <c r="AY66" s="25"/>
      <c r="AZ66" s="107"/>
      <c r="BA66" s="107"/>
      <c r="BC66" s="22"/>
      <c r="BD66" s="23"/>
      <c r="BE66" s="24"/>
      <c r="BF66" s="24"/>
      <c r="BG66" s="25"/>
      <c r="BH66" s="107"/>
      <c r="BI66" s="107"/>
    </row>
    <row r="67" spans="47:61" ht="14.4" customHeight="1">
      <c r="AU67" s="22"/>
      <c r="AV67" s="23"/>
      <c r="AW67" s="24"/>
      <c r="AX67" s="24"/>
      <c r="AY67" s="25"/>
      <c r="AZ67" s="107"/>
      <c r="BA67" s="107"/>
      <c r="BC67" s="22"/>
      <c r="BD67" s="23"/>
      <c r="BE67" s="24"/>
      <c r="BF67" s="24"/>
      <c r="BG67" s="25"/>
      <c r="BH67" s="107"/>
      <c r="BI67" s="107"/>
    </row>
    <row r="68" spans="47:61" ht="14.4" customHeight="1">
      <c r="AU68" s="22"/>
      <c r="AV68" s="23"/>
      <c r="AW68" s="24"/>
      <c r="AX68" s="24"/>
      <c r="AY68" s="25"/>
      <c r="AZ68" s="107"/>
      <c r="BA68" s="107"/>
      <c r="BC68" s="22"/>
      <c r="BD68" s="23"/>
      <c r="BE68" s="24"/>
      <c r="BF68" s="24"/>
      <c r="BG68" s="25"/>
      <c r="BH68" s="107"/>
      <c r="BI68" s="107"/>
    </row>
    <row r="69" spans="47:61" ht="14.4" customHeight="1">
      <c r="AU69" s="22"/>
      <c r="AV69" s="23"/>
      <c r="AW69" s="24"/>
      <c r="AX69" s="24"/>
      <c r="AY69" s="25"/>
      <c r="AZ69" s="107"/>
      <c r="BA69" s="107"/>
      <c r="BC69" s="22"/>
      <c r="BD69" s="23"/>
      <c r="BE69" s="24"/>
      <c r="BF69" s="24"/>
      <c r="BG69" s="25"/>
      <c r="BH69" s="107"/>
      <c r="BI69" s="107"/>
    </row>
    <row r="70" spans="47:61" ht="14.4" customHeight="1">
      <c r="AU70" s="22"/>
      <c r="AV70" s="23"/>
      <c r="AW70" s="24"/>
      <c r="AX70" s="24"/>
      <c r="AY70" s="25"/>
      <c r="AZ70" s="107"/>
      <c r="BA70" s="107"/>
      <c r="BC70" s="22"/>
      <c r="BD70" s="23"/>
      <c r="BE70" s="24"/>
      <c r="BF70" s="24"/>
      <c r="BG70" s="25"/>
      <c r="BH70" s="107"/>
      <c r="BI70" s="107"/>
    </row>
    <row r="71" spans="47:61" ht="14.4" customHeight="1">
      <c r="AU71" s="22"/>
      <c r="AV71" s="23"/>
      <c r="AW71" s="24"/>
      <c r="AX71" s="24"/>
      <c r="AY71" s="25"/>
      <c r="AZ71" s="107"/>
      <c r="BA71" s="107"/>
      <c r="BC71" s="22"/>
      <c r="BD71" s="23"/>
      <c r="BE71" s="24"/>
      <c r="BF71" s="24"/>
      <c r="BG71" s="25"/>
      <c r="BH71" s="107"/>
      <c r="BI71" s="107"/>
    </row>
    <row r="72" spans="47:61" ht="14.4" customHeight="1">
      <c r="AU72" s="22"/>
      <c r="AV72" s="23"/>
      <c r="AW72" s="24"/>
      <c r="AX72" s="24"/>
      <c r="AY72" s="25"/>
      <c r="AZ72" s="107"/>
      <c r="BA72" s="107"/>
      <c r="BC72" s="22"/>
      <c r="BD72" s="23"/>
      <c r="BE72" s="24"/>
      <c r="BF72" s="24"/>
      <c r="BG72" s="25"/>
      <c r="BH72" s="107"/>
      <c r="BI72" s="107"/>
    </row>
    <row r="73" spans="47:61" ht="14.4" customHeight="1">
      <c r="AU73" s="22"/>
      <c r="AV73" s="23"/>
      <c r="AW73" s="24"/>
      <c r="AX73" s="24"/>
      <c r="AY73" s="25"/>
      <c r="AZ73" s="107"/>
      <c r="BA73" s="107"/>
      <c r="BC73" s="22"/>
      <c r="BD73" s="23"/>
      <c r="BE73" s="24"/>
      <c r="BF73" s="24"/>
      <c r="BG73" s="25"/>
      <c r="BH73" s="107"/>
      <c r="BI73" s="107"/>
    </row>
    <row r="74" spans="47:61" ht="14.4" customHeight="1">
      <c r="AU74" s="22"/>
      <c r="AV74" s="23"/>
      <c r="AW74" s="24"/>
      <c r="AX74" s="24"/>
      <c r="AY74" s="25"/>
      <c r="AZ74" s="107"/>
      <c r="BA74" s="107"/>
      <c r="BC74" s="22"/>
      <c r="BD74" s="23"/>
      <c r="BE74" s="24"/>
      <c r="BF74" s="24"/>
      <c r="BG74" s="25"/>
      <c r="BH74" s="107"/>
      <c r="BI74" s="107"/>
    </row>
    <row r="75" spans="47:61" ht="14.4" customHeight="1">
      <c r="AU75" s="22"/>
      <c r="AV75" s="23"/>
      <c r="AW75" s="24"/>
      <c r="AX75" s="24"/>
      <c r="AY75" s="25"/>
      <c r="AZ75" s="107"/>
      <c r="BA75" s="107"/>
      <c r="BC75" s="22"/>
      <c r="BD75" s="23"/>
      <c r="BE75" s="24"/>
      <c r="BF75" s="24"/>
      <c r="BG75" s="25"/>
      <c r="BH75" s="107"/>
      <c r="BI75" s="107"/>
    </row>
    <row r="76" spans="47:61" ht="14.4" customHeight="1">
      <c r="AU76" s="22"/>
      <c r="AV76" s="23"/>
      <c r="AW76" s="24"/>
      <c r="AX76" s="24"/>
      <c r="AY76" s="25"/>
      <c r="AZ76" s="107"/>
      <c r="BA76" s="107"/>
      <c r="BC76" s="22"/>
      <c r="BD76" s="23"/>
      <c r="BE76" s="24"/>
      <c r="BF76" s="24"/>
      <c r="BG76" s="25"/>
      <c r="BH76" s="107"/>
      <c r="BI76" s="107"/>
    </row>
    <row r="77" spans="47:61" ht="14.4" customHeight="1">
      <c r="AU77" s="22"/>
      <c r="AV77" s="23"/>
      <c r="AW77" s="24"/>
      <c r="AX77" s="24"/>
      <c r="AY77" s="25"/>
      <c r="AZ77" s="107"/>
      <c r="BA77" s="107"/>
      <c r="BC77" s="22"/>
      <c r="BD77" s="23"/>
      <c r="BE77" s="24"/>
      <c r="BF77" s="24"/>
      <c r="BG77" s="25"/>
      <c r="BH77" s="107"/>
      <c r="BI77" s="107"/>
    </row>
    <row r="78" spans="47:61" ht="14.4" customHeight="1">
      <c r="AU78" s="22"/>
      <c r="AV78" s="23"/>
      <c r="AW78" s="24"/>
      <c r="AX78" s="24"/>
      <c r="AY78" s="25"/>
      <c r="AZ78" s="107"/>
      <c r="BA78" s="107"/>
      <c r="BC78" s="22"/>
      <c r="BD78" s="23"/>
      <c r="BE78" s="24"/>
      <c r="BF78" s="24"/>
      <c r="BG78" s="25"/>
      <c r="BH78" s="107"/>
      <c r="BI78" s="107"/>
    </row>
    <row r="79" spans="47:61" ht="14.4" customHeight="1">
      <c r="AU79" s="22"/>
      <c r="AV79" s="23"/>
      <c r="AW79" s="24"/>
      <c r="AX79" s="24"/>
      <c r="AY79" s="25"/>
      <c r="AZ79" s="107"/>
      <c r="BA79" s="107"/>
      <c r="BC79" s="22"/>
      <c r="BD79" s="23"/>
      <c r="BE79" s="24"/>
      <c r="BF79" s="24"/>
      <c r="BG79" s="25"/>
      <c r="BH79" s="107"/>
      <c r="BI79" s="107"/>
    </row>
    <row r="80" spans="47:61" ht="14.4" customHeight="1">
      <c r="AU80" s="22"/>
      <c r="AV80" s="23"/>
      <c r="AW80" s="24"/>
      <c r="AX80" s="24"/>
      <c r="AY80" s="25"/>
      <c r="AZ80" s="107"/>
      <c r="BA80" s="107"/>
      <c r="BC80" s="22"/>
      <c r="BD80" s="23"/>
      <c r="BE80" s="24"/>
      <c r="BF80" s="24"/>
      <c r="BG80" s="25"/>
      <c r="BH80" s="107"/>
      <c r="BI80" s="107"/>
    </row>
    <row r="81" spans="47:61" ht="14.4" customHeight="1">
      <c r="AU81" s="22"/>
      <c r="AV81" s="23"/>
      <c r="AW81" s="24"/>
      <c r="AX81" s="24"/>
      <c r="AY81" s="25"/>
      <c r="AZ81" s="107"/>
      <c r="BA81" s="107"/>
      <c r="BC81" s="22"/>
      <c r="BD81" s="23"/>
      <c r="BE81" s="24"/>
      <c r="BF81" s="24"/>
      <c r="BG81" s="25"/>
      <c r="BH81" s="107"/>
      <c r="BI81" s="107"/>
    </row>
    <row r="82" spans="47:61" ht="14.4" customHeight="1">
      <c r="AU82" s="22"/>
      <c r="AV82" s="23"/>
      <c r="AW82" s="24"/>
      <c r="AX82" s="24"/>
      <c r="AY82" s="25"/>
      <c r="AZ82" s="107"/>
      <c r="BA82" s="107"/>
      <c r="BC82" s="22"/>
      <c r="BD82" s="23"/>
      <c r="BE82" s="24"/>
      <c r="BF82" s="24"/>
      <c r="BG82" s="25"/>
      <c r="BH82" s="107"/>
      <c r="BI82" s="107"/>
    </row>
    <row r="83" spans="47:61" ht="14.4" customHeight="1">
      <c r="AU83" s="22"/>
      <c r="AV83" s="23"/>
      <c r="AW83" s="24"/>
      <c r="AX83" s="24"/>
      <c r="AY83" s="25"/>
      <c r="AZ83" s="107"/>
      <c r="BA83" s="107"/>
      <c r="BC83" s="22"/>
      <c r="BD83" s="23"/>
      <c r="BE83" s="24"/>
      <c r="BF83" s="24"/>
      <c r="BG83" s="25"/>
      <c r="BH83" s="107"/>
      <c r="BI83" s="107"/>
    </row>
    <row r="84" spans="47:61" ht="14.4" customHeight="1">
      <c r="AU84" s="22"/>
      <c r="AV84" s="23"/>
      <c r="AW84" s="24"/>
      <c r="AX84" s="24"/>
      <c r="AY84" s="25"/>
      <c r="AZ84" s="107"/>
      <c r="BA84" s="107"/>
      <c r="BC84" s="22"/>
      <c r="BD84" s="23"/>
      <c r="BE84" s="24"/>
      <c r="BF84" s="24"/>
      <c r="BG84" s="25"/>
      <c r="BH84" s="107"/>
      <c r="BI84" s="107"/>
    </row>
    <row r="85" spans="47:61" ht="14.4" customHeight="1">
      <c r="AU85" s="22"/>
      <c r="AV85" s="23"/>
      <c r="AW85" s="24"/>
      <c r="AX85" s="24"/>
      <c r="AY85" s="25"/>
      <c r="AZ85" s="107"/>
      <c r="BA85" s="107"/>
      <c r="BC85" s="22"/>
      <c r="BD85" s="23"/>
      <c r="BE85" s="24"/>
      <c r="BF85" s="24"/>
      <c r="BG85" s="25"/>
      <c r="BH85" s="107"/>
      <c r="BI85" s="107"/>
    </row>
    <row r="86" spans="47:61" ht="14.4" customHeight="1">
      <c r="AU86" s="22"/>
      <c r="AV86" s="23"/>
      <c r="AW86" s="24"/>
      <c r="AX86" s="24"/>
      <c r="AY86" s="25"/>
      <c r="AZ86" s="107"/>
      <c r="BA86" s="107"/>
      <c r="BC86" s="22"/>
      <c r="BD86" s="23"/>
      <c r="BE86" s="24"/>
      <c r="BF86" s="24"/>
      <c r="BG86" s="25"/>
      <c r="BH86" s="107"/>
      <c r="BI86" s="107"/>
    </row>
    <row r="87" spans="47:61" ht="14.4" customHeight="1">
      <c r="AU87" s="22"/>
      <c r="AV87" s="23"/>
      <c r="AW87" s="24"/>
      <c r="AX87" s="24"/>
      <c r="AY87" s="25"/>
      <c r="AZ87" s="107"/>
      <c r="BA87" s="107"/>
      <c r="BC87" s="22"/>
      <c r="BD87" s="23"/>
      <c r="BE87" s="24"/>
      <c r="BF87" s="24"/>
      <c r="BG87" s="25"/>
      <c r="BH87" s="107"/>
      <c r="BI87" s="107"/>
    </row>
    <row r="88" spans="47:61" ht="14.4" customHeight="1">
      <c r="AU88" s="22"/>
      <c r="AV88" s="23"/>
      <c r="AW88" s="24"/>
      <c r="AX88" s="24"/>
      <c r="AY88" s="25"/>
      <c r="AZ88" s="107"/>
      <c r="BA88" s="107"/>
      <c r="BC88" s="22"/>
      <c r="BD88" s="23"/>
      <c r="BE88" s="24"/>
      <c r="BF88" s="24"/>
      <c r="BG88" s="25"/>
      <c r="BH88" s="107"/>
      <c r="BI88" s="107"/>
    </row>
    <row r="89" spans="47:61" ht="14.4" customHeight="1">
      <c r="AU89" s="22"/>
      <c r="AV89" s="23"/>
      <c r="AW89" s="24"/>
      <c r="AX89" s="24"/>
      <c r="AY89" s="25"/>
      <c r="AZ89" s="107"/>
      <c r="BA89" s="107"/>
      <c r="BC89" s="22"/>
      <c r="BD89" s="23"/>
      <c r="BE89" s="24"/>
      <c r="BF89" s="24"/>
      <c r="BG89" s="25"/>
      <c r="BH89" s="107"/>
      <c r="BI89" s="107"/>
    </row>
    <row r="90" spans="47:61" ht="14.4" customHeight="1"/>
    <row r="91" spans="47:61" ht="14.4" customHeight="1"/>
    <row r="92" spans="47:61" ht="14.4" customHeight="1"/>
    <row r="93" spans="47:61" ht="14.4" customHeight="1"/>
    <row r="94" spans="47:61" ht="14.4" customHeight="1"/>
    <row r="95" spans="47:61" ht="14.4" customHeight="1"/>
    <row r="96" spans="47:61" ht="14.4" customHeight="1"/>
    <row r="97" ht="14.4" customHeight="1"/>
    <row r="98" ht="14.4" customHeight="1"/>
    <row r="99" ht="14.4" customHeight="1"/>
    <row r="100" ht="14.4" customHeight="1"/>
  </sheetData>
  <sheetProtection password="DD97" sheet="1"/>
  <mergeCells count="104">
    <mergeCell ref="O31:R31"/>
    <mergeCell ref="S31:V31"/>
    <mergeCell ref="B25:G25"/>
    <mergeCell ref="AM28:AR28"/>
    <mergeCell ref="AM29:AR29"/>
    <mergeCell ref="AM30:AR30"/>
    <mergeCell ref="W31:Z31"/>
    <mergeCell ref="S27:V27"/>
    <mergeCell ref="W27:Z27"/>
    <mergeCell ref="O28:R28"/>
    <mergeCell ref="S28:V28"/>
    <mergeCell ref="W28:Z28"/>
    <mergeCell ref="O29:R29"/>
    <mergeCell ref="S29:V29"/>
    <mergeCell ref="W29:Z29"/>
    <mergeCell ref="O30:R30"/>
    <mergeCell ref="S30:V30"/>
    <mergeCell ref="W30:Z30"/>
    <mergeCell ref="O18:R18"/>
    <mergeCell ref="S18:V18"/>
    <mergeCell ref="W18:Z18"/>
    <mergeCell ref="O17:Z17"/>
    <mergeCell ref="O19:R19"/>
    <mergeCell ref="S19:V19"/>
    <mergeCell ref="W19:Z19"/>
    <mergeCell ref="AM26:AR26"/>
    <mergeCell ref="AM27:AR27"/>
    <mergeCell ref="AF17:AJ17"/>
    <mergeCell ref="AF18:AJ18"/>
    <mergeCell ref="AF19:AJ19"/>
    <mergeCell ref="AF20:AJ20"/>
    <mergeCell ref="AF21:AJ21"/>
    <mergeCell ref="AF22:AJ22"/>
    <mergeCell ref="AM25:AR25"/>
    <mergeCell ref="AM19:AR19"/>
    <mergeCell ref="AM20:AR20"/>
    <mergeCell ref="AM21:AR21"/>
    <mergeCell ref="AM22:AR22"/>
    <mergeCell ref="AM23:AR23"/>
    <mergeCell ref="AM24:AR24"/>
    <mergeCell ref="O25:R25"/>
    <mergeCell ref="S25:V25"/>
    <mergeCell ref="AF23:AJ23"/>
    <mergeCell ref="O20:R20"/>
    <mergeCell ref="AM31:AR31"/>
    <mergeCell ref="B27:G27"/>
    <mergeCell ref="S26:V26"/>
    <mergeCell ref="W26:Z26"/>
    <mergeCell ref="B26:G26"/>
    <mergeCell ref="O26:R26"/>
    <mergeCell ref="AF24:AJ24"/>
    <mergeCell ref="AF25:AJ25"/>
    <mergeCell ref="AF26:AJ26"/>
    <mergeCell ref="AF27:AJ27"/>
    <mergeCell ref="O27:R27"/>
    <mergeCell ref="AF28:AJ28"/>
    <mergeCell ref="AF29:AJ29"/>
    <mergeCell ref="AF30:AJ30"/>
    <mergeCell ref="W25:Z25"/>
    <mergeCell ref="AF31:AJ31"/>
    <mergeCell ref="B28:G28"/>
    <mergeCell ref="B29:G29"/>
    <mergeCell ref="B30:G30"/>
    <mergeCell ref="B31:G31"/>
    <mergeCell ref="O22:R22"/>
    <mergeCell ref="S22:V22"/>
    <mergeCell ref="B19:G19"/>
    <mergeCell ref="B22:G22"/>
    <mergeCell ref="B23:G23"/>
    <mergeCell ref="W22:Z22"/>
    <mergeCell ref="W23:Z23"/>
    <mergeCell ref="B24:G24"/>
    <mergeCell ref="W24:Z24"/>
    <mergeCell ref="B21:G21"/>
    <mergeCell ref="W20:Z20"/>
    <mergeCell ref="S20:V20"/>
    <mergeCell ref="B20:G20"/>
    <mergeCell ref="O21:R21"/>
    <mergeCell ref="S21:V21"/>
    <mergeCell ref="W21:Z21"/>
    <mergeCell ref="O23:R23"/>
    <mergeCell ref="S23:V23"/>
    <mergeCell ref="O24:R24"/>
    <mergeCell ref="S24:V24"/>
    <mergeCell ref="B9:E9"/>
    <mergeCell ref="F9:K9"/>
    <mergeCell ref="B10:E10"/>
    <mergeCell ref="F10:K10"/>
    <mergeCell ref="B11:E11"/>
    <mergeCell ref="F11:I11"/>
    <mergeCell ref="J11:K11"/>
    <mergeCell ref="B7:E7"/>
    <mergeCell ref="F7:K7"/>
    <mergeCell ref="B8:E8"/>
    <mergeCell ref="F8:K8"/>
    <mergeCell ref="B2:E2"/>
    <mergeCell ref="G2:K2"/>
    <mergeCell ref="U2:Y2"/>
    <mergeCell ref="AA2:AE2"/>
    <mergeCell ref="AI2:AM2"/>
    <mergeCell ref="AO2:AR2"/>
    <mergeCell ref="B6:E6"/>
    <mergeCell ref="F6:K6"/>
    <mergeCell ref="O2:S2"/>
  </mergeCells>
  <conditionalFormatting sqref="BG5:BG89 AY5:AY89">
    <cfRule type="cellIs" dxfId="4" priority="3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U2:Y2" location="'MENU-2'!A1" display="'MENU-2'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F11:K11" unlocked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"/>
  <sheetViews>
    <sheetView showGridLines="0" showRowColHeaders="0" topLeftCell="A166" workbookViewId="0">
      <selection activeCell="A166" sqref="A166"/>
    </sheetView>
  </sheetViews>
  <sheetFormatPr defaultRowHeight="13.8"/>
  <sheetData/>
  <sheetProtection password="FC7B" sheet="1"/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pageSetUpPr fitToPage="1"/>
  </sheetPr>
  <dimension ref="A3:CF492"/>
  <sheetViews>
    <sheetView showGridLines="0" showRowColHeaders="0" zoomScaleNormal="100" workbookViewId="0"/>
  </sheetViews>
  <sheetFormatPr defaultColWidth="9" defaultRowHeight="13.8"/>
  <cols>
    <col min="1" max="1" width="1.6640625" style="3" customWidth="1"/>
    <col min="2" max="2" width="11.77734375" style="3" customWidth="1"/>
    <col min="3" max="3" width="79.5546875" style="3" customWidth="1"/>
    <col min="4" max="4" width="5.109375" style="3" customWidth="1"/>
    <col min="5" max="5" width="2.6640625" style="3" customWidth="1"/>
    <col min="6" max="6" width="4.33203125" style="3" customWidth="1"/>
    <col min="7" max="7" width="9" style="3"/>
    <col min="8" max="8" width="4.109375" style="3" bestFit="1" customWidth="1"/>
    <col min="9" max="9" width="9" style="3"/>
    <col min="10" max="10" width="4.33203125" style="3" bestFit="1" customWidth="1"/>
    <col min="11" max="11" width="9" style="3"/>
    <col min="12" max="12" width="8.88671875" style="3" customWidth="1"/>
    <col min="13" max="13" width="1.6640625" style="3" customWidth="1"/>
    <col min="14" max="15" width="9" style="3" hidden="1" customWidth="1"/>
    <col min="16" max="76" width="4.6640625" style="3" hidden="1" customWidth="1"/>
    <col min="77" max="77" width="3" style="3" hidden="1" customWidth="1"/>
    <col min="78" max="78" width="3.109375" style="3" hidden="1" customWidth="1"/>
    <col min="79" max="79" width="10.6640625" style="3" customWidth="1"/>
    <col min="80" max="16384" width="9" style="3"/>
  </cols>
  <sheetData>
    <row r="3" spans="1:78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97"/>
      <c r="Q3" s="97"/>
      <c r="R3" s="97"/>
      <c r="S3" s="97"/>
      <c r="T3" s="97"/>
      <c r="U3" s="97"/>
      <c r="V3" s="97"/>
    </row>
    <row r="4" spans="1:78" ht="15" customHeight="1">
      <c r="A4" s="112"/>
      <c r="B4" s="113" t="str">
        <f>verze!E30</f>
        <v>Odběratel</v>
      </c>
      <c r="C4" s="115"/>
      <c r="D4" s="115"/>
      <c r="E4" s="115"/>
      <c r="F4" s="115"/>
      <c r="G4" s="115"/>
      <c r="H4" s="115"/>
      <c r="I4" s="115"/>
      <c r="J4" s="115"/>
      <c r="K4" s="115"/>
      <c r="L4" s="112"/>
      <c r="M4" s="112"/>
      <c r="N4" s="173"/>
      <c r="O4" s="173"/>
      <c r="P4" s="156"/>
      <c r="Q4" s="156"/>
      <c r="R4" s="156"/>
      <c r="S4" s="156"/>
      <c r="T4" s="156"/>
      <c r="U4" s="156"/>
      <c r="V4" s="156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</row>
    <row r="5" spans="1:78" ht="15" customHeight="1">
      <c r="A5" s="112"/>
      <c r="B5" s="114" t="str">
        <f>verze!E32&amp;" :"</f>
        <v>Fakturační adresa :</v>
      </c>
      <c r="C5" s="115"/>
      <c r="D5" s="115"/>
      <c r="E5" s="115"/>
      <c r="F5" s="114" t="str">
        <f>verze!E33&amp;" :"</f>
        <v>Dodací adresa :</v>
      </c>
      <c r="G5" s="115"/>
      <c r="H5" s="115"/>
      <c r="I5" s="115"/>
      <c r="J5" s="115"/>
      <c r="K5" s="115"/>
      <c r="L5" s="112"/>
      <c r="M5" s="112"/>
      <c r="N5" s="112"/>
      <c r="O5" s="112"/>
      <c r="P5" s="97"/>
      <c r="Q5" s="97"/>
      <c r="R5" s="97"/>
      <c r="S5" s="97"/>
      <c r="T5" s="97"/>
      <c r="U5" s="97"/>
      <c r="V5" s="97"/>
    </row>
    <row r="6" spans="1:78" ht="6.75" customHeight="1" thickBot="1">
      <c r="A6" s="112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2"/>
      <c r="M6" s="112"/>
      <c r="N6" s="112"/>
      <c r="O6" s="112"/>
      <c r="P6" s="97"/>
      <c r="Q6" s="97"/>
      <c r="R6" s="97"/>
      <c r="S6" s="97"/>
      <c r="T6" s="97"/>
      <c r="U6" s="97"/>
      <c r="V6" s="97"/>
      <c r="AA6" s="27" t="str">
        <f>FORM!AU16</f>
        <v>v barvě bočnice</v>
      </c>
    </row>
    <row r="7" spans="1:78" ht="15" customHeight="1">
      <c r="A7" s="112"/>
      <c r="B7" s="116" t="str">
        <f>IF(Napoveda!B9="","",Napoveda!B9)</f>
        <v/>
      </c>
      <c r="C7" s="117"/>
      <c r="D7" s="115"/>
      <c r="E7" s="115"/>
      <c r="F7" s="118"/>
      <c r="G7" s="119"/>
      <c r="H7" s="119"/>
      <c r="I7" s="119"/>
      <c r="J7" s="119"/>
      <c r="K7" s="120"/>
      <c r="L7" s="112"/>
      <c r="M7" s="112"/>
      <c r="N7" s="112"/>
      <c r="O7" s="112"/>
      <c r="P7" s="97"/>
      <c r="Q7" s="78" t="str">
        <f>FORM!U8</f>
        <v>stříbrná</v>
      </c>
      <c r="R7" s="97"/>
      <c r="S7" s="78"/>
      <c r="T7" s="78" t="str">
        <f>FORM!AM8</f>
        <v>na vruty</v>
      </c>
      <c r="U7" s="97"/>
      <c r="V7" s="97"/>
      <c r="Y7" s="78">
        <f>FORM!AM24</f>
        <v>18</v>
      </c>
      <c r="AA7" s="78" t="str">
        <f>IF(FORM!AM18=AA6,Q7,FORM!AM18)</f>
        <v>stříbrná</v>
      </c>
    </row>
    <row r="8" spans="1:78" ht="15" customHeight="1">
      <c r="A8" s="112"/>
      <c r="B8" s="121" t="str">
        <f>IF(Napoveda!B11="","",Napoveda!B11)</f>
        <v/>
      </c>
      <c r="C8" s="122"/>
      <c r="D8" s="115"/>
      <c r="E8" s="115"/>
      <c r="F8" s="123" t="str">
        <f>IF(Napoveda!B15="","",Napoveda!B15)</f>
        <v/>
      </c>
      <c r="G8" s="124"/>
      <c r="H8" s="124"/>
      <c r="I8" s="124"/>
      <c r="J8" s="124"/>
      <c r="K8" s="125"/>
      <c r="L8" s="112"/>
      <c r="M8" s="112"/>
      <c r="N8" s="112"/>
      <c r="O8" s="112"/>
      <c r="P8" s="97"/>
      <c r="Q8" s="27" t="str">
        <f>FORM!AU6</f>
        <v>stříbrná</v>
      </c>
      <c r="R8" s="97"/>
      <c r="S8" s="97"/>
      <c r="T8" s="27" t="str">
        <f>FORM!AU10</f>
        <v>na vruty</v>
      </c>
      <c r="U8" s="97"/>
      <c r="V8" s="97"/>
      <c r="Y8" s="27">
        <f>FORM!AU24</f>
        <v>16</v>
      </c>
      <c r="AA8" s="27" t="str">
        <f>FORM!AU6</f>
        <v>stříbrná</v>
      </c>
    </row>
    <row r="9" spans="1:78" ht="15" customHeight="1">
      <c r="A9" s="112"/>
      <c r="B9" s="121" t="str">
        <f>IF(Napoveda!B12="","",Napoveda!B12)</f>
        <v/>
      </c>
      <c r="C9" s="122"/>
      <c r="D9" s="115"/>
      <c r="E9" s="115"/>
      <c r="F9" s="123" t="str">
        <f>IF(Napoveda!B16="","",Napoveda!B16)</f>
        <v/>
      </c>
      <c r="G9" s="124"/>
      <c r="H9" s="124"/>
      <c r="I9" s="124"/>
      <c r="J9" s="124"/>
      <c r="K9" s="125"/>
      <c r="L9" s="112"/>
      <c r="M9" s="112"/>
      <c r="N9" s="112"/>
      <c r="O9" s="112"/>
      <c r="P9" s="97"/>
      <c r="Q9" s="27" t="str">
        <f>FORM!AU7</f>
        <v>bílá</v>
      </c>
      <c r="R9" s="27"/>
      <c r="S9" s="27"/>
      <c r="T9" s="27" t="str">
        <f>FORM!AU11</f>
        <v>s rozpěrnými pouzdry</v>
      </c>
      <c r="U9" s="97"/>
      <c r="V9" s="97"/>
      <c r="Y9" s="27">
        <f>FORM!AU25</f>
        <v>18</v>
      </c>
      <c r="AA9" s="27" t="str">
        <f>FORM!AU7</f>
        <v>bílá</v>
      </c>
    </row>
    <row r="10" spans="1:78" ht="15" customHeight="1" thickBot="1">
      <c r="A10" s="112"/>
      <c r="B10" s="126" t="str">
        <f>IF(Napoveda!B13="","",Napoveda!B13)</f>
        <v/>
      </c>
      <c r="C10" s="127"/>
      <c r="D10" s="115"/>
      <c r="E10" s="115"/>
      <c r="F10" s="128" t="str">
        <f>IF(Napoveda!B17="","",Napoveda!B17)</f>
        <v/>
      </c>
      <c r="G10" s="129"/>
      <c r="H10" s="129"/>
      <c r="I10" s="129"/>
      <c r="J10" s="129"/>
      <c r="K10" s="130"/>
      <c r="L10" s="112"/>
      <c r="M10" s="112"/>
      <c r="N10" s="112"/>
      <c r="O10" s="112"/>
      <c r="P10" s="97"/>
      <c r="Q10" s="27" t="str">
        <f>FORM!AU8</f>
        <v>antracit</v>
      </c>
      <c r="R10" s="27"/>
      <c r="S10" s="27"/>
      <c r="T10" s="97"/>
      <c r="U10" s="97"/>
      <c r="V10" s="97"/>
      <c r="Y10" s="27">
        <f>FORM!AU26</f>
        <v>19</v>
      </c>
      <c r="AA10" s="27" t="str">
        <f>FORM!AU8</f>
        <v>antracit</v>
      </c>
    </row>
    <row r="11" spans="1:78" ht="8.1" customHeight="1">
      <c r="A11" s="112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2"/>
      <c r="M11" s="112"/>
      <c r="N11" s="112"/>
      <c r="O11" s="112"/>
      <c r="P11" s="97"/>
      <c r="Q11" s="27"/>
      <c r="R11" s="27"/>
      <c r="S11" s="27"/>
      <c r="T11" s="97"/>
      <c r="U11" s="97"/>
      <c r="V11" s="97"/>
      <c r="AA11" s="27" t="str">
        <f>FORM!AU17</f>
        <v>hliník</v>
      </c>
    </row>
    <row r="12" spans="1:78" ht="15" customHeight="1">
      <c r="A12" s="112"/>
      <c r="B12" s="131" t="str">
        <f>verze!E34&amp;": "&amp;Napoveda!B19</f>
        <v xml:space="preserve">IČO: </v>
      </c>
      <c r="C12" s="120"/>
      <c r="D12" s="115"/>
      <c r="E12" s="115"/>
      <c r="F12" s="115"/>
      <c r="G12" s="115"/>
      <c r="H12" s="115"/>
      <c r="I12" s="115"/>
      <c r="J12" s="115"/>
      <c r="K12" s="115"/>
      <c r="L12" s="112"/>
      <c r="M12" s="112"/>
      <c r="N12" s="112"/>
      <c r="O12" s="112"/>
      <c r="P12" s="97"/>
      <c r="Q12" s="97"/>
      <c r="R12" s="97"/>
      <c r="S12" s="97"/>
      <c r="T12" s="97"/>
      <c r="U12" s="97"/>
      <c r="V12" s="97"/>
      <c r="AA12" s="27" t="str">
        <f>FORM!AU18</f>
        <v>nerez</v>
      </c>
    </row>
    <row r="13" spans="1:78" ht="15" customHeight="1">
      <c r="A13" s="112"/>
      <c r="B13" s="132" t="str">
        <f>verze!E35&amp;": "&amp;Napoveda!B21</f>
        <v xml:space="preserve">DIČ: </v>
      </c>
      <c r="C13" s="130"/>
      <c r="D13" s="115"/>
      <c r="E13" s="115"/>
      <c r="F13" s="115"/>
      <c r="G13" s="115"/>
      <c r="H13" s="115"/>
      <c r="I13" s="115"/>
      <c r="J13" s="115"/>
      <c r="K13" s="115"/>
      <c r="L13" s="112"/>
      <c r="M13" s="112"/>
      <c r="N13" s="112"/>
      <c r="O13" s="112"/>
      <c r="P13" s="97"/>
      <c r="Q13" s="97"/>
      <c r="R13" s="97"/>
      <c r="S13" s="97"/>
      <c r="T13" s="97"/>
      <c r="U13" s="97"/>
      <c r="V13" s="97"/>
      <c r="AA13" s="27" t="str">
        <f>FORM!AU19</f>
        <v>chrom</v>
      </c>
    </row>
    <row r="14" spans="1:78" ht="8.1" customHeight="1">
      <c r="A14" s="112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2"/>
      <c r="M14" s="112"/>
      <c r="N14" s="112"/>
      <c r="O14" s="112"/>
      <c r="P14" s="97"/>
      <c r="Q14" s="97"/>
      <c r="R14" s="97"/>
      <c r="S14" s="97"/>
      <c r="T14" s="97"/>
      <c r="U14" s="97"/>
      <c r="V14" s="97"/>
      <c r="AA14" s="27" t="str">
        <f>FORM!AU20</f>
        <v>dub</v>
      </c>
    </row>
    <row r="15" spans="1:78" ht="15" customHeight="1">
      <c r="A15" s="112"/>
      <c r="B15" s="311" t="str">
        <f>IF(Napoveda!B23="","",Napoveda!B23)</f>
        <v/>
      </c>
      <c r="C15" s="120"/>
      <c r="D15" s="115"/>
      <c r="E15" s="115"/>
      <c r="F15" s="115" t="str">
        <f>verze!E39</f>
        <v>Číslo objednávky</v>
      </c>
      <c r="G15" s="115"/>
      <c r="H15" s="115"/>
      <c r="I15" s="115"/>
      <c r="J15" s="115"/>
      <c r="K15" s="115"/>
      <c r="L15" s="112"/>
      <c r="M15" s="112"/>
      <c r="N15" s="112"/>
      <c r="O15" s="112"/>
      <c r="P15" s="97"/>
      <c r="Q15" s="97"/>
      <c r="R15" s="97"/>
      <c r="S15" s="97"/>
      <c r="T15" s="97"/>
      <c r="U15" s="97"/>
      <c r="V15" s="97"/>
      <c r="AA15" s="27" t="str">
        <f>FORM!AU21</f>
        <v>ořech</v>
      </c>
    </row>
    <row r="16" spans="1:78" ht="15" customHeight="1">
      <c r="A16" s="112"/>
      <c r="B16" s="312" t="str">
        <f>IF(Napoveda!B24="","",Napoveda!B24)</f>
        <v/>
      </c>
      <c r="C16" s="125"/>
      <c r="D16" s="115"/>
      <c r="E16" s="115"/>
      <c r="F16" s="707"/>
      <c r="G16" s="707"/>
      <c r="H16" s="707"/>
      <c r="I16" s="707"/>
      <c r="J16" s="707"/>
      <c r="K16" s="707"/>
      <c r="L16" s="112"/>
      <c r="M16" s="112"/>
      <c r="N16" s="112"/>
      <c r="O16" s="112"/>
      <c r="P16" s="97"/>
      <c r="Q16" s="97"/>
      <c r="R16" s="97"/>
      <c r="S16" s="97"/>
      <c r="T16" s="97"/>
      <c r="U16" s="97"/>
      <c r="V16" s="97"/>
      <c r="AA16" s="27"/>
    </row>
    <row r="17" spans="1:84" ht="15" customHeight="1">
      <c r="A17" s="112"/>
      <c r="B17" s="312" t="str">
        <f>IF(Napoveda!B25="","",Napoveda!B25)</f>
        <v/>
      </c>
      <c r="C17" s="125"/>
      <c r="D17" s="115"/>
      <c r="E17" s="115"/>
      <c r="F17" s="115" t="str">
        <f>verze!E40</f>
        <v>Zakázka</v>
      </c>
      <c r="G17" s="115"/>
      <c r="H17" s="115"/>
      <c r="I17" s="115"/>
      <c r="J17" s="115"/>
      <c r="K17" s="115"/>
      <c r="L17" s="112"/>
      <c r="M17" s="112"/>
      <c r="N17" s="112"/>
      <c r="O17" s="112"/>
      <c r="P17" s="97"/>
      <c r="Q17" s="97"/>
      <c r="R17" s="97"/>
      <c r="S17" s="97"/>
      <c r="T17" s="97"/>
      <c r="U17" s="97"/>
      <c r="V17" s="97"/>
    </row>
    <row r="18" spans="1:84" ht="15" customHeight="1">
      <c r="A18" s="112"/>
      <c r="B18" s="313"/>
      <c r="C18" s="130"/>
      <c r="D18" s="115"/>
      <c r="E18" s="115"/>
      <c r="F18" s="707"/>
      <c r="G18" s="707"/>
      <c r="H18" s="707"/>
      <c r="I18" s="707"/>
      <c r="J18" s="707"/>
      <c r="K18" s="707"/>
      <c r="L18" s="112"/>
      <c r="M18" s="112"/>
      <c r="N18" s="112"/>
      <c r="O18" s="112"/>
      <c r="P18" s="97"/>
      <c r="Q18" s="97"/>
      <c r="R18" s="97"/>
      <c r="S18" s="97"/>
      <c r="T18" s="97"/>
      <c r="U18" s="97"/>
      <c r="V18" s="97"/>
    </row>
    <row r="19" spans="1:84" ht="15" customHeight="1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97"/>
      <c r="Q19" s="97"/>
      <c r="R19" s="97"/>
      <c r="S19" s="97"/>
      <c r="T19" s="97"/>
      <c r="U19" s="97"/>
      <c r="V19" s="97"/>
    </row>
    <row r="20" spans="1:84" ht="24.6">
      <c r="A20" s="112"/>
      <c r="B20" s="133" t="str">
        <f>verze!E38</f>
        <v>Objednávka</v>
      </c>
      <c r="C20" s="134"/>
      <c r="D20" s="134"/>
      <c r="E20" s="134"/>
      <c r="F20" s="135" t="s">
        <v>505</v>
      </c>
      <c r="G20" s="134"/>
      <c r="H20" s="134"/>
      <c r="I20" s="134"/>
      <c r="J20" s="134"/>
      <c r="K20" s="136" t="str">
        <f>verze!E51&amp;": "&amp;verze!E52</f>
        <v>Verze : 1.0.0</v>
      </c>
      <c r="L20" s="134"/>
      <c r="M20" s="112"/>
      <c r="N20" s="112"/>
      <c r="O20" s="112"/>
      <c r="P20" s="97"/>
      <c r="Q20" s="97"/>
      <c r="R20" s="97"/>
      <c r="S20" s="97"/>
      <c r="T20" s="97"/>
      <c r="U20" s="97"/>
      <c r="V20" s="97"/>
      <c r="Z20" s="708" t="s">
        <v>469</v>
      </c>
      <c r="AA20" s="708"/>
      <c r="AB20" s="708"/>
      <c r="AC20" s="708"/>
      <c r="AD20" s="708"/>
      <c r="AE20" s="708"/>
      <c r="AF20" s="473"/>
      <c r="AG20" s="473"/>
      <c r="AH20" s="712" t="s">
        <v>476</v>
      </c>
      <c r="AI20" s="712"/>
      <c r="AJ20" s="712"/>
      <c r="AK20" s="712"/>
    </row>
    <row r="21" spans="1:84" ht="15" customHeight="1">
      <c r="A21" s="4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706" t="s">
        <v>441</v>
      </c>
      <c r="Q21" s="705" t="s">
        <v>441</v>
      </c>
      <c r="R21" s="706" t="s">
        <v>439</v>
      </c>
      <c r="S21" s="705" t="s">
        <v>439</v>
      </c>
      <c r="T21" s="706" t="s">
        <v>440</v>
      </c>
      <c r="U21" s="705" t="s">
        <v>440</v>
      </c>
      <c r="V21" s="706" t="s">
        <v>442</v>
      </c>
      <c r="W21" s="705" t="s">
        <v>442</v>
      </c>
      <c r="X21" s="710" t="s">
        <v>454</v>
      </c>
      <c r="Y21" s="709" t="s">
        <v>454</v>
      </c>
      <c r="Z21" s="706" t="s">
        <v>479</v>
      </c>
      <c r="AA21" s="705" t="s">
        <v>479</v>
      </c>
      <c r="AB21" s="706" t="s">
        <v>480</v>
      </c>
      <c r="AC21" s="705" t="s">
        <v>480</v>
      </c>
      <c r="AD21" s="706" t="s">
        <v>481</v>
      </c>
      <c r="AE21" s="705" t="s">
        <v>481</v>
      </c>
      <c r="AF21" s="706" t="s">
        <v>488</v>
      </c>
      <c r="AG21" s="705" t="s">
        <v>488</v>
      </c>
      <c r="AH21" s="706" t="s">
        <v>478</v>
      </c>
      <c r="AI21" s="705" t="s">
        <v>478</v>
      </c>
      <c r="AJ21" s="706" t="s">
        <v>477</v>
      </c>
      <c r="AK21" s="705" t="s">
        <v>477</v>
      </c>
      <c r="AL21" s="706" t="s">
        <v>487</v>
      </c>
      <c r="AM21" s="705" t="s">
        <v>487</v>
      </c>
      <c r="AN21" s="706" t="s">
        <v>501</v>
      </c>
      <c r="AO21" s="705" t="s">
        <v>501</v>
      </c>
      <c r="AP21" s="706" t="s">
        <v>502</v>
      </c>
      <c r="AQ21" s="705" t="s">
        <v>502</v>
      </c>
      <c r="AR21" s="706" t="s">
        <v>503</v>
      </c>
      <c r="AS21" s="705" t="s">
        <v>503</v>
      </c>
      <c r="AT21" s="706" t="s">
        <v>504</v>
      </c>
      <c r="AU21" s="705" t="s">
        <v>504</v>
      </c>
      <c r="AV21" s="704" t="s">
        <v>297</v>
      </c>
      <c r="AW21" s="704" t="s">
        <v>298</v>
      </c>
      <c r="AX21" s="704" t="s">
        <v>300</v>
      </c>
      <c r="AY21" s="704" t="s">
        <v>301</v>
      </c>
      <c r="AZ21" s="704" t="s">
        <v>302</v>
      </c>
      <c r="BA21" s="704" t="s">
        <v>305</v>
      </c>
      <c r="BB21" s="704" t="s">
        <v>306</v>
      </c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702" t="s">
        <v>209</v>
      </c>
      <c r="BP21" s="203"/>
      <c r="BQ21" s="203"/>
      <c r="BR21" s="203"/>
      <c r="BS21" s="203"/>
      <c r="BT21" s="203"/>
      <c r="BU21" s="203"/>
      <c r="BV21" s="203"/>
      <c r="BW21" s="62"/>
      <c r="BX21" s="703"/>
      <c r="BY21" s="27"/>
      <c r="BZ21" s="27"/>
      <c r="CA21" s="4"/>
      <c r="CB21" s="27"/>
      <c r="CC21" s="27"/>
      <c r="CD21" s="27"/>
      <c r="CE21" s="27"/>
      <c r="CF21" s="27"/>
    </row>
    <row r="22" spans="1:84" ht="33.75" customHeight="1">
      <c r="A22" s="4"/>
      <c r="B22" s="30" t="str">
        <f>verze!E41</f>
        <v>Číslo artiklu</v>
      </c>
      <c r="C22" s="30" t="str">
        <f>verze!E42</f>
        <v>Název</v>
      </c>
      <c r="D22" s="30" t="str">
        <f>verze!E43</f>
        <v>balení</v>
      </c>
      <c r="E22" s="31" t="str">
        <f>verze!E44</f>
        <v>Sklad</v>
      </c>
      <c r="F22" s="171" t="str">
        <f>verze!E45</f>
        <v>Počet</v>
      </c>
      <c r="G22" s="32" t="str">
        <f>verze!E46</f>
        <v>Jednotková cena</v>
      </c>
      <c r="H22" s="32" t="str">
        <f>IF(verze!E1="CZK"," CZK"," EUR")</f>
        <v xml:space="preserve"> CZK</v>
      </c>
      <c r="I22" s="33" t="str">
        <f>verze!E47</f>
        <v>Celkem</v>
      </c>
      <c r="J22" s="34" t="str">
        <f>verze!E48</f>
        <v>Změna</v>
      </c>
      <c r="K22" s="32" t="str">
        <f>verze!E49</f>
        <v>Volné pole</v>
      </c>
      <c r="L22" s="32" t="str">
        <f>verze!E50</f>
        <v>Kód prodejce</v>
      </c>
      <c r="M22" s="4"/>
      <c r="N22" s="35" t="s">
        <v>50</v>
      </c>
      <c r="O22" s="28" t="s">
        <v>51</v>
      </c>
      <c r="P22" s="706"/>
      <c r="Q22" s="705"/>
      <c r="R22" s="706"/>
      <c r="S22" s="705"/>
      <c r="T22" s="706"/>
      <c r="U22" s="705"/>
      <c r="V22" s="706"/>
      <c r="W22" s="705"/>
      <c r="X22" s="710"/>
      <c r="Y22" s="709"/>
      <c r="Z22" s="706"/>
      <c r="AA22" s="705"/>
      <c r="AB22" s="706"/>
      <c r="AC22" s="705"/>
      <c r="AD22" s="706"/>
      <c r="AE22" s="705"/>
      <c r="AF22" s="706"/>
      <c r="AG22" s="705"/>
      <c r="AH22" s="706"/>
      <c r="AI22" s="705"/>
      <c r="AJ22" s="706"/>
      <c r="AK22" s="705"/>
      <c r="AL22" s="706"/>
      <c r="AM22" s="705"/>
      <c r="AN22" s="706"/>
      <c r="AO22" s="705"/>
      <c r="AP22" s="706"/>
      <c r="AQ22" s="705"/>
      <c r="AR22" s="706"/>
      <c r="AS22" s="705"/>
      <c r="AT22" s="706"/>
      <c r="AU22" s="705"/>
      <c r="AV22" s="704"/>
      <c r="AW22" s="704"/>
      <c r="AX22" s="704"/>
      <c r="AY22" s="704"/>
      <c r="AZ22" s="704"/>
      <c r="BA22" s="704"/>
      <c r="BB22" s="704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702"/>
      <c r="BP22" s="203"/>
      <c r="BQ22" s="203"/>
      <c r="BR22" s="203"/>
      <c r="BS22" s="203"/>
      <c r="BT22" s="203"/>
      <c r="BU22" s="203"/>
      <c r="BV22" s="203"/>
      <c r="BW22" s="62" t="s">
        <v>52</v>
      </c>
      <c r="BX22" s="703"/>
      <c r="BY22" s="27"/>
      <c r="BZ22" s="27"/>
      <c r="CA22" s="4"/>
      <c r="CB22" s="27"/>
      <c r="CC22" s="27"/>
      <c r="CD22" s="27"/>
      <c r="CE22" s="27"/>
      <c r="CF22" s="27"/>
    </row>
    <row r="23" spans="1:84" ht="15" customHeight="1">
      <c r="A23" s="4"/>
      <c r="B23" s="439">
        <f>IF($Q$8=$Q$7,CENY!B11,IF($Q$7=$Q$9,CENY!B15,CENY!B19))</f>
        <v>9255240</v>
      </c>
      <c r="C23" s="36" t="str">
        <f>VLOOKUP(B23,CENY!$B$11:$G$1034,2,FALSE)</f>
        <v>AVANTECH YOU BOKY V SADĚ V77 MM NL400 MM STŘÍBRNÁ</v>
      </c>
      <c r="D23" s="500">
        <f>VLOOKUP(B23,CENY!$B$11:$G$1034,3,FALSE)</f>
        <v>1</v>
      </c>
      <c r="E23" s="160" t="str">
        <f>IF(VLOOKUP(B23,CENY!$B$11:$G$1034,4,FALSE)=0,"",VLOOKUP(B23,CENY!$B$11:$G$1034,4,FALSE))</f>
        <v/>
      </c>
      <c r="F23" s="45" t="str">
        <f>IF(J23&lt;&gt;"",J23,IF(N23=0,"",N23))</f>
        <v/>
      </c>
      <c r="G23" s="58">
        <f>VLOOKUP(B23,CENY!$B$11:$M$1034,12,FALSE)</f>
        <v>562.36</v>
      </c>
      <c r="H23" s="60" t="str">
        <f>IF(G23="","",$H$22)</f>
        <v xml:space="preserve"> CZK</v>
      </c>
      <c r="I23" s="46" t="str">
        <f>IF(F23="","",G23*F23)</f>
        <v/>
      </c>
      <c r="J23" s="137"/>
      <c r="K23" s="37">
        <f>VLOOKUP(B23,CENY!$B$11:$M$1034,8,FALSE)</f>
        <v>0</v>
      </c>
      <c r="L23" s="37" t="str">
        <f>VLOOKUP(B23,CENY!$B$11:$M$1034,9,FALSE)</f>
        <v xml:space="preserve"> </v>
      </c>
      <c r="M23" s="4"/>
      <c r="N23" s="38">
        <f>SUM(P23:BX23)</f>
        <v>0</v>
      </c>
      <c r="O23" s="39">
        <v>0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50">
        <f>'AVT77'!AZ5</f>
        <v>0</v>
      </c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203"/>
      <c r="BP23" s="203"/>
      <c r="BQ23" s="203"/>
      <c r="BR23" s="203"/>
      <c r="BS23" s="203"/>
      <c r="BT23" s="203"/>
      <c r="BU23" s="203"/>
      <c r="BV23" s="203"/>
      <c r="BW23" s="62"/>
      <c r="BX23" s="185"/>
      <c r="BY23" s="27"/>
      <c r="BZ23" s="27"/>
      <c r="CA23" s="4"/>
      <c r="CB23" s="27"/>
      <c r="CC23" s="27"/>
      <c r="CD23" s="27"/>
      <c r="CE23" s="27"/>
      <c r="CF23" s="27"/>
    </row>
    <row r="24" spans="1:84" ht="15" customHeight="1">
      <c r="A24" s="4"/>
      <c r="B24" s="439">
        <f>IF($Q$8=$Q$7,CENY!B12,IF($Q$7=$Q$9,CENY!B16,CENY!B20))</f>
        <v>9255241</v>
      </c>
      <c r="C24" s="246" t="str">
        <f>VLOOKUP(B24,CENY!$B$11:$G$1034,2,FALSE)</f>
        <v>AVANTECH YOU BOKY V SADĚ V77 MM NL450 MM STŘÍBRNÁ</v>
      </c>
      <c r="D24" s="501">
        <f>VLOOKUP(B24,CENY!$B$11:$G$1034,3,FALSE)</f>
        <v>1</v>
      </c>
      <c r="E24" s="247" t="str">
        <f>IF(VLOOKUP(B24,CENY!$B$11:$G$1034,4,FALSE)=0,"",VLOOKUP(B24,CENY!$B$11:$G$1034,4,FALSE))</f>
        <v/>
      </c>
      <c r="F24" s="248" t="str">
        <f>IF(J24&lt;&gt;"",J24,IF(N24=0,"",N24))</f>
        <v/>
      </c>
      <c r="G24" s="249">
        <f>VLOOKUP(B24,CENY!$B$11:$M$1034,12,FALSE)</f>
        <v>569.32000000000005</v>
      </c>
      <c r="H24" s="250" t="str">
        <f>IF(G24="","",$H$22)</f>
        <v xml:space="preserve"> CZK</v>
      </c>
      <c r="I24" s="251" t="str">
        <f>IF(F24="","",G24*F24)</f>
        <v/>
      </c>
      <c r="J24" s="252"/>
      <c r="K24" s="253">
        <f>VLOOKUP(B24,CENY!$B$11:$M$1034,8,FALSE)</f>
        <v>0</v>
      </c>
      <c r="L24" s="253" t="str">
        <f>VLOOKUP(B24,CENY!$B$11:$M$1034,9,FALSE)</f>
        <v xml:space="preserve"> </v>
      </c>
      <c r="M24" s="4"/>
      <c r="N24" s="38">
        <f>SUM(P24:BX24)</f>
        <v>0</v>
      </c>
      <c r="O24" s="39">
        <v>0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50">
        <f>'AVT77'!AZ6</f>
        <v>0</v>
      </c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203"/>
      <c r="BP24" s="203"/>
      <c r="BQ24" s="203"/>
      <c r="BR24" s="203"/>
      <c r="BS24" s="203"/>
      <c r="BT24" s="203"/>
      <c r="BU24" s="203"/>
      <c r="BV24" s="203"/>
      <c r="BW24" s="62"/>
      <c r="BX24" s="185"/>
      <c r="BY24" s="35"/>
      <c r="BZ24" s="27"/>
      <c r="CA24" s="27"/>
      <c r="CB24" s="27"/>
      <c r="CC24" s="27"/>
      <c r="CD24" s="27"/>
      <c r="CE24" s="27"/>
      <c r="CF24" s="27"/>
    </row>
    <row r="25" spans="1:84" ht="15" customHeight="1">
      <c r="A25" s="4"/>
      <c r="B25" s="439">
        <f>IF($Q$8=$Q$7,CENY!B13,IF($Q$7=$Q$9,CENY!B17,CENY!B21))</f>
        <v>9255242</v>
      </c>
      <c r="C25" s="246" t="str">
        <f>VLOOKUP(B25,CENY!$B$11:$G$1034,2,FALSE)</f>
        <v>AVANTECH YOU BOKY V SADĚ V77 MM NL500 MM STŘÍBRNÁ</v>
      </c>
      <c r="D25" s="501">
        <f>VLOOKUP(B25,CENY!$B$11:$G$1034,3,FALSE)</f>
        <v>1</v>
      </c>
      <c r="E25" s="247" t="str">
        <f>IF(VLOOKUP(B25,CENY!$B$11:$G$1034,4,FALSE)=0,"",VLOOKUP(B25,CENY!$B$11:$G$1034,4,FALSE))</f>
        <v/>
      </c>
      <c r="F25" s="248" t="str">
        <f>IF(J25&lt;&gt;"",J25,IF(N25=0,"",N25))</f>
        <v/>
      </c>
      <c r="G25" s="249">
        <f>VLOOKUP(B25,CENY!$B$11:$M$1034,12,FALSE)</f>
        <v>576.28</v>
      </c>
      <c r="H25" s="250" t="str">
        <f t="shared" ref="H25:H87" si="0">IF(G25="","",$H$22)</f>
        <v xml:space="preserve"> CZK</v>
      </c>
      <c r="I25" s="251" t="str">
        <f t="shared" ref="I25:I87" si="1">IF(F25="","",G25*F25)</f>
        <v/>
      </c>
      <c r="J25" s="252"/>
      <c r="K25" s="253">
        <f>VLOOKUP(B25,CENY!$B$11:$M$1034,8,FALSE)</f>
        <v>0</v>
      </c>
      <c r="L25" s="253" t="str">
        <f>VLOOKUP(B25,CENY!$B$11:$M$1034,9,FALSE)</f>
        <v xml:space="preserve"> </v>
      </c>
      <c r="M25" s="4"/>
      <c r="N25" s="38">
        <f>SUM(P25:BX25)</f>
        <v>0</v>
      </c>
      <c r="O25" s="39">
        <v>0</v>
      </c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50">
        <f>'AVT77'!AZ7</f>
        <v>0</v>
      </c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203"/>
      <c r="BP25" s="203"/>
      <c r="BQ25" s="203"/>
      <c r="BR25" s="203"/>
      <c r="BS25" s="203"/>
      <c r="BT25" s="203"/>
      <c r="BU25" s="203"/>
      <c r="BV25" s="203"/>
      <c r="BW25" s="62"/>
      <c r="BX25" s="185"/>
      <c r="BY25" s="35"/>
      <c r="BZ25" s="27"/>
      <c r="CA25" s="27"/>
      <c r="CB25" s="27"/>
      <c r="CC25" s="27"/>
      <c r="CD25" s="27"/>
      <c r="CE25" s="27"/>
      <c r="CF25" s="27"/>
    </row>
    <row r="26" spans="1:84" ht="15" customHeight="1">
      <c r="A26" s="4"/>
      <c r="B26" s="439">
        <f>IF($Q$8=$Q$7,CENY!B14,IF($Q$7=$Q$9,CENY!B18,CENY!B22))</f>
        <v>9255243</v>
      </c>
      <c r="C26" s="44" t="str">
        <f>VLOOKUP(B26,CENY!$B$11:$G$1034,2,FALSE)</f>
        <v>AVANTECH YOU BOKY V SADĚ V77 MM NL550 MM STŘÍBRNÁ</v>
      </c>
      <c r="D26" s="501">
        <f>VLOOKUP(B26,CENY!$B$11:$G$1034,3,FALSE)</f>
        <v>1</v>
      </c>
      <c r="E26" s="63" t="str">
        <f>IF(VLOOKUP(B26,CENY!$B$11:$G$1034,4,FALSE)=0,"",VLOOKUP(B26,CENY!$B$11:$G$1034,4,FALSE))</f>
        <v/>
      </c>
      <c r="F26" s="45" t="str">
        <f>IF(J26&lt;&gt;"",J26,IF(N26=0,"",N26))</f>
        <v/>
      </c>
      <c r="G26" s="59">
        <f>VLOOKUP(B26,CENY!$B$11:$M$1034,12,FALSE)</f>
        <v>583.24</v>
      </c>
      <c r="H26" s="61" t="str">
        <f t="shared" si="0"/>
        <v xml:space="preserve"> CZK</v>
      </c>
      <c r="I26" s="46" t="str">
        <f t="shared" si="1"/>
        <v/>
      </c>
      <c r="J26" s="138"/>
      <c r="K26" s="47">
        <f>VLOOKUP(B26,CENY!$B$11:$M$1034,8,FALSE)</f>
        <v>0</v>
      </c>
      <c r="L26" s="47" t="str">
        <f>VLOOKUP(B26,CENY!$B$11:$M$1034,9,FALSE)</f>
        <v xml:space="preserve"> </v>
      </c>
      <c r="M26" s="4"/>
      <c r="N26" s="38">
        <f>SUM(P26:BX26)</f>
        <v>0</v>
      </c>
      <c r="O26" s="39">
        <v>0</v>
      </c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50">
        <f>'AVT77'!AZ8</f>
        <v>0</v>
      </c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203"/>
      <c r="BP26" s="203"/>
      <c r="BQ26" s="203"/>
      <c r="BR26" s="203"/>
      <c r="BS26" s="203"/>
      <c r="BT26" s="203"/>
      <c r="BU26" s="203"/>
      <c r="BV26" s="203"/>
      <c r="BW26" s="62"/>
      <c r="BX26" s="185"/>
      <c r="BY26" s="35"/>
      <c r="BZ26" s="27"/>
      <c r="CA26" s="27"/>
      <c r="CB26" s="27"/>
      <c r="CC26" s="27"/>
      <c r="CD26" s="27"/>
      <c r="CE26" s="27"/>
      <c r="CF26" s="27"/>
    </row>
    <row r="27" spans="1:84" ht="15" customHeight="1">
      <c r="A27" s="4"/>
      <c r="B27" s="439">
        <f>CENY!B23</f>
        <v>79665</v>
      </c>
      <c r="C27" s="44" t="str">
        <f>VLOOKUP(B27,CENY!$B$11:$G$1034,2,FALSE)</f>
        <v>SPOJOVACI ÚHELNÍK 31X31 MM</v>
      </c>
      <c r="D27" s="488">
        <f>VLOOKUP(B27,CENY!$B$11:$G$1034,3,FALSE)</f>
        <v>100</v>
      </c>
      <c r="E27" s="63" t="str">
        <f>IF(VLOOKUP(B27,CENY!$B$11:$G$1034,4,FALSE)=0,"",VLOOKUP(B27,CENY!$B$11:$G$1034,4,FALSE))</f>
        <v/>
      </c>
      <c r="F27" s="45" t="str">
        <f>IF(J27&lt;&gt;"",J27,IF(N27=0,"",N27))</f>
        <v/>
      </c>
      <c r="G27" s="59">
        <f>VLOOKUP(B27,CENY!$B$11:$M$1034,12,FALSE)</f>
        <v>5.96</v>
      </c>
      <c r="H27" s="61" t="str">
        <f t="shared" si="0"/>
        <v xml:space="preserve"> CZK</v>
      </c>
      <c r="I27" s="46" t="str">
        <f t="shared" si="1"/>
        <v/>
      </c>
      <c r="J27" s="138"/>
      <c r="K27" s="47">
        <f>VLOOKUP(B27,CENY!$B$11:$M$1034,8,FALSE)</f>
        <v>0</v>
      </c>
      <c r="L27" s="47" t="str">
        <f>VLOOKUP(B27,CENY!$B$11:$M$1034,9,FALSE)</f>
        <v xml:space="preserve"> </v>
      </c>
      <c r="M27" s="4"/>
      <c r="N27" s="38">
        <f>SUM(P27:BX27)</f>
        <v>0</v>
      </c>
      <c r="O27" s="39">
        <v>0</v>
      </c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50">
        <f>'AVT77'!BI15</f>
        <v>0</v>
      </c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203"/>
      <c r="BP27" s="203"/>
      <c r="BQ27" s="203"/>
      <c r="BR27" s="203"/>
      <c r="BS27" s="203"/>
      <c r="BT27" s="203"/>
      <c r="BU27" s="203"/>
      <c r="BV27" s="203"/>
      <c r="BW27" s="62"/>
      <c r="BX27" s="185"/>
      <c r="BY27" s="35"/>
      <c r="BZ27" s="27"/>
      <c r="CA27" s="27"/>
      <c r="CB27" s="27"/>
      <c r="CC27" s="27"/>
      <c r="CD27" s="27"/>
      <c r="CE27" s="27"/>
      <c r="CF27" s="27"/>
    </row>
    <row r="28" spans="1:84" ht="8.1" customHeight="1">
      <c r="A28" s="4"/>
      <c r="B28" s="439"/>
      <c r="C28" s="44"/>
      <c r="D28" s="44"/>
      <c r="E28" s="64"/>
      <c r="F28" s="45"/>
      <c r="G28" s="59"/>
      <c r="H28" s="61"/>
      <c r="I28" s="46"/>
      <c r="J28" s="138"/>
      <c r="K28" s="47"/>
      <c r="L28" s="47"/>
      <c r="M28" s="55"/>
      <c r="N28" s="38"/>
      <c r="O28" s="39">
        <v>0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203"/>
      <c r="BP28" s="203"/>
      <c r="BQ28" s="203"/>
      <c r="BR28" s="203"/>
      <c r="BS28" s="203"/>
      <c r="BT28" s="203"/>
      <c r="BU28" s="203"/>
      <c r="BV28" s="203"/>
      <c r="BW28" s="62"/>
      <c r="BX28" s="185"/>
      <c r="BY28" s="35"/>
      <c r="BZ28" s="27"/>
      <c r="CA28" s="27"/>
      <c r="CB28" s="27"/>
      <c r="CC28" s="27"/>
      <c r="CD28" s="27"/>
      <c r="CE28" s="27"/>
      <c r="CF28" s="27"/>
    </row>
    <row r="29" spans="1:84" ht="15" customHeight="1">
      <c r="A29" s="4"/>
      <c r="B29" s="439">
        <f>IF($Q$8=$Q$7,CENY!B24,IF($Q$7=$Q$9,CENY!B32,CENY!B40))</f>
        <v>9255000</v>
      </c>
      <c r="C29" s="44" t="str">
        <f>VLOOKUP(B29,CENY!$B$11:$G$1034,2,FALSE)</f>
        <v>AVANTECH YOU BOK V77 MM NL400 MM STŘÍBRNÝ LEVÝ</v>
      </c>
      <c r="D29" s="488">
        <f>VLOOKUP(B29,CENY!$B$11:$G$1034,3,FALSE)</f>
        <v>10</v>
      </c>
      <c r="E29" s="63" t="str">
        <f>IF(VLOOKUP(B29,CENY!$B$11:$G$1034,4,FALSE)=0,"",VLOOKUP(B29,CENY!$B$11:$G$1034,4,FALSE))</f>
        <v/>
      </c>
      <c r="F29" s="45" t="str">
        <f t="shared" ref="F29:F37" si="2">IF(J29&lt;&gt;"",J29,IF(N29=0,"",N29))</f>
        <v/>
      </c>
      <c r="G29" s="59">
        <f>VLOOKUP(B29,CENY!$B$11:$M$1034,12,FALSE)</f>
        <v>186.44</v>
      </c>
      <c r="H29" s="61" t="str">
        <f t="shared" si="0"/>
        <v xml:space="preserve"> CZK</v>
      </c>
      <c r="I29" s="46" t="str">
        <f t="shared" si="1"/>
        <v/>
      </c>
      <c r="J29" s="138"/>
      <c r="K29" s="47">
        <f>VLOOKUP(B29,CENY!$B$11:$M$1034,8,FALSE)</f>
        <v>0</v>
      </c>
      <c r="L29" s="47" t="str">
        <f>VLOOKUP(B29,CENY!$B$11:$M$1034,9,FALSE)</f>
        <v xml:space="preserve"> </v>
      </c>
      <c r="M29" s="4"/>
      <c r="N29" s="38">
        <f t="shared" ref="N29:N37" si="3">SUM(P29:BX29)</f>
        <v>0</v>
      </c>
      <c r="O29" s="39">
        <v>0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50">
        <f>'AVT77'!BI5</f>
        <v>0</v>
      </c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203"/>
      <c r="BP29" s="203"/>
      <c r="BQ29" s="203"/>
      <c r="BR29" s="203"/>
      <c r="BS29" s="203"/>
      <c r="BT29" s="203"/>
      <c r="BU29" s="203"/>
      <c r="BV29" s="203"/>
      <c r="BW29" s="62"/>
      <c r="BX29" s="185"/>
      <c r="BY29" s="35"/>
      <c r="BZ29" s="27"/>
      <c r="CA29" s="27"/>
      <c r="CB29" s="27"/>
      <c r="CC29" s="27"/>
      <c r="CD29" s="27"/>
      <c r="CE29" s="27"/>
      <c r="CF29" s="27"/>
    </row>
    <row r="30" spans="1:84" ht="15" customHeight="1">
      <c r="A30" s="4"/>
      <c r="B30" s="439">
        <f>IF($Q$8=$Q$7,CENY!B25,IF($Q$7=$Q$9,CENY!B33,CENY!B41))</f>
        <v>9255001</v>
      </c>
      <c r="C30" s="44" t="str">
        <f>VLOOKUP(B30,CENY!$B$11:$G$1034,2,FALSE)</f>
        <v>AVANTECH YOU BOK V77 MM NL400 MM STŘÍBRNÝ PRAVÝ</v>
      </c>
      <c r="D30" s="488">
        <f>VLOOKUP(B30,CENY!$B$11:$G$1034,3,FALSE)</f>
        <v>10</v>
      </c>
      <c r="E30" s="63" t="str">
        <f>IF(VLOOKUP(B30,CENY!$B$11:$G$1034,4,FALSE)=0,"",VLOOKUP(B30,CENY!$B$11:$G$1034,4,FALSE))</f>
        <v/>
      </c>
      <c r="F30" s="45" t="str">
        <f t="shared" si="2"/>
        <v/>
      </c>
      <c r="G30" s="59">
        <f>VLOOKUP(B30,CENY!$B$11:$M$1034,12,FALSE)</f>
        <v>186.44</v>
      </c>
      <c r="H30" s="61" t="str">
        <f t="shared" si="0"/>
        <v xml:space="preserve"> CZK</v>
      </c>
      <c r="I30" s="46" t="str">
        <f t="shared" si="1"/>
        <v/>
      </c>
      <c r="J30" s="138"/>
      <c r="K30" s="47">
        <f>VLOOKUP(B30,CENY!$B$11:$M$1034,8,FALSE)</f>
        <v>0</v>
      </c>
      <c r="L30" s="47" t="str">
        <f>VLOOKUP(B30,CENY!$B$11:$M$1034,9,FALSE)</f>
        <v xml:space="preserve"> </v>
      </c>
      <c r="M30" s="4"/>
      <c r="N30" s="38">
        <f t="shared" si="3"/>
        <v>0</v>
      </c>
      <c r="O30" s="39">
        <v>0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50">
        <f>'AVT77'!BI6</f>
        <v>0</v>
      </c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203"/>
      <c r="BP30" s="203"/>
      <c r="BQ30" s="203"/>
      <c r="BR30" s="203"/>
      <c r="BS30" s="203"/>
      <c r="BT30" s="203"/>
      <c r="BU30" s="203"/>
      <c r="BV30" s="203"/>
      <c r="BW30" s="62"/>
      <c r="BX30" s="185"/>
      <c r="BY30" s="35"/>
      <c r="BZ30" s="27"/>
      <c r="CA30" s="27"/>
      <c r="CB30" s="27"/>
      <c r="CC30" s="27"/>
      <c r="CD30" s="27"/>
      <c r="CE30" s="27"/>
      <c r="CF30" s="27"/>
    </row>
    <row r="31" spans="1:84" ht="15" customHeight="1">
      <c r="A31" s="4"/>
      <c r="B31" s="439">
        <f>IF($Q$8=$Q$7,CENY!B26,IF($Q$7=$Q$9,CENY!B34,CENY!B42))</f>
        <v>9255002</v>
      </c>
      <c r="C31" s="44" t="str">
        <f>VLOOKUP(B31,CENY!$B$11:$G$1034,2,FALSE)</f>
        <v>AVANTECH YOU BOK V77 MM NL450 MM STŘÍBRNÝ LEVÝ</v>
      </c>
      <c r="D31" s="488">
        <f>VLOOKUP(B31,CENY!$B$11:$G$1034,3,FALSE)</f>
        <v>10</v>
      </c>
      <c r="E31" s="63" t="str">
        <f>IF(VLOOKUP(B31,CENY!$B$11:$G$1034,4,FALSE)=0,"",VLOOKUP(B31,CENY!$B$11:$G$1034,4,FALSE))</f>
        <v/>
      </c>
      <c r="F31" s="45" t="str">
        <f t="shared" si="2"/>
        <v/>
      </c>
      <c r="G31" s="59">
        <f>VLOOKUP(B31,CENY!$B$11:$M$1034,12,FALSE)</f>
        <v>189.75</v>
      </c>
      <c r="H31" s="61" t="str">
        <f t="shared" si="0"/>
        <v xml:space="preserve"> CZK</v>
      </c>
      <c r="I31" s="46" t="str">
        <f t="shared" si="1"/>
        <v/>
      </c>
      <c r="J31" s="138"/>
      <c r="K31" s="47">
        <f>VLOOKUP(B31,CENY!$B$11:$M$1034,8,FALSE)</f>
        <v>0</v>
      </c>
      <c r="L31" s="47" t="str">
        <f>VLOOKUP(B31,CENY!$B$11:$M$1034,9,FALSE)</f>
        <v xml:space="preserve"> </v>
      </c>
      <c r="M31" s="55"/>
      <c r="N31" s="38">
        <f t="shared" si="3"/>
        <v>0</v>
      </c>
      <c r="O31" s="39">
        <v>0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50">
        <f>'AVT77'!BI7</f>
        <v>0</v>
      </c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203"/>
      <c r="BP31" s="203"/>
      <c r="BQ31" s="203"/>
      <c r="BR31" s="203"/>
      <c r="BS31" s="203"/>
      <c r="BT31" s="203"/>
      <c r="BU31" s="203"/>
      <c r="BV31" s="203"/>
      <c r="BW31" s="62"/>
      <c r="BX31" s="185"/>
      <c r="BY31" s="35"/>
      <c r="BZ31" s="27"/>
      <c r="CA31" s="27"/>
      <c r="CB31" s="27"/>
      <c r="CC31" s="27"/>
      <c r="CD31" s="27"/>
      <c r="CE31" s="27"/>
      <c r="CF31" s="27"/>
    </row>
    <row r="32" spans="1:84" ht="15" customHeight="1">
      <c r="A32" s="4"/>
      <c r="B32" s="439">
        <f>IF($Q$8=$Q$7,CENY!B27,IF($Q$7=$Q$9,CENY!B35,CENY!B43))</f>
        <v>9255003</v>
      </c>
      <c r="C32" s="44" t="str">
        <f>VLOOKUP(B32,CENY!$B$11:$G$1034,2,FALSE)</f>
        <v>AVANTECH YOU BOK V77 MM NL450 MM STŘÍBRNÝ PRAVÝ</v>
      </c>
      <c r="D32" s="488">
        <f>VLOOKUP(B32,CENY!$B$11:$G$1034,3,FALSE)</f>
        <v>10</v>
      </c>
      <c r="E32" s="63" t="str">
        <f>IF(VLOOKUP(B32,CENY!$B$11:$G$1034,4,FALSE)=0,"",VLOOKUP(B32,CENY!$B$11:$G$1034,4,FALSE))</f>
        <v/>
      </c>
      <c r="F32" s="45" t="str">
        <f t="shared" si="2"/>
        <v/>
      </c>
      <c r="G32" s="59">
        <f>VLOOKUP(B32,CENY!$B$11:$M$1034,12,FALSE)</f>
        <v>189.75</v>
      </c>
      <c r="H32" s="61" t="str">
        <f t="shared" si="0"/>
        <v xml:space="preserve"> CZK</v>
      </c>
      <c r="I32" s="46" t="str">
        <f t="shared" si="1"/>
        <v/>
      </c>
      <c r="J32" s="138"/>
      <c r="K32" s="47">
        <f>VLOOKUP(B32,CENY!$B$11:$M$1034,8,FALSE)</f>
        <v>0</v>
      </c>
      <c r="L32" s="47" t="str">
        <f>VLOOKUP(B32,CENY!$B$11:$M$1034,9,FALSE)</f>
        <v xml:space="preserve"> </v>
      </c>
      <c r="M32" s="55"/>
      <c r="N32" s="38">
        <f t="shared" si="3"/>
        <v>0</v>
      </c>
      <c r="O32" s="39">
        <v>0</v>
      </c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50">
        <f>'AVT77'!BI8</f>
        <v>0</v>
      </c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203"/>
      <c r="BP32" s="203"/>
      <c r="BQ32" s="203"/>
      <c r="BR32" s="203"/>
      <c r="BS32" s="203"/>
      <c r="BT32" s="203"/>
      <c r="BU32" s="203"/>
      <c r="BV32" s="203"/>
      <c r="BW32" s="62"/>
      <c r="BX32" s="185"/>
      <c r="BY32" s="35"/>
      <c r="BZ32" s="27"/>
      <c r="CA32" s="27"/>
      <c r="CB32" s="27"/>
      <c r="CC32" s="27"/>
      <c r="CD32" s="27"/>
      <c r="CE32" s="27"/>
      <c r="CF32" s="27"/>
    </row>
    <row r="33" spans="1:84" ht="15" customHeight="1">
      <c r="A33" s="4"/>
      <c r="B33" s="439">
        <f>IF($Q$8=$Q$7,CENY!B28,IF($Q$7=$Q$9,CENY!B36,CENY!B44))</f>
        <v>9255004</v>
      </c>
      <c r="C33" s="44" t="str">
        <f>VLOOKUP(B33,CENY!$B$11:$G$1034,2,FALSE)</f>
        <v>AVANTECH YOU BOK V77 MM NL500 MM STŘÍBRNÝ LEVÝ</v>
      </c>
      <c r="D33" s="488">
        <f>VLOOKUP(B33,CENY!$B$11:$G$1034,3,FALSE)</f>
        <v>10</v>
      </c>
      <c r="E33" s="63" t="str">
        <f>IF(VLOOKUP(B33,CENY!$B$11:$G$1034,4,FALSE)=0,"",VLOOKUP(B33,CENY!$B$11:$G$1034,4,FALSE))</f>
        <v/>
      </c>
      <c r="F33" s="45" t="str">
        <f t="shared" si="2"/>
        <v/>
      </c>
      <c r="G33" s="59">
        <f>VLOOKUP(B33,CENY!$B$11:$M$1034,12,FALSE)</f>
        <v>193.06</v>
      </c>
      <c r="H33" s="61" t="str">
        <f t="shared" si="0"/>
        <v xml:space="preserve"> CZK</v>
      </c>
      <c r="I33" s="46" t="str">
        <f t="shared" si="1"/>
        <v/>
      </c>
      <c r="J33" s="138"/>
      <c r="K33" s="47">
        <f>VLOOKUP(B33,CENY!$B$11:$M$1034,8,FALSE)</f>
        <v>0</v>
      </c>
      <c r="L33" s="47" t="str">
        <f>VLOOKUP(B33,CENY!$B$11:$M$1034,9,FALSE)</f>
        <v xml:space="preserve"> </v>
      </c>
      <c r="M33" s="55"/>
      <c r="N33" s="38">
        <f t="shared" si="3"/>
        <v>0</v>
      </c>
      <c r="O33" s="39">
        <v>0</v>
      </c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50">
        <f>'AVT77'!BI9</f>
        <v>0</v>
      </c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203"/>
      <c r="BP33" s="203"/>
      <c r="BQ33" s="203"/>
      <c r="BR33" s="203"/>
      <c r="BS33" s="203"/>
      <c r="BT33" s="203"/>
      <c r="BU33" s="203"/>
      <c r="BV33" s="203"/>
      <c r="BW33" s="62"/>
      <c r="BX33" s="185"/>
      <c r="BY33" s="35"/>
      <c r="BZ33" s="27"/>
      <c r="CA33" s="27"/>
      <c r="CB33" s="27"/>
      <c r="CC33" s="27"/>
      <c r="CD33" s="27"/>
      <c r="CE33" s="27"/>
      <c r="CF33" s="27"/>
    </row>
    <row r="34" spans="1:84" ht="15" customHeight="1">
      <c r="A34" s="4"/>
      <c r="B34" s="439">
        <f>IF($Q$8=$Q$7,CENY!B29,IF($Q$7=$Q$9,CENY!B37,CENY!B45))</f>
        <v>9255005</v>
      </c>
      <c r="C34" s="44" t="str">
        <f>VLOOKUP(B34,CENY!$B$11:$G$1034,2,FALSE)</f>
        <v>AVANTECH YOU BOK V77 MM NL500 MM STŘÍBRNÝ PRAVÝ</v>
      </c>
      <c r="D34" s="488">
        <f>VLOOKUP(B34,CENY!$B$11:$G$1034,3,FALSE)</f>
        <v>10</v>
      </c>
      <c r="E34" s="63" t="str">
        <f>IF(VLOOKUP(B34,CENY!$B$11:$G$1034,4,FALSE)=0,"",VLOOKUP(B34,CENY!$B$11:$G$1034,4,FALSE))</f>
        <v/>
      </c>
      <c r="F34" s="45" t="str">
        <f t="shared" si="2"/>
        <v/>
      </c>
      <c r="G34" s="59">
        <f>VLOOKUP(B34,CENY!$B$11:$M$1034,12,FALSE)</f>
        <v>193.06</v>
      </c>
      <c r="H34" s="61" t="str">
        <f t="shared" si="0"/>
        <v xml:space="preserve"> CZK</v>
      </c>
      <c r="I34" s="46" t="str">
        <f t="shared" si="1"/>
        <v/>
      </c>
      <c r="J34" s="138"/>
      <c r="K34" s="47">
        <f>VLOOKUP(B34,CENY!$B$11:$M$1034,8,FALSE)</f>
        <v>0</v>
      </c>
      <c r="L34" s="47" t="str">
        <f>VLOOKUP(B34,CENY!$B$11:$M$1034,9,FALSE)</f>
        <v xml:space="preserve"> </v>
      </c>
      <c r="M34" s="55"/>
      <c r="N34" s="38">
        <f t="shared" si="3"/>
        <v>0</v>
      </c>
      <c r="O34" s="39">
        <v>0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50">
        <f>'AVT77'!BI10</f>
        <v>0</v>
      </c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203"/>
      <c r="BP34" s="203"/>
      <c r="BQ34" s="203"/>
      <c r="BR34" s="203"/>
      <c r="BS34" s="203"/>
      <c r="BT34" s="203"/>
      <c r="BU34" s="203"/>
      <c r="BV34" s="203"/>
      <c r="BW34" s="62"/>
      <c r="BX34" s="185"/>
      <c r="BY34" s="35"/>
      <c r="BZ34" s="27"/>
      <c r="CA34" s="27"/>
      <c r="CB34" s="27"/>
      <c r="CC34" s="27"/>
      <c r="CD34" s="27"/>
      <c r="CE34" s="27"/>
      <c r="CF34" s="27"/>
    </row>
    <row r="35" spans="1:84" ht="15" customHeight="1">
      <c r="A35" s="4"/>
      <c r="B35" s="439">
        <f>IF($Q$8=$Q$7,CENY!B30,IF($Q$7=$Q$9,CENY!B38,CENY!B46))</f>
        <v>9255006</v>
      </c>
      <c r="C35" s="44" t="str">
        <f>VLOOKUP(B35,CENY!$B$11:$G$1034,2,FALSE)</f>
        <v>AVANTECH YOU BOK V77 MM NL550 MM STŘÍBRNÝ LEVÝ</v>
      </c>
      <c r="D35" s="488">
        <f>VLOOKUP(B35,CENY!$B$11:$G$1034,3,FALSE)</f>
        <v>10</v>
      </c>
      <c r="E35" s="63" t="str">
        <f>IF(VLOOKUP(B35,CENY!$B$11:$G$1034,4,FALSE)=0,"",VLOOKUP(B35,CENY!$B$11:$G$1034,4,FALSE))</f>
        <v/>
      </c>
      <c r="F35" s="45" t="str">
        <f t="shared" si="2"/>
        <v/>
      </c>
      <c r="G35" s="59">
        <f>VLOOKUP(B35,CENY!$B$11:$M$1034,12,FALSE)</f>
        <v>196.37</v>
      </c>
      <c r="H35" s="61" t="str">
        <f t="shared" si="0"/>
        <v xml:space="preserve"> CZK</v>
      </c>
      <c r="I35" s="46" t="str">
        <f t="shared" si="1"/>
        <v/>
      </c>
      <c r="J35" s="138"/>
      <c r="K35" s="47">
        <f>VLOOKUP(B35,CENY!$B$11:$M$1034,8,FALSE)</f>
        <v>0</v>
      </c>
      <c r="L35" s="47" t="str">
        <f>VLOOKUP(B35,CENY!$B$11:$M$1034,9,FALSE)</f>
        <v xml:space="preserve"> </v>
      </c>
      <c r="M35" s="55"/>
      <c r="N35" s="38">
        <f t="shared" si="3"/>
        <v>0</v>
      </c>
      <c r="O35" s="39">
        <v>0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50">
        <f>'AVT77'!BI11</f>
        <v>0</v>
      </c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203"/>
      <c r="BP35" s="203"/>
      <c r="BQ35" s="203"/>
      <c r="BR35" s="203"/>
      <c r="BS35" s="203"/>
      <c r="BT35" s="203"/>
      <c r="BU35" s="203"/>
      <c r="BV35" s="203"/>
      <c r="BW35" s="62"/>
      <c r="BX35" s="185"/>
      <c r="BY35" s="35"/>
      <c r="BZ35" s="27"/>
      <c r="CA35" s="27"/>
      <c r="CB35" s="27"/>
      <c r="CC35" s="27"/>
      <c r="CD35" s="27"/>
      <c r="CE35" s="27"/>
      <c r="CF35" s="27"/>
    </row>
    <row r="36" spans="1:84" ht="15" customHeight="1">
      <c r="A36" s="4"/>
      <c r="B36" s="439">
        <f>IF($Q$8=$Q$7,CENY!B31,IF($Q$7=$Q$9,CENY!B39,CENY!B47))</f>
        <v>9255007</v>
      </c>
      <c r="C36" s="44" t="str">
        <f>VLOOKUP(B36,CENY!$B$11:$G$1034,2,FALSE)</f>
        <v>AVANTECH YOU BOK V77 MM NL550 MM STŘÍBRNÝ PRAVÝ</v>
      </c>
      <c r="D36" s="488">
        <f>VLOOKUP(B36,CENY!$B$11:$G$1034,3,FALSE)</f>
        <v>10</v>
      </c>
      <c r="E36" s="63" t="str">
        <f>IF(VLOOKUP(B36,CENY!$B$11:$G$1034,4,FALSE)=0,"",VLOOKUP(B36,CENY!$B$11:$G$1034,4,FALSE))</f>
        <v/>
      </c>
      <c r="F36" s="45" t="str">
        <f t="shared" si="2"/>
        <v/>
      </c>
      <c r="G36" s="59">
        <f>VLOOKUP(B36,CENY!$B$11:$M$1034,12,FALSE)</f>
        <v>196.37</v>
      </c>
      <c r="H36" s="61" t="str">
        <f t="shared" si="0"/>
        <v xml:space="preserve"> CZK</v>
      </c>
      <c r="I36" s="46" t="str">
        <f t="shared" si="1"/>
        <v/>
      </c>
      <c r="J36" s="138"/>
      <c r="K36" s="47">
        <f>VLOOKUP(B36,CENY!$B$11:$M$1034,8,FALSE)</f>
        <v>0</v>
      </c>
      <c r="L36" s="47" t="str">
        <f>VLOOKUP(B36,CENY!$B$11:$M$1034,9,FALSE)</f>
        <v xml:space="preserve"> </v>
      </c>
      <c r="M36" s="55"/>
      <c r="N36" s="38">
        <f t="shared" si="3"/>
        <v>0</v>
      </c>
      <c r="O36" s="39">
        <v>0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50">
        <f>'AVT77'!BI12</f>
        <v>0</v>
      </c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203"/>
      <c r="BP36" s="203"/>
      <c r="BQ36" s="203"/>
      <c r="BR36" s="203"/>
      <c r="BS36" s="203"/>
      <c r="BT36" s="203"/>
      <c r="BU36" s="203"/>
      <c r="BV36" s="203"/>
      <c r="BW36" s="62"/>
      <c r="BX36" s="185"/>
      <c r="BY36" s="35"/>
      <c r="BZ36" s="27"/>
      <c r="CA36" s="27"/>
      <c r="CB36" s="27"/>
      <c r="CC36" s="27"/>
      <c r="CD36" s="27"/>
      <c r="CE36" s="27"/>
      <c r="CF36" s="27"/>
    </row>
    <row r="37" spans="1:84" ht="15" customHeight="1">
      <c r="A37" s="4"/>
      <c r="B37" s="439">
        <f>IF($T$7=$T$8,CENY!B48,CENY!B49)</f>
        <v>9255832</v>
      </c>
      <c r="C37" s="44" t="str">
        <f>VLOOKUP(B37,CENY!$B$11:$G$1034,2,FALSE)</f>
        <v>AVANTECH YOU PŘÍCHYTKA ČELA V77 MM K NAŠROUBOVÁNÍ</v>
      </c>
      <c r="D37" s="488">
        <f>VLOOKUP(B37,CENY!$B$11:$G$1034,3,FALSE)</f>
        <v>100</v>
      </c>
      <c r="E37" s="63" t="str">
        <f>IF(VLOOKUP(B37,CENY!$B$11:$G$1034,4,FALSE)=0,"",VLOOKUP(B37,CENY!$B$11:$G$1034,4,FALSE))</f>
        <v/>
      </c>
      <c r="F37" s="45" t="str">
        <f t="shared" si="2"/>
        <v/>
      </c>
      <c r="G37" s="59">
        <f>VLOOKUP(B37,CENY!$B$11:$M$1034,12,FALSE)</f>
        <v>17.72</v>
      </c>
      <c r="H37" s="61" t="str">
        <f t="shared" si="0"/>
        <v xml:space="preserve"> CZK</v>
      </c>
      <c r="I37" s="46" t="str">
        <f t="shared" si="1"/>
        <v/>
      </c>
      <c r="J37" s="138"/>
      <c r="K37" s="47">
        <f>VLOOKUP(B37,CENY!$B$11:$M$1034,8,FALSE)</f>
        <v>0</v>
      </c>
      <c r="L37" s="47" t="str">
        <f>VLOOKUP(B37,CENY!$B$11:$M$1034,9,FALSE)</f>
        <v xml:space="preserve"> </v>
      </c>
      <c r="M37" s="55"/>
      <c r="N37" s="38">
        <f t="shared" si="3"/>
        <v>0</v>
      </c>
      <c r="O37" s="39">
        <v>0</v>
      </c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50">
        <f>'AVT77'!AZ46</f>
        <v>0</v>
      </c>
      <c r="AM37" s="450">
        <f>'AVT77'!BI14</f>
        <v>0</v>
      </c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203"/>
      <c r="BP37" s="203"/>
      <c r="BQ37" s="203"/>
      <c r="BR37" s="203"/>
      <c r="BS37" s="203"/>
      <c r="BT37" s="203"/>
      <c r="BU37" s="203"/>
      <c r="BV37" s="203"/>
      <c r="BW37" s="62"/>
      <c r="BX37" s="185"/>
      <c r="BY37" s="35"/>
      <c r="BZ37" s="27"/>
      <c r="CA37" s="27"/>
      <c r="CB37" s="27"/>
      <c r="CC37" s="27"/>
      <c r="CD37" s="27"/>
      <c r="CE37" s="27"/>
      <c r="CF37" s="27"/>
    </row>
    <row r="38" spans="1:84" ht="8.1" customHeight="1">
      <c r="A38" s="4"/>
      <c r="B38" s="439"/>
      <c r="C38" s="44"/>
      <c r="D38" s="44"/>
      <c r="E38" s="64"/>
      <c r="F38" s="45"/>
      <c r="G38" s="59"/>
      <c r="H38" s="61"/>
      <c r="I38" s="46"/>
      <c r="J38" s="138"/>
      <c r="K38" s="47"/>
      <c r="L38" s="47"/>
      <c r="M38" s="55"/>
      <c r="N38" s="38"/>
      <c r="O38" s="39">
        <v>0</v>
      </c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203"/>
      <c r="BP38" s="203"/>
      <c r="BQ38" s="203"/>
      <c r="BR38" s="203"/>
      <c r="BS38" s="203"/>
      <c r="BT38" s="203"/>
      <c r="BU38" s="203"/>
      <c r="BV38" s="203"/>
      <c r="BW38" s="62"/>
      <c r="BX38" s="185"/>
      <c r="BY38" s="35"/>
      <c r="BZ38" s="27"/>
      <c r="CA38" s="27"/>
      <c r="CB38" s="27"/>
      <c r="CC38" s="27"/>
      <c r="CD38" s="27"/>
      <c r="CE38" s="27"/>
      <c r="CF38" s="27"/>
    </row>
    <row r="39" spans="1:84" ht="15" customHeight="1">
      <c r="A39" s="4"/>
      <c r="B39" s="439">
        <f>IF($Q$8=$Q$7,CENY!B51,IF($Q$7=$Q$9,CENY!B60,CENY!B69))</f>
        <v>9255244</v>
      </c>
      <c r="C39" s="44" t="str">
        <f>VLOOKUP(B39,CENY!$B$11:$G$1034,2,FALSE)</f>
        <v>AVANTECH YOU BOKY V SADĚ V101 MM NL270 MM STŘÍBRNÁ</v>
      </c>
      <c r="D39" s="501">
        <f>VLOOKUP(B39,CENY!$B$11:$G$1034,3,FALSE)</f>
        <v>1</v>
      </c>
      <c r="E39" s="63" t="str">
        <f>IF(VLOOKUP(B39,CENY!$B$11:$G$1034,4,FALSE)=0,"",VLOOKUP(B39,CENY!$B$11:$G$1034,4,FALSE))</f>
        <v/>
      </c>
      <c r="F39" s="45" t="str">
        <f t="shared" ref="F39:F48" si="4">IF(J39&lt;&gt;"",J39,IF(N39=0,"",N39))</f>
        <v/>
      </c>
      <c r="G39" s="59">
        <f>VLOOKUP(B39,CENY!$B$11:$M$1034,12,FALSE)</f>
        <v>561.98</v>
      </c>
      <c r="H39" s="61" t="str">
        <f t="shared" si="0"/>
        <v xml:space="preserve"> CZK</v>
      </c>
      <c r="I39" s="46" t="str">
        <f t="shared" si="1"/>
        <v/>
      </c>
      <c r="J39" s="138"/>
      <c r="K39" s="47">
        <f>VLOOKUP(B39,CENY!$B$11:$M$1034,8,FALSE)</f>
        <v>0</v>
      </c>
      <c r="L39" s="47" t="str">
        <f>VLOOKUP(B39,CENY!$B$11:$M$1034,9,FALSE)</f>
        <v xml:space="preserve"> </v>
      </c>
      <c r="M39" s="55"/>
      <c r="N39" s="38">
        <f t="shared" ref="N39:N48" si="5">SUM(P39:BX39)</f>
        <v>0</v>
      </c>
      <c r="O39" s="39">
        <v>0</v>
      </c>
      <c r="P39" s="450">
        <f>'AVT101'!AZ5</f>
        <v>0</v>
      </c>
      <c r="Q39" s="41"/>
      <c r="R39" s="41"/>
      <c r="S39" s="41"/>
      <c r="T39" s="41"/>
      <c r="U39" s="41"/>
      <c r="V39" s="41"/>
      <c r="W39" s="41"/>
      <c r="X39" s="41"/>
      <c r="Y39" s="41"/>
      <c r="Z39" s="450">
        <f>'AVT101(vn-A)'!AZ5</f>
        <v>0</v>
      </c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50">
        <f>'AVT-celny-101+187'!AZ5</f>
        <v>0</v>
      </c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203"/>
      <c r="BP39" s="203"/>
      <c r="BQ39" s="203"/>
      <c r="BR39" s="203"/>
      <c r="BS39" s="203"/>
      <c r="BT39" s="203"/>
      <c r="BU39" s="203"/>
      <c r="BV39" s="203"/>
      <c r="BW39" s="62"/>
      <c r="BX39" s="185"/>
      <c r="BY39" s="35"/>
      <c r="BZ39" s="27"/>
      <c r="CA39" s="27"/>
      <c r="CB39" s="27"/>
      <c r="CC39" s="27"/>
      <c r="CD39" s="27"/>
      <c r="CE39" s="27"/>
      <c r="CF39" s="27"/>
    </row>
    <row r="40" spans="1:84" ht="15" customHeight="1">
      <c r="A40" s="4"/>
      <c r="B40" s="439">
        <f>IF($Q$8=$Q$7,CENY!B52,IF($Q$7=$Q$9,CENY!B61,CENY!B70))</f>
        <v>9255245</v>
      </c>
      <c r="C40" s="44" t="str">
        <f>VLOOKUP(B40,CENY!$B$11:$G$1034,2,FALSE)</f>
        <v>AVANTECH YOU BOKY V SADĚ V101 MM NL300 MM STŘÍBRNÁ</v>
      </c>
      <c r="D40" s="501">
        <f>VLOOKUP(B40,CENY!$B$11:$G$1034,3,FALSE)</f>
        <v>1</v>
      </c>
      <c r="E40" s="63" t="str">
        <f>IF(VLOOKUP(B40,CENY!$B$11:$G$1034,4,FALSE)=0,"",VLOOKUP(B40,CENY!$B$11:$G$1034,4,FALSE))</f>
        <v/>
      </c>
      <c r="F40" s="45" t="str">
        <f t="shared" si="4"/>
        <v/>
      </c>
      <c r="G40" s="59">
        <f>VLOOKUP(B40,CENY!$B$11:$M$1034,12,FALSE)</f>
        <v>566.15</v>
      </c>
      <c r="H40" s="61" t="str">
        <f t="shared" si="0"/>
        <v xml:space="preserve"> CZK</v>
      </c>
      <c r="I40" s="46" t="str">
        <f t="shared" si="1"/>
        <v/>
      </c>
      <c r="J40" s="138"/>
      <c r="K40" s="47">
        <f>VLOOKUP(B40,CENY!$B$11:$M$1034,8,FALSE)</f>
        <v>0</v>
      </c>
      <c r="L40" s="47" t="str">
        <f>VLOOKUP(B40,CENY!$B$11:$M$1034,9,FALSE)</f>
        <v xml:space="preserve"> </v>
      </c>
      <c r="M40" s="55"/>
      <c r="N40" s="38">
        <f t="shared" si="5"/>
        <v>0</v>
      </c>
      <c r="O40" s="39">
        <v>0</v>
      </c>
      <c r="P40" s="450">
        <f>'AVT101'!AZ6</f>
        <v>0</v>
      </c>
      <c r="Q40" s="41"/>
      <c r="R40" s="41"/>
      <c r="S40" s="41"/>
      <c r="T40" s="41"/>
      <c r="U40" s="41"/>
      <c r="V40" s="41"/>
      <c r="W40" s="41"/>
      <c r="X40" s="41"/>
      <c r="Y40" s="41"/>
      <c r="Z40" s="450">
        <f>'AVT101(vn-A)'!AZ6</f>
        <v>0</v>
      </c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50">
        <f>'AVT-celny-101+187'!AZ6</f>
        <v>0</v>
      </c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203"/>
      <c r="BP40" s="203"/>
      <c r="BQ40" s="203"/>
      <c r="BR40" s="203"/>
      <c r="BS40" s="203"/>
      <c r="BT40" s="203"/>
      <c r="BU40" s="203"/>
      <c r="BV40" s="203"/>
      <c r="BW40" s="62"/>
      <c r="BX40" s="185"/>
      <c r="BY40" s="35"/>
      <c r="BZ40" s="27"/>
      <c r="CA40" s="27"/>
      <c r="CB40" s="27"/>
      <c r="CC40" s="27"/>
      <c r="CD40" s="27"/>
      <c r="CE40" s="27"/>
      <c r="CF40" s="27"/>
    </row>
    <row r="41" spans="1:84" ht="15" customHeight="1">
      <c r="A41" s="4"/>
      <c r="B41" s="439">
        <f>IF($Q$8=$Q$7,CENY!B53,IF($Q$7=$Q$9,CENY!B62,CENY!B71))</f>
        <v>9255246</v>
      </c>
      <c r="C41" s="44" t="str">
        <f>VLOOKUP(B41,CENY!$B$11:$G$1034,2,FALSE)</f>
        <v>AVANTECH YOU BOKY V SADĚ V101 MM NL350 MM STŘÍBRNÁ</v>
      </c>
      <c r="D41" s="501">
        <f>VLOOKUP(B41,CENY!$B$11:$G$1034,3,FALSE)</f>
        <v>1</v>
      </c>
      <c r="E41" s="63" t="str">
        <f>IF(VLOOKUP(B41,CENY!$B$11:$G$1034,4,FALSE)=0,"",VLOOKUP(B41,CENY!$B$11:$G$1034,4,FALSE))</f>
        <v/>
      </c>
      <c r="F41" s="45" t="str">
        <f t="shared" si="4"/>
        <v/>
      </c>
      <c r="G41" s="59">
        <f>VLOOKUP(B41,CENY!$B$11:$M$1034,12,FALSE)</f>
        <v>573.11</v>
      </c>
      <c r="H41" s="61" t="str">
        <f t="shared" si="0"/>
        <v xml:space="preserve"> CZK</v>
      </c>
      <c r="I41" s="46" t="str">
        <f t="shared" si="1"/>
        <v/>
      </c>
      <c r="J41" s="138"/>
      <c r="K41" s="47">
        <f>VLOOKUP(B41,CENY!$B$11:$M$1034,8,FALSE)</f>
        <v>0</v>
      </c>
      <c r="L41" s="47" t="str">
        <f>VLOOKUP(B41,CENY!$B$11:$M$1034,9,FALSE)</f>
        <v xml:space="preserve"> </v>
      </c>
      <c r="M41" s="55"/>
      <c r="N41" s="38">
        <f t="shared" si="5"/>
        <v>0</v>
      </c>
      <c r="O41" s="39">
        <v>0</v>
      </c>
      <c r="P41" s="450">
        <f>'AVT101'!AZ7</f>
        <v>0</v>
      </c>
      <c r="Q41" s="41"/>
      <c r="R41" s="41"/>
      <c r="S41" s="41"/>
      <c r="T41" s="41"/>
      <c r="U41" s="41"/>
      <c r="V41" s="41"/>
      <c r="W41" s="41"/>
      <c r="X41" s="41"/>
      <c r="Y41" s="41"/>
      <c r="Z41" s="450">
        <f>'AVT101(vn-A)'!AZ7</f>
        <v>0</v>
      </c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50">
        <f>'AVT-celny-101+187'!AZ7</f>
        <v>0</v>
      </c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203"/>
      <c r="BP41" s="203"/>
      <c r="BQ41" s="203"/>
      <c r="BR41" s="203"/>
      <c r="BS41" s="203"/>
      <c r="BT41" s="203"/>
      <c r="BU41" s="203"/>
      <c r="BV41" s="203"/>
      <c r="BW41" s="62"/>
      <c r="BX41" s="185"/>
      <c r="BY41" s="35"/>
      <c r="BZ41" s="27"/>
      <c r="CA41" s="27"/>
      <c r="CB41" s="27"/>
      <c r="CC41" s="27"/>
      <c r="CD41" s="27"/>
      <c r="CE41" s="27"/>
      <c r="CF41" s="27"/>
    </row>
    <row r="42" spans="1:84" ht="15" customHeight="1">
      <c r="A42" s="4"/>
      <c r="B42" s="439">
        <f>IF($Q$8=$Q$7,CENY!B54,IF($Q$7=$Q$9,CENY!B63,CENY!B72))</f>
        <v>9255247</v>
      </c>
      <c r="C42" s="44" t="str">
        <f>VLOOKUP(B42,CENY!$B$11:$G$1034,2,FALSE)</f>
        <v>AVANTECH YOU BOKY V SADĚ V101 MM NL400 MM STŘÍBRNÁ</v>
      </c>
      <c r="D42" s="501">
        <f>VLOOKUP(B42,CENY!$B$11:$G$1034,3,FALSE)</f>
        <v>1</v>
      </c>
      <c r="E42" s="63" t="str">
        <f>IF(VLOOKUP(B42,CENY!$B$11:$G$1034,4,FALSE)=0,"",VLOOKUP(B42,CENY!$B$11:$G$1034,4,FALSE))</f>
        <v/>
      </c>
      <c r="F42" s="45" t="str">
        <f t="shared" si="4"/>
        <v/>
      </c>
      <c r="G42" s="59">
        <f>VLOOKUP(B42,CENY!$B$11:$M$1034,12,FALSE)</f>
        <v>580.07000000000005</v>
      </c>
      <c r="H42" s="61" t="str">
        <f t="shared" si="0"/>
        <v xml:space="preserve"> CZK</v>
      </c>
      <c r="I42" s="46" t="str">
        <f t="shared" si="1"/>
        <v/>
      </c>
      <c r="J42" s="138"/>
      <c r="K42" s="47">
        <f>VLOOKUP(B42,CENY!$B$11:$M$1034,8,FALSE)</f>
        <v>0</v>
      </c>
      <c r="L42" s="47" t="str">
        <f>VLOOKUP(B42,CENY!$B$11:$M$1034,9,FALSE)</f>
        <v xml:space="preserve"> </v>
      </c>
      <c r="M42" s="55"/>
      <c r="N42" s="38">
        <f t="shared" si="5"/>
        <v>0</v>
      </c>
      <c r="O42" s="39">
        <v>0</v>
      </c>
      <c r="P42" s="450">
        <f>'AVT101'!AZ8</f>
        <v>0</v>
      </c>
      <c r="Q42" s="41"/>
      <c r="R42" s="41"/>
      <c r="S42" s="41"/>
      <c r="T42" s="41"/>
      <c r="U42" s="41"/>
      <c r="V42" s="41"/>
      <c r="W42" s="41"/>
      <c r="X42" s="41"/>
      <c r="Y42" s="41"/>
      <c r="Z42" s="450">
        <f>'AVT101(vn-A)'!AZ8</f>
        <v>0</v>
      </c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50">
        <f>'AVT-celny-101+187'!AZ8</f>
        <v>0</v>
      </c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203"/>
      <c r="BP42" s="203"/>
      <c r="BQ42" s="203"/>
      <c r="BR42" s="203"/>
      <c r="BS42" s="203"/>
      <c r="BT42" s="203"/>
      <c r="BU42" s="203"/>
      <c r="BV42" s="203"/>
      <c r="BW42" s="62"/>
      <c r="BX42" s="185"/>
      <c r="BY42" s="35"/>
      <c r="BZ42" s="27"/>
      <c r="CA42" s="27"/>
      <c r="CB42" s="27"/>
      <c r="CC42" s="27"/>
      <c r="CD42" s="27"/>
      <c r="CE42" s="27"/>
      <c r="CF42" s="27"/>
    </row>
    <row r="43" spans="1:84" ht="15" customHeight="1">
      <c r="A43" s="4"/>
      <c r="B43" s="439">
        <f>IF($Q$8=$Q$7,CENY!B55,IF($Q$7=$Q$9,CENY!B64,CENY!B73))</f>
        <v>9255248</v>
      </c>
      <c r="C43" s="44" t="str">
        <f>VLOOKUP(B43,CENY!$B$11:$G$1034,2,FALSE)</f>
        <v>AVANTECH YOU BOKY V SADĚ V101 MM NL450 MM STŘÍBRNÁ</v>
      </c>
      <c r="D43" s="501">
        <f>VLOOKUP(B43,CENY!$B$11:$G$1034,3,FALSE)</f>
        <v>1</v>
      </c>
      <c r="E43" s="64" t="str">
        <f>IF(VLOOKUP(B43,CENY!$B$11:$G$1034,4,FALSE)=0,"",VLOOKUP(B43,CENY!$B$11:$G$1034,4,FALSE))</f>
        <v/>
      </c>
      <c r="F43" s="45" t="str">
        <f t="shared" si="4"/>
        <v/>
      </c>
      <c r="G43" s="59">
        <f>VLOOKUP(B43,CENY!$B$11:$M$1034,12,FALSE)</f>
        <v>587.04</v>
      </c>
      <c r="H43" s="61" t="str">
        <f t="shared" si="0"/>
        <v xml:space="preserve"> CZK</v>
      </c>
      <c r="I43" s="46" t="str">
        <f t="shared" si="1"/>
        <v/>
      </c>
      <c r="J43" s="138"/>
      <c r="K43" s="47">
        <f>VLOOKUP(B43,CENY!$B$11:$M$1034,8,FALSE)</f>
        <v>0</v>
      </c>
      <c r="L43" s="47" t="str">
        <f>VLOOKUP(B43,CENY!$B$11:$M$1034,9,FALSE)</f>
        <v xml:space="preserve"> </v>
      </c>
      <c r="M43" s="55"/>
      <c r="N43" s="38">
        <f t="shared" si="5"/>
        <v>0</v>
      </c>
      <c r="O43" s="39">
        <v>0</v>
      </c>
      <c r="P43" s="450">
        <f>'AVT101'!AZ9</f>
        <v>0</v>
      </c>
      <c r="Q43" s="41"/>
      <c r="R43" s="41"/>
      <c r="S43" s="41"/>
      <c r="T43" s="41"/>
      <c r="U43" s="41"/>
      <c r="V43" s="41"/>
      <c r="W43" s="41"/>
      <c r="X43" s="41"/>
      <c r="Y43" s="41"/>
      <c r="Z43" s="450">
        <f>'AVT101(vn-A)'!AZ9</f>
        <v>0</v>
      </c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50">
        <f>'AVT-celny-101+187'!AZ9</f>
        <v>0</v>
      </c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203"/>
      <c r="BP43" s="203"/>
      <c r="BQ43" s="203"/>
      <c r="BR43" s="203"/>
      <c r="BS43" s="203"/>
      <c r="BT43" s="203"/>
      <c r="BU43" s="203"/>
      <c r="BV43" s="203"/>
      <c r="BW43" s="62"/>
      <c r="BX43" s="185"/>
      <c r="BY43" s="35"/>
      <c r="BZ43" s="27"/>
      <c r="CA43" s="27"/>
      <c r="CB43" s="27"/>
      <c r="CC43" s="27"/>
      <c r="CD43" s="27"/>
      <c r="CE43" s="27"/>
      <c r="CF43" s="27"/>
    </row>
    <row r="44" spans="1:84" ht="15" customHeight="1">
      <c r="A44" s="4"/>
      <c r="B44" s="439">
        <f>IF($Q$8=$Q$7,CENY!B56,IF($Q$7=$Q$9,CENY!B65,CENY!B74))</f>
        <v>9255249</v>
      </c>
      <c r="C44" s="44" t="str">
        <f>VLOOKUP(B44,CENY!$B$11:$G$1034,2,FALSE)</f>
        <v>AVANTECH YOU BOKY V SADĚ V101 MM NL500 MM STŘÍBRNÁ</v>
      </c>
      <c r="D44" s="501">
        <f>VLOOKUP(B44,CENY!$B$11:$G$1034,3,FALSE)</f>
        <v>1</v>
      </c>
      <c r="E44" s="64" t="str">
        <f>IF(VLOOKUP(B44,CENY!$B$11:$G$1034,4,FALSE)=0,"",VLOOKUP(B44,CENY!$B$11:$G$1034,4,FALSE))</f>
        <v/>
      </c>
      <c r="F44" s="45" t="str">
        <f t="shared" si="4"/>
        <v/>
      </c>
      <c r="G44" s="59">
        <f>VLOOKUP(B44,CENY!$B$11:$M$1034,12,FALSE)</f>
        <v>594</v>
      </c>
      <c r="H44" s="61" t="str">
        <f t="shared" si="0"/>
        <v xml:space="preserve"> CZK</v>
      </c>
      <c r="I44" s="46" t="str">
        <f t="shared" si="1"/>
        <v/>
      </c>
      <c r="J44" s="138"/>
      <c r="K44" s="47">
        <f>VLOOKUP(B44,CENY!$B$11:$M$1034,8,FALSE)</f>
        <v>0</v>
      </c>
      <c r="L44" s="47" t="str">
        <f>VLOOKUP(B44,CENY!$B$11:$M$1034,9,FALSE)</f>
        <v xml:space="preserve"> </v>
      </c>
      <c r="M44" s="55"/>
      <c r="N44" s="38">
        <f t="shared" si="5"/>
        <v>0</v>
      </c>
      <c r="O44" s="39">
        <v>0</v>
      </c>
      <c r="P44" s="450">
        <f>'AVT101'!AZ10</f>
        <v>0</v>
      </c>
      <c r="Q44" s="41"/>
      <c r="R44" s="41"/>
      <c r="S44" s="41"/>
      <c r="T44" s="41"/>
      <c r="U44" s="41"/>
      <c r="V44" s="41"/>
      <c r="W44" s="41"/>
      <c r="X44" s="41"/>
      <c r="Y44" s="41"/>
      <c r="Z44" s="450">
        <f>'AVT101(vn-A)'!AZ10</f>
        <v>0</v>
      </c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50">
        <f>'AVT-celny-101+187'!AZ10</f>
        <v>0</v>
      </c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203"/>
      <c r="BP44" s="203"/>
      <c r="BQ44" s="203"/>
      <c r="BR44" s="203"/>
      <c r="BS44" s="203"/>
      <c r="BT44" s="203"/>
      <c r="BU44" s="203"/>
      <c r="BV44" s="203"/>
      <c r="BW44" s="62"/>
      <c r="BX44" s="185"/>
      <c r="BY44" s="35"/>
      <c r="BZ44" s="27"/>
      <c r="CA44" s="27"/>
      <c r="CB44" s="27"/>
      <c r="CC44" s="27"/>
      <c r="CD44" s="27"/>
      <c r="CE44" s="27"/>
      <c r="CF44" s="27"/>
    </row>
    <row r="45" spans="1:84" ht="15" customHeight="1">
      <c r="A45" s="4"/>
      <c r="B45" s="439">
        <f>IF($Q$8=$Q$7,CENY!B57,IF($Q$7=$Q$9,CENY!B66,CENY!B75))</f>
        <v>9255250</v>
      </c>
      <c r="C45" s="44" t="str">
        <f>VLOOKUP(B45,CENY!$B$11:$G$1034,2,FALSE)</f>
        <v>AVANTECH YOU BOKY V SADĚ V101 MM NL550 MM STŘÍBRNÁ</v>
      </c>
      <c r="D45" s="501">
        <f>VLOOKUP(B45,CENY!$B$11:$G$1034,3,FALSE)</f>
        <v>1</v>
      </c>
      <c r="E45" s="64" t="str">
        <f>IF(VLOOKUP(B45,CENY!$B$11:$G$1034,4,FALSE)=0,"",VLOOKUP(B45,CENY!$B$11:$G$1034,4,FALSE))</f>
        <v/>
      </c>
      <c r="F45" s="45" t="str">
        <f t="shared" si="4"/>
        <v/>
      </c>
      <c r="G45" s="59">
        <f>VLOOKUP(B45,CENY!$B$11:$M$1034,12,FALSE)</f>
        <v>600.96</v>
      </c>
      <c r="H45" s="61" t="str">
        <f t="shared" si="0"/>
        <v xml:space="preserve"> CZK</v>
      </c>
      <c r="I45" s="46" t="str">
        <f t="shared" si="1"/>
        <v/>
      </c>
      <c r="J45" s="138"/>
      <c r="K45" s="47">
        <f>VLOOKUP(B45,CENY!$B$11:$M$1034,8,FALSE)</f>
        <v>0</v>
      </c>
      <c r="L45" s="47" t="str">
        <f>VLOOKUP(B45,CENY!$B$11:$M$1034,9,FALSE)</f>
        <v xml:space="preserve"> </v>
      </c>
      <c r="M45" s="55"/>
      <c r="N45" s="38">
        <f t="shared" si="5"/>
        <v>0</v>
      </c>
      <c r="O45" s="39">
        <v>0</v>
      </c>
      <c r="P45" s="450">
        <f>'AVT101'!AZ11</f>
        <v>0</v>
      </c>
      <c r="Q45" s="41"/>
      <c r="R45" s="41"/>
      <c r="S45" s="41"/>
      <c r="T45" s="41"/>
      <c r="U45" s="41"/>
      <c r="V45" s="41"/>
      <c r="W45" s="41"/>
      <c r="X45" s="41"/>
      <c r="Y45" s="41"/>
      <c r="Z45" s="450">
        <f>'AVT101(vn-A)'!AZ11</f>
        <v>0</v>
      </c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50">
        <f>'AVT-celny-101+187'!AZ11</f>
        <v>0</v>
      </c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203"/>
      <c r="BP45" s="203"/>
      <c r="BQ45" s="203"/>
      <c r="BR45" s="203"/>
      <c r="BS45" s="203"/>
      <c r="BT45" s="203"/>
      <c r="BU45" s="203"/>
      <c r="BV45" s="203"/>
      <c r="BW45" s="62"/>
      <c r="BX45" s="185"/>
      <c r="BY45" s="35"/>
      <c r="BZ45" s="27"/>
      <c r="CA45" s="27"/>
      <c r="CB45" s="27"/>
      <c r="CC45" s="27"/>
      <c r="CD45" s="27"/>
      <c r="CE45" s="27"/>
      <c r="CF45" s="27"/>
    </row>
    <row r="46" spans="1:84" ht="15" customHeight="1">
      <c r="A46" s="4"/>
      <c r="B46" s="439">
        <f>IF($Q$8=$Q$7,CENY!B58,IF($Q$7=$Q$9,CENY!B67,CENY!B76))</f>
        <v>9255251</v>
      </c>
      <c r="C46" s="44" t="str">
        <f>VLOOKUP(B46,CENY!$B$11:$G$1034,2,FALSE)</f>
        <v>AVANTECH YOU BOKY V SADĚ V101 MM NL600 MM STŘÍBRNÁ</v>
      </c>
      <c r="D46" s="501">
        <f>VLOOKUP(B46,CENY!$B$11:$G$1034,3,FALSE)</f>
        <v>1</v>
      </c>
      <c r="E46" s="64" t="str">
        <f>IF(VLOOKUP(B46,CENY!$B$11:$G$1034,4,FALSE)=0,"",VLOOKUP(B46,CENY!$B$11:$G$1034,4,FALSE))</f>
        <v/>
      </c>
      <c r="F46" s="45" t="str">
        <f t="shared" si="4"/>
        <v/>
      </c>
      <c r="G46" s="59">
        <f>VLOOKUP(B46,CENY!$B$11:$M$1034,12,FALSE)</f>
        <v>611.46</v>
      </c>
      <c r="H46" s="61" t="str">
        <f t="shared" si="0"/>
        <v xml:space="preserve"> CZK</v>
      </c>
      <c r="I46" s="46" t="str">
        <f t="shared" si="1"/>
        <v/>
      </c>
      <c r="J46" s="138"/>
      <c r="K46" s="47">
        <f>VLOOKUP(B46,CENY!$B$11:$M$1034,8,FALSE)</f>
        <v>0</v>
      </c>
      <c r="L46" s="47" t="str">
        <f>VLOOKUP(B46,CENY!$B$11:$M$1034,9,FALSE)</f>
        <v xml:space="preserve"> </v>
      </c>
      <c r="M46" s="55"/>
      <c r="N46" s="38">
        <f t="shared" si="5"/>
        <v>0</v>
      </c>
      <c r="O46" s="39">
        <v>0</v>
      </c>
      <c r="P46" s="450">
        <f>'AVT101'!AZ12</f>
        <v>0</v>
      </c>
      <c r="Q46" s="41"/>
      <c r="R46" s="41"/>
      <c r="S46" s="41"/>
      <c r="T46" s="41"/>
      <c r="U46" s="41"/>
      <c r="V46" s="41"/>
      <c r="W46" s="41"/>
      <c r="X46" s="41"/>
      <c r="Y46" s="41"/>
      <c r="Z46" s="450">
        <f>'AVT101(vn-A)'!AZ12</f>
        <v>0</v>
      </c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50">
        <f>'AVT-celny-101+187'!AZ12</f>
        <v>0</v>
      </c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203"/>
      <c r="BP46" s="203"/>
      <c r="BQ46" s="203"/>
      <c r="BR46" s="203"/>
      <c r="BS46" s="203"/>
      <c r="BT46" s="203"/>
      <c r="BU46" s="203"/>
      <c r="BV46" s="203"/>
      <c r="BW46" s="62"/>
      <c r="BX46" s="185"/>
      <c r="BY46" s="35"/>
      <c r="BZ46" s="27"/>
      <c r="CA46" s="27"/>
      <c r="CB46" s="27"/>
      <c r="CC46" s="27"/>
      <c r="CD46" s="27"/>
      <c r="CE46" s="27"/>
      <c r="CF46" s="27"/>
    </row>
    <row r="47" spans="1:84" ht="15" customHeight="1">
      <c r="A47" s="4"/>
      <c r="B47" s="439">
        <f>IF($Q$8=$Q$7,CENY!B59,IF($Q$7=$Q$9,CENY!B68,CENY!B77))</f>
        <v>9255252</v>
      </c>
      <c r="C47" s="44" t="str">
        <f>VLOOKUP(B47,CENY!$B$11:$G$1034,2,FALSE)</f>
        <v>AVANTECH YOU BOKY V SADĚ V101 MM NL650 MM STŘÍBRNÁ</v>
      </c>
      <c r="D47" s="501">
        <f>VLOOKUP(B47,CENY!$B$11:$G$1034,3,FALSE)</f>
        <v>1</v>
      </c>
      <c r="E47" s="64" t="str">
        <f>IF(VLOOKUP(B47,CENY!$B$11:$G$1034,4,FALSE)=0,"",VLOOKUP(B47,CENY!$B$11:$G$1034,4,FALSE))</f>
        <v/>
      </c>
      <c r="F47" s="45" t="str">
        <f t="shared" si="4"/>
        <v/>
      </c>
      <c r="G47" s="59">
        <f>VLOOKUP(B47,CENY!$B$11:$M$1034,12,FALSE)</f>
        <v>625.73</v>
      </c>
      <c r="H47" s="61" t="str">
        <f t="shared" si="0"/>
        <v xml:space="preserve"> CZK</v>
      </c>
      <c r="I47" s="46" t="str">
        <f t="shared" si="1"/>
        <v/>
      </c>
      <c r="J47" s="138"/>
      <c r="K47" s="47">
        <f>VLOOKUP(B47,CENY!$B$11:$M$1034,8,FALSE)</f>
        <v>0</v>
      </c>
      <c r="L47" s="47" t="str">
        <f>VLOOKUP(B47,CENY!$B$11:$M$1034,9,FALSE)</f>
        <v xml:space="preserve"> </v>
      </c>
      <c r="M47" s="55"/>
      <c r="N47" s="38">
        <f t="shared" si="5"/>
        <v>0</v>
      </c>
      <c r="O47" s="39">
        <v>0</v>
      </c>
      <c r="P47" s="450">
        <f>'AVT101'!AZ13</f>
        <v>0</v>
      </c>
      <c r="Q47" s="41"/>
      <c r="R47" s="41"/>
      <c r="S47" s="41"/>
      <c r="T47" s="41"/>
      <c r="U47" s="41"/>
      <c r="V47" s="41"/>
      <c r="W47" s="41"/>
      <c r="X47" s="41"/>
      <c r="Y47" s="41"/>
      <c r="Z47" s="450">
        <f>'AVT101(vn-A)'!AZ13</f>
        <v>0</v>
      </c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50">
        <f>'AVT-celny-101+187'!AZ13</f>
        <v>0</v>
      </c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203"/>
      <c r="BP47" s="203"/>
      <c r="BQ47" s="203"/>
      <c r="BR47" s="203"/>
      <c r="BS47" s="203"/>
      <c r="BT47" s="203"/>
      <c r="BU47" s="203"/>
      <c r="BV47" s="203"/>
      <c r="BW47" s="62"/>
      <c r="BX47" s="185"/>
      <c r="BY47" s="35"/>
      <c r="BZ47" s="27"/>
      <c r="CA47" s="27"/>
      <c r="CB47" s="27"/>
      <c r="CC47" s="27"/>
      <c r="CD47" s="27"/>
      <c r="CE47" s="27"/>
      <c r="CF47" s="27"/>
    </row>
    <row r="48" spans="1:84" ht="15" customHeight="1">
      <c r="A48" s="4"/>
      <c r="B48" s="439">
        <f>CENY!B78</f>
        <v>9257702</v>
      </c>
      <c r="C48" s="44" t="str">
        <f>VLOOKUP(B48,CENY!$B$11:$G$1034,2,FALSE)</f>
        <v>AVANTECH YOU STABILIZÁTOR ZAD V101/139/187/251 MM</v>
      </c>
      <c r="D48" s="488">
        <f>VLOOKUP(B48,CENY!$B$11:$G$1034,3,FALSE)</f>
        <v>200</v>
      </c>
      <c r="E48" s="64" t="str">
        <f>IF(VLOOKUP(B48,CENY!$B$11:$G$1034,4,FALSE)=0,"",VLOOKUP(B48,CENY!$B$11:$G$1034,4,FALSE))</f>
        <v/>
      </c>
      <c r="F48" s="45" t="str">
        <f t="shared" si="4"/>
        <v/>
      </c>
      <c r="G48" s="59">
        <f>VLOOKUP(B48,CENY!$B$11:$M$1034,12,FALSE)</f>
        <v>13.29</v>
      </c>
      <c r="H48" s="61" t="str">
        <f t="shared" si="0"/>
        <v xml:space="preserve"> CZK</v>
      </c>
      <c r="I48" s="46" t="str">
        <f t="shared" si="1"/>
        <v/>
      </c>
      <c r="J48" s="138"/>
      <c r="K48" s="47">
        <f>VLOOKUP(B48,CENY!$B$11:$M$1034,8,FALSE)</f>
        <v>0</v>
      </c>
      <c r="L48" s="47" t="str">
        <f>VLOOKUP(B48,CENY!$B$11:$M$1034,9,FALSE)</f>
        <v xml:space="preserve"> </v>
      </c>
      <c r="M48" s="55"/>
      <c r="N48" s="38">
        <f t="shared" si="5"/>
        <v>0</v>
      </c>
      <c r="O48" s="39">
        <v>0</v>
      </c>
      <c r="P48" s="41"/>
      <c r="Q48" s="450">
        <f>'AVT101'!BI25</f>
        <v>0</v>
      </c>
      <c r="R48" s="41"/>
      <c r="S48" s="450">
        <f>'AVT139'!BI21</f>
        <v>0</v>
      </c>
      <c r="T48" s="41"/>
      <c r="U48" s="450">
        <f>'AVT187'!BI25</f>
        <v>0</v>
      </c>
      <c r="V48" s="41"/>
      <c r="W48" s="450">
        <f>'AVT251'!BI22</f>
        <v>0</v>
      </c>
      <c r="X48" s="41"/>
      <c r="Y48" s="450">
        <f>AVT187In!BI21</f>
        <v>0</v>
      </c>
      <c r="Z48" s="41"/>
      <c r="AA48" s="450">
        <f>'AVT101(vn-A)'!BI25</f>
        <v>0</v>
      </c>
      <c r="AB48" s="41"/>
      <c r="AC48" s="450">
        <f>'AVT139(vn-A)'!BI21</f>
        <v>0</v>
      </c>
      <c r="AD48" s="41"/>
      <c r="AE48" s="450">
        <f>'AVT187(vn-A)'!BI25</f>
        <v>0</v>
      </c>
      <c r="AF48" s="41"/>
      <c r="AG48" s="450">
        <f>'AVT187In(vn-A)'!BI21</f>
        <v>0</v>
      </c>
      <c r="AH48" s="41"/>
      <c r="AI48" s="450">
        <f>'AVT187(vn-S)'!BI25</f>
        <v>0</v>
      </c>
      <c r="AJ48" s="41"/>
      <c r="AK48" s="450">
        <f>'AVT187In(vn-S)'!BI21</f>
        <v>0</v>
      </c>
      <c r="AL48" s="41"/>
      <c r="AM48" s="41"/>
      <c r="AN48" s="41"/>
      <c r="AO48" s="450">
        <f>'AVT-celny-101+187'!BI45</f>
        <v>0</v>
      </c>
      <c r="AP48" s="41"/>
      <c r="AQ48" s="450">
        <f>'AVT-celny-139+187'!BI37</f>
        <v>0</v>
      </c>
      <c r="AR48" s="41"/>
      <c r="AS48" s="450">
        <f>'AVT-celny-2x187'!BI25</f>
        <v>0</v>
      </c>
      <c r="AT48" s="41"/>
      <c r="AU48" s="450">
        <f>'AVT-celny-2x187In'!BI21</f>
        <v>0</v>
      </c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203"/>
      <c r="BP48" s="203"/>
      <c r="BQ48" s="203"/>
      <c r="BR48" s="203"/>
      <c r="BS48" s="203"/>
      <c r="BT48" s="203"/>
      <c r="BU48" s="203"/>
      <c r="BV48" s="203"/>
      <c r="BW48" s="62"/>
      <c r="BX48" s="185"/>
      <c r="BY48" s="35"/>
      <c r="BZ48" s="27"/>
      <c r="CA48" s="27"/>
      <c r="CB48" s="27"/>
      <c r="CC48" s="27"/>
      <c r="CD48" s="27"/>
      <c r="CE48" s="27"/>
      <c r="CF48" s="27"/>
    </row>
    <row r="49" spans="1:84" ht="8.1" customHeight="1">
      <c r="A49" s="4"/>
      <c r="B49" s="439"/>
      <c r="C49" s="44"/>
      <c r="D49" s="44"/>
      <c r="E49" s="63"/>
      <c r="F49" s="45"/>
      <c r="G49" s="59"/>
      <c r="H49" s="61"/>
      <c r="I49" s="46"/>
      <c r="J49" s="138"/>
      <c r="K49" s="47"/>
      <c r="L49" s="47"/>
      <c r="M49" s="55"/>
      <c r="N49" s="38"/>
      <c r="O49" s="39">
        <v>0</v>
      </c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203"/>
      <c r="BP49" s="203"/>
      <c r="BQ49" s="203"/>
      <c r="BR49" s="203"/>
      <c r="BS49" s="203"/>
      <c r="BT49" s="203"/>
      <c r="BU49" s="203"/>
      <c r="BV49" s="203"/>
      <c r="BW49" s="62"/>
      <c r="BX49" s="185"/>
      <c r="BY49" s="35"/>
      <c r="BZ49" s="27"/>
      <c r="CA49" s="27"/>
      <c r="CB49" s="27"/>
      <c r="CC49" s="27"/>
      <c r="CD49" s="27"/>
      <c r="CE49" s="27"/>
      <c r="CF49" s="27"/>
    </row>
    <row r="50" spans="1:84" ht="15" customHeight="1">
      <c r="A50" s="4"/>
      <c r="B50" s="439">
        <f>IF($Q$8=$Q$7,CENY!B79,IF($Q$7=$Q$9,CENY!B97,CENY!B115))</f>
        <v>9255008</v>
      </c>
      <c r="C50" s="44" t="str">
        <f>VLOOKUP(B50,CENY!$B$11:$G$1034,2,FALSE)</f>
        <v>AVANTECH YOU BOK V101 MM NL270 MM STŘÍBRNÝ LEVÝ</v>
      </c>
      <c r="D50" s="488">
        <f>VLOOKUP(B50,CENY!$B$11:$G$1034,3,FALSE)</f>
        <v>20</v>
      </c>
      <c r="E50" s="64" t="str">
        <f>IF(VLOOKUP(B50,CENY!$B$11:$G$1034,4,FALSE)=0,"",VLOOKUP(B50,CENY!$B$11:$G$1034,4,FALSE))</f>
        <v/>
      </c>
      <c r="F50" s="45" t="str">
        <f t="shared" ref="F50:F67" si="6">IF(J50&lt;&gt;"",J50,IF(N50=0,"",N50))</f>
        <v/>
      </c>
      <c r="G50" s="59">
        <f>VLOOKUP(B50,CENY!$B$11:$M$1034,12,FALSE)</f>
        <v>177.84</v>
      </c>
      <c r="H50" s="61" t="str">
        <f t="shared" si="0"/>
        <v xml:space="preserve"> CZK</v>
      </c>
      <c r="I50" s="46" t="str">
        <f t="shared" si="1"/>
        <v/>
      </c>
      <c r="J50" s="138"/>
      <c r="K50" s="47">
        <f>VLOOKUP(B50,CENY!$B$11:$M$1034,8,FALSE)</f>
        <v>0</v>
      </c>
      <c r="L50" s="47" t="str">
        <f>VLOOKUP(B50,CENY!$B$11:$M$1034,9,FALSE)</f>
        <v xml:space="preserve"> </v>
      </c>
      <c r="M50" s="55"/>
      <c r="N50" s="38">
        <f t="shared" ref="N50:N69" si="7">SUM(P50:BX50)</f>
        <v>0</v>
      </c>
      <c r="O50" s="39">
        <v>0</v>
      </c>
      <c r="P50" s="41"/>
      <c r="Q50" s="450">
        <f>'AVT101'!BI5</f>
        <v>0</v>
      </c>
      <c r="R50" s="41"/>
      <c r="S50" s="41"/>
      <c r="T50" s="41"/>
      <c r="U50" s="41"/>
      <c r="V50" s="41"/>
      <c r="W50" s="41"/>
      <c r="X50" s="41"/>
      <c r="Y50" s="41"/>
      <c r="Z50" s="41"/>
      <c r="AA50" s="450">
        <f>'AVT101(vn-A)'!BI5</f>
        <v>0</v>
      </c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50">
        <f>'AVT-celny-101+187'!BI5</f>
        <v>0</v>
      </c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203"/>
      <c r="BP50" s="203"/>
      <c r="BQ50" s="203"/>
      <c r="BR50" s="203"/>
      <c r="BS50" s="203"/>
      <c r="BT50" s="203"/>
      <c r="BU50" s="203"/>
      <c r="BV50" s="203"/>
      <c r="BW50" s="62"/>
      <c r="BX50" s="185"/>
      <c r="BY50" s="35"/>
      <c r="BZ50" s="27"/>
      <c r="CA50" s="27"/>
      <c r="CB50" s="27"/>
      <c r="CC50" s="27"/>
      <c r="CD50" s="27"/>
      <c r="CE50" s="27"/>
      <c r="CF50" s="27"/>
    </row>
    <row r="51" spans="1:84" ht="15" customHeight="1">
      <c r="A51" s="4"/>
      <c r="B51" s="439">
        <f>IF($Q$8=$Q$7,CENY!B80,IF($Q$7=$Q$9,CENY!B98,CENY!B116))</f>
        <v>9255009</v>
      </c>
      <c r="C51" s="44" t="str">
        <f>VLOOKUP(B51,CENY!$B$11:$G$1034,2,FALSE)</f>
        <v>AVANTECH YOU BOK V101 MM NL270 MM STŘÍBRNÝ PRAVÝ</v>
      </c>
      <c r="D51" s="488">
        <f>VLOOKUP(B51,CENY!$B$11:$G$1034,3,FALSE)</f>
        <v>20</v>
      </c>
      <c r="E51" s="64" t="str">
        <f>IF(VLOOKUP(B51,CENY!$B$11:$G$1034,4,FALSE)=0,"",VLOOKUP(B51,CENY!$B$11:$G$1034,4,FALSE))</f>
        <v/>
      </c>
      <c r="F51" s="45" t="str">
        <f t="shared" si="6"/>
        <v/>
      </c>
      <c r="G51" s="59">
        <f>VLOOKUP(B51,CENY!$B$11:$M$1034,12,FALSE)</f>
        <v>177.84</v>
      </c>
      <c r="H51" s="61" t="str">
        <f t="shared" si="0"/>
        <v xml:space="preserve"> CZK</v>
      </c>
      <c r="I51" s="46" t="str">
        <f t="shared" si="1"/>
        <v/>
      </c>
      <c r="J51" s="138"/>
      <c r="K51" s="47">
        <f>VLOOKUP(B51,CENY!$B$11:$M$1034,8,FALSE)</f>
        <v>0</v>
      </c>
      <c r="L51" s="47" t="str">
        <f>VLOOKUP(B51,CENY!$B$11:$M$1034,9,FALSE)</f>
        <v xml:space="preserve"> </v>
      </c>
      <c r="M51" s="55"/>
      <c r="N51" s="38">
        <f t="shared" si="7"/>
        <v>0</v>
      </c>
      <c r="O51" s="39">
        <v>0</v>
      </c>
      <c r="P51" s="41"/>
      <c r="Q51" s="450">
        <f>'AVT101'!BI6</f>
        <v>0</v>
      </c>
      <c r="R51" s="41"/>
      <c r="S51" s="41"/>
      <c r="T51" s="41"/>
      <c r="U51" s="41"/>
      <c r="V51" s="41"/>
      <c r="W51" s="41"/>
      <c r="X51" s="41"/>
      <c r="Y51" s="41"/>
      <c r="Z51" s="41"/>
      <c r="AA51" s="450">
        <f>'AVT101(vn-A)'!BI6</f>
        <v>0</v>
      </c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50">
        <f>'AVT-celny-101+187'!BI6</f>
        <v>0</v>
      </c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203"/>
      <c r="BP51" s="203"/>
      <c r="BQ51" s="203"/>
      <c r="BR51" s="203"/>
      <c r="BS51" s="203"/>
      <c r="BT51" s="203"/>
      <c r="BU51" s="203"/>
      <c r="BV51" s="203"/>
      <c r="BW51" s="62"/>
      <c r="BX51" s="185"/>
      <c r="BY51" s="35"/>
      <c r="BZ51" s="27"/>
      <c r="CA51" s="27"/>
      <c r="CB51" s="27"/>
      <c r="CC51" s="27"/>
      <c r="CD51" s="27"/>
      <c r="CE51" s="27"/>
      <c r="CF51" s="27"/>
    </row>
    <row r="52" spans="1:84" ht="15" customHeight="1">
      <c r="A52" s="4"/>
      <c r="B52" s="439">
        <f>IF($Q$8=$Q$7,CENY!B81,IF($Q$7=$Q$9,CENY!B99,CENY!B117))</f>
        <v>9255010</v>
      </c>
      <c r="C52" s="44" t="str">
        <f>VLOOKUP(B52,CENY!$B$11:$G$1034,2,FALSE)</f>
        <v>AVANTECH YOU BOK V101 MM NL300 MM STŘÍBRNÝ LEVÝ</v>
      </c>
      <c r="D52" s="488">
        <f>VLOOKUP(B52,CENY!$B$11:$G$1034,3,FALSE)</f>
        <v>20</v>
      </c>
      <c r="E52" s="64" t="str">
        <f>IF(VLOOKUP(B52,CENY!$B$11:$G$1034,4,FALSE)=0,"",VLOOKUP(B52,CENY!$B$11:$G$1034,4,FALSE))</f>
        <v/>
      </c>
      <c r="F52" s="45" t="str">
        <f t="shared" si="6"/>
        <v/>
      </c>
      <c r="G52" s="59">
        <f>VLOOKUP(B52,CENY!$B$11:$M$1034,12,FALSE)</f>
        <v>179.82</v>
      </c>
      <c r="H52" s="61" t="str">
        <f t="shared" si="0"/>
        <v xml:space="preserve"> CZK</v>
      </c>
      <c r="I52" s="46" t="str">
        <f t="shared" si="1"/>
        <v/>
      </c>
      <c r="J52" s="138"/>
      <c r="K52" s="47">
        <f>VLOOKUP(B52,CENY!$B$11:$M$1034,8,FALSE)</f>
        <v>0</v>
      </c>
      <c r="L52" s="47" t="str">
        <f>VLOOKUP(B52,CENY!$B$11:$M$1034,9,FALSE)</f>
        <v xml:space="preserve"> </v>
      </c>
      <c r="M52" s="55"/>
      <c r="N52" s="38">
        <f t="shared" si="7"/>
        <v>0</v>
      </c>
      <c r="O52" s="39">
        <v>0</v>
      </c>
      <c r="P52" s="41"/>
      <c r="Q52" s="450">
        <f>'AVT101'!BI7</f>
        <v>0</v>
      </c>
      <c r="R52" s="41"/>
      <c r="S52" s="41"/>
      <c r="T52" s="41"/>
      <c r="U52" s="41"/>
      <c r="V52" s="41"/>
      <c r="W52" s="41"/>
      <c r="X52" s="41"/>
      <c r="Y52" s="41"/>
      <c r="Z52" s="41"/>
      <c r="AA52" s="450">
        <f>'AVT101(vn-A)'!BI7</f>
        <v>0</v>
      </c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50">
        <f>'AVT-celny-101+187'!BI7</f>
        <v>0</v>
      </c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203"/>
      <c r="BP52" s="203"/>
      <c r="BQ52" s="203"/>
      <c r="BR52" s="203"/>
      <c r="BS52" s="203"/>
      <c r="BT52" s="203"/>
      <c r="BU52" s="203"/>
      <c r="BV52" s="203"/>
      <c r="BW52" s="62"/>
      <c r="BX52" s="185"/>
      <c r="BY52" s="35"/>
      <c r="BZ52" s="27"/>
      <c r="CA52" s="27"/>
      <c r="CB52" s="27"/>
      <c r="CC52" s="27"/>
      <c r="CD52" s="27"/>
      <c r="CE52" s="27"/>
      <c r="CF52" s="27"/>
    </row>
    <row r="53" spans="1:84" ht="15" customHeight="1">
      <c r="A53" s="4"/>
      <c r="B53" s="439">
        <f>IF($Q$8=$Q$7,CENY!B82,IF($Q$7=$Q$9,CENY!B100,CENY!B118))</f>
        <v>9255011</v>
      </c>
      <c r="C53" s="44" t="str">
        <f>VLOOKUP(B53,CENY!$B$11:$G$1034,2,FALSE)</f>
        <v>AVANTECH YOU BOK V101 MM NL300 MM STŘÍBRNÝ PRAVÝ</v>
      </c>
      <c r="D53" s="488">
        <f>VLOOKUP(B53,CENY!$B$11:$G$1034,3,FALSE)</f>
        <v>20</v>
      </c>
      <c r="E53" s="64" t="str">
        <f>IF(VLOOKUP(B53,CENY!$B$11:$G$1034,4,FALSE)=0,"",VLOOKUP(B53,CENY!$B$11:$G$1034,4,FALSE))</f>
        <v/>
      </c>
      <c r="F53" s="45" t="str">
        <f t="shared" si="6"/>
        <v/>
      </c>
      <c r="G53" s="59">
        <f>VLOOKUP(B53,CENY!$B$11:$M$1034,12,FALSE)</f>
        <v>179.82</v>
      </c>
      <c r="H53" s="61" t="str">
        <f t="shared" si="0"/>
        <v xml:space="preserve"> CZK</v>
      </c>
      <c r="I53" s="46" t="str">
        <f t="shared" si="1"/>
        <v/>
      </c>
      <c r="J53" s="138"/>
      <c r="K53" s="47">
        <f>VLOOKUP(B53,CENY!$B$11:$M$1034,8,FALSE)</f>
        <v>0</v>
      </c>
      <c r="L53" s="47" t="str">
        <f>VLOOKUP(B53,CENY!$B$11:$M$1034,9,FALSE)</f>
        <v xml:space="preserve"> </v>
      </c>
      <c r="M53" s="55"/>
      <c r="N53" s="38">
        <f t="shared" si="7"/>
        <v>0</v>
      </c>
      <c r="O53" s="39">
        <v>0</v>
      </c>
      <c r="P53" s="41"/>
      <c r="Q53" s="450">
        <f>'AVT101'!BI8</f>
        <v>0</v>
      </c>
      <c r="R53" s="41"/>
      <c r="S53" s="41"/>
      <c r="T53" s="41"/>
      <c r="U53" s="41"/>
      <c r="V53" s="41"/>
      <c r="W53" s="41"/>
      <c r="X53" s="41"/>
      <c r="Y53" s="41"/>
      <c r="Z53" s="41"/>
      <c r="AA53" s="450">
        <f>'AVT101(vn-A)'!BI8</f>
        <v>0</v>
      </c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50">
        <f>'AVT-celny-101+187'!BI8</f>
        <v>0</v>
      </c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203"/>
      <c r="BP53" s="203"/>
      <c r="BQ53" s="203"/>
      <c r="BR53" s="203"/>
      <c r="BS53" s="203"/>
      <c r="BT53" s="203"/>
      <c r="BU53" s="203"/>
      <c r="BV53" s="203"/>
      <c r="BW53" s="62"/>
      <c r="BX53" s="185"/>
      <c r="BY53" s="35"/>
      <c r="BZ53" s="27"/>
      <c r="CA53" s="27"/>
      <c r="CB53" s="27"/>
      <c r="CC53" s="27"/>
      <c r="CD53" s="27"/>
      <c r="CE53" s="27"/>
      <c r="CF53" s="27"/>
    </row>
    <row r="54" spans="1:84" ht="15" customHeight="1">
      <c r="A54" s="4"/>
      <c r="B54" s="439">
        <f>IF($Q$8=$Q$7,CENY!B83,IF($Q$7=$Q$9,CENY!B101,CENY!B119))</f>
        <v>9255012</v>
      </c>
      <c r="C54" s="44" t="str">
        <f>VLOOKUP(B54,CENY!$B$11:$G$1034,2,FALSE)</f>
        <v>AVANTECH YOU BOK V101 MM NL350 MM STŘÍBRNÝ LEVÝ</v>
      </c>
      <c r="D54" s="488">
        <f>VLOOKUP(B54,CENY!$B$11:$G$1034,3,FALSE)</f>
        <v>20</v>
      </c>
      <c r="E54" s="64" t="str">
        <f>IF(VLOOKUP(B54,CENY!$B$11:$G$1034,4,FALSE)=0,"",VLOOKUP(B54,CENY!$B$11:$G$1034,4,FALSE))</f>
        <v/>
      </c>
      <c r="F54" s="45" t="str">
        <f t="shared" si="6"/>
        <v/>
      </c>
      <c r="G54" s="59">
        <f>VLOOKUP(B54,CENY!$B$11:$M$1034,12,FALSE)</f>
        <v>183.13</v>
      </c>
      <c r="H54" s="61" t="str">
        <f t="shared" si="0"/>
        <v xml:space="preserve"> CZK</v>
      </c>
      <c r="I54" s="46" t="str">
        <f t="shared" si="1"/>
        <v/>
      </c>
      <c r="J54" s="138"/>
      <c r="K54" s="47">
        <f>VLOOKUP(B54,CENY!$B$11:$M$1034,8,FALSE)</f>
        <v>0</v>
      </c>
      <c r="L54" s="47" t="str">
        <f>VLOOKUP(B54,CENY!$B$11:$M$1034,9,FALSE)</f>
        <v xml:space="preserve"> </v>
      </c>
      <c r="M54" s="55"/>
      <c r="N54" s="38">
        <f t="shared" si="7"/>
        <v>0</v>
      </c>
      <c r="O54" s="39">
        <v>0</v>
      </c>
      <c r="P54" s="41"/>
      <c r="Q54" s="450">
        <f>'AVT101'!BI9</f>
        <v>0</v>
      </c>
      <c r="R54" s="41"/>
      <c r="S54" s="41"/>
      <c r="T54" s="41"/>
      <c r="U54" s="41"/>
      <c r="V54" s="41"/>
      <c r="W54" s="41"/>
      <c r="X54" s="41"/>
      <c r="Y54" s="41"/>
      <c r="Z54" s="41"/>
      <c r="AA54" s="450">
        <f>'AVT101(vn-A)'!BI9</f>
        <v>0</v>
      </c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50">
        <f>'AVT-celny-101+187'!BI9</f>
        <v>0</v>
      </c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203"/>
      <c r="BP54" s="203"/>
      <c r="BQ54" s="203"/>
      <c r="BR54" s="203"/>
      <c r="BS54" s="203"/>
      <c r="BT54" s="203"/>
      <c r="BU54" s="203"/>
      <c r="BV54" s="203"/>
      <c r="BW54" s="62"/>
      <c r="BX54" s="185"/>
      <c r="BY54" s="35"/>
      <c r="BZ54" s="27"/>
      <c r="CA54" s="27"/>
      <c r="CB54" s="27"/>
      <c r="CC54" s="27"/>
      <c r="CD54" s="27"/>
      <c r="CE54" s="27"/>
      <c r="CF54" s="27"/>
    </row>
    <row r="55" spans="1:84" ht="15" customHeight="1">
      <c r="A55" s="4"/>
      <c r="B55" s="439">
        <f>IF($Q$8=$Q$7,CENY!B84,IF($Q$7=$Q$9,CENY!B102,CENY!B120))</f>
        <v>9255013</v>
      </c>
      <c r="C55" s="44" t="str">
        <f>VLOOKUP(B55,CENY!$B$11:$G$1034,2,FALSE)</f>
        <v>AVANTECH YOU BOK V101 MM NL350 MM STŘÍBRNÝ PRAVÝ</v>
      </c>
      <c r="D55" s="488">
        <f>VLOOKUP(B55,CENY!$B$11:$G$1034,3,FALSE)</f>
        <v>20</v>
      </c>
      <c r="E55" s="64" t="str">
        <f>IF(VLOOKUP(B55,CENY!$B$11:$G$1034,4,FALSE)=0,"",VLOOKUP(B55,CENY!$B$11:$G$1034,4,FALSE))</f>
        <v/>
      </c>
      <c r="F55" s="45" t="str">
        <f t="shared" si="6"/>
        <v/>
      </c>
      <c r="G55" s="59">
        <f>VLOOKUP(B55,CENY!$B$11:$M$1034,12,FALSE)</f>
        <v>183.13</v>
      </c>
      <c r="H55" s="61" t="str">
        <f t="shared" si="0"/>
        <v xml:space="preserve"> CZK</v>
      </c>
      <c r="I55" s="46" t="str">
        <f t="shared" si="1"/>
        <v/>
      </c>
      <c r="J55" s="138"/>
      <c r="K55" s="47">
        <f>VLOOKUP(B55,CENY!$B$11:$M$1034,8,FALSE)</f>
        <v>0</v>
      </c>
      <c r="L55" s="47" t="str">
        <f>VLOOKUP(B55,CENY!$B$11:$M$1034,9,FALSE)</f>
        <v xml:space="preserve"> </v>
      </c>
      <c r="M55" s="55"/>
      <c r="N55" s="38">
        <f t="shared" si="7"/>
        <v>0</v>
      </c>
      <c r="O55" s="39">
        <v>0</v>
      </c>
      <c r="P55" s="41"/>
      <c r="Q55" s="450">
        <f>'AVT101'!BI10</f>
        <v>0</v>
      </c>
      <c r="R55" s="41"/>
      <c r="S55" s="41"/>
      <c r="T55" s="41"/>
      <c r="U55" s="41"/>
      <c r="V55" s="41"/>
      <c r="W55" s="41"/>
      <c r="X55" s="41"/>
      <c r="Y55" s="41"/>
      <c r="Z55" s="41"/>
      <c r="AA55" s="450">
        <f>'AVT101(vn-A)'!BI10</f>
        <v>0</v>
      </c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50">
        <f>'AVT-celny-101+187'!BI10</f>
        <v>0</v>
      </c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203"/>
      <c r="BP55" s="203"/>
      <c r="BQ55" s="203"/>
      <c r="BR55" s="203"/>
      <c r="BS55" s="203"/>
      <c r="BT55" s="203"/>
      <c r="BU55" s="203"/>
      <c r="BV55" s="203"/>
      <c r="BW55" s="62"/>
      <c r="BX55" s="185"/>
      <c r="BY55" s="35"/>
      <c r="BZ55" s="27"/>
      <c r="CA55" s="27"/>
      <c r="CB55" s="27"/>
      <c r="CC55" s="27"/>
      <c r="CD55" s="27"/>
      <c r="CE55" s="27"/>
      <c r="CF55" s="27"/>
    </row>
    <row r="56" spans="1:84" ht="15" customHeight="1">
      <c r="A56" s="4"/>
      <c r="B56" s="439">
        <f>IF($Q$8=$Q$7,CENY!B85,IF($Q$7=$Q$9,CENY!B103,CENY!B121))</f>
        <v>9255014</v>
      </c>
      <c r="C56" s="44" t="str">
        <f>VLOOKUP(B56,CENY!$B$11:$G$1034,2,FALSE)</f>
        <v>AVANTECH YOU BOK V101 MM NL400 MM STŘÍBRNÝ LEVÝ</v>
      </c>
      <c r="D56" s="488">
        <f>VLOOKUP(B56,CENY!$B$11:$G$1034,3,FALSE)</f>
        <v>20</v>
      </c>
      <c r="E56" s="64" t="str">
        <f>IF(VLOOKUP(B56,CENY!$B$11:$G$1034,4,FALSE)=0,"",VLOOKUP(B56,CENY!$B$11:$G$1034,4,FALSE))</f>
        <v/>
      </c>
      <c r="F56" s="45" t="str">
        <f t="shared" si="6"/>
        <v/>
      </c>
      <c r="G56" s="59">
        <f>VLOOKUP(B56,CENY!$B$11:$M$1034,12,FALSE)</f>
        <v>186.44</v>
      </c>
      <c r="H56" s="61" t="str">
        <f t="shared" si="0"/>
        <v xml:space="preserve"> CZK</v>
      </c>
      <c r="I56" s="46" t="str">
        <f t="shared" si="1"/>
        <v/>
      </c>
      <c r="J56" s="138"/>
      <c r="K56" s="47">
        <f>VLOOKUP(B56,CENY!$B$11:$M$1034,8,FALSE)</f>
        <v>0</v>
      </c>
      <c r="L56" s="47" t="str">
        <f>VLOOKUP(B56,CENY!$B$11:$M$1034,9,FALSE)</f>
        <v xml:space="preserve"> </v>
      </c>
      <c r="M56" s="55"/>
      <c r="N56" s="38">
        <f t="shared" si="7"/>
        <v>0</v>
      </c>
      <c r="O56" s="39">
        <v>0</v>
      </c>
      <c r="P56" s="41"/>
      <c r="Q56" s="450">
        <f>'AVT101'!BI11</f>
        <v>0</v>
      </c>
      <c r="R56" s="41"/>
      <c r="S56" s="41"/>
      <c r="T56" s="41"/>
      <c r="U56" s="41"/>
      <c r="V56" s="41"/>
      <c r="W56" s="41"/>
      <c r="X56" s="41"/>
      <c r="Y56" s="41"/>
      <c r="Z56" s="41"/>
      <c r="AA56" s="450">
        <f>'AVT101(vn-A)'!BI11</f>
        <v>0</v>
      </c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50">
        <f>'AVT-celny-101+187'!BI11</f>
        <v>0</v>
      </c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203"/>
      <c r="BP56" s="203"/>
      <c r="BQ56" s="203"/>
      <c r="BR56" s="203"/>
      <c r="BS56" s="203"/>
      <c r="BT56" s="203"/>
      <c r="BU56" s="203"/>
      <c r="BV56" s="203"/>
      <c r="BW56" s="62"/>
      <c r="BX56" s="185"/>
      <c r="BY56" s="35"/>
      <c r="BZ56" s="27"/>
      <c r="CA56" s="27"/>
      <c r="CB56" s="27"/>
      <c r="CC56" s="27"/>
      <c r="CD56" s="27"/>
      <c r="CE56" s="27"/>
      <c r="CF56" s="27"/>
    </row>
    <row r="57" spans="1:84" ht="15" customHeight="1">
      <c r="A57" s="4"/>
      <c r="B57" s="439">
        <f>IF($Q$8=$Q$7,CENY!B86,IF($Q$7=$Q$9,CENY!B104,CENY!B122))</f>
        <v>9255015</v>
      </c>
      <c r="C57" s="44" t="str">
        <f>VLOOKUP(B57,CENY!$B$11:$G$1034,2,FALSE)</f>
        <v>AVANTECH YOU BOK V101 MM NL400 MM STŘÍBRNÝ PRAVÝ</v>
      </c>
      <c r="D57" s="488">
        <f>VLOOKUP(B57,CENY!$B$11:$G$1034,3,FALSE)</f>
        <v>20</v>
      </c>
      <c r="E57" s="64" t="str">
        <f>IF(VLOOKUP(B57,CENY!$B$11:$G$1034,4,FALSE)=0,"",VLOOKUP(B57,CENY!$B$11:$G$1034,4,FALSE))</f>
        <v/>
      </c>
      <c r="F57" s="45" t="str">
        <f t="shared" si="6"/>
        <v/>
      </c>
      <c r="G57" s="59">
        <f>VLOOKUP(B57,CENY!$B$11:$M$1034,12,FALSE)</f>
        <v>186.44</v>
      </c>
      <c r="H57" s="61" t="str">
        <f t="shared" si="0"/>
        <v xml:space="preserve"> CZK</v>
      </c>
      <c r="I57" s="46" t="str">
        <f t="shared" si="1"/>
        <v/>
      </c>
      <c r="J57" s="138"/>
      <c r="K57" s="47">
        <f>VLOOKUP(B57,CENY!$B$11:$M$1034,8,FALSE)</f>
        <v>0</v>
      </c>
      <c r="L57" s="47" t="str">
        <f>VLOOKUP(B57,CENY!$B$11:$M$1034,9,FALSE)</f>
        <v xml:space="preserve"> </v>
      </c>
      <c r="M57" s="55"/>
      <c r="N57" s="38">
        <f t="shared" si="7"/>
        <v>0</v>
      </c>
      <c r="O57" s="39">
        <v>0</v>
      </c>
      <c r="P57" s="41"/>
      <c r="Q57" s="450">
        <f>'AVT101'!BI12</f>
        <v>0</v>
      </c>
      <c r="R57" s="41"/>
      <c r="S57" s="41"/>
      <c r="T57" s="41"/>
      <c r="U57" s="41"/>
      <c r="V57" s="41"/>
      <c r="W57" s="41"/>
      <c r="X57" s="41"/>
      <c r="Y57" s="41"/>
      <c r="Z57" s="41"/>
      <c r="AA57" s="450">
        <f>'AVT101(vn-A)'!BI12</f>
        <v>0</v>
      </c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50">
        <f>'AVT-celny-101+187'!BI12</f>
        <v>0</v>
      </c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203"/>
      <c r="BP57" s="203"/>
      <c r="BQ57" s="203"/>
      <c r="BR57" s="203"/>
      <c r="BS57" s="203"/>
      <c r="BT57" s="203"/>
      <c r="BU57" s="203"/>
      <c r="BV57" s="203"/>
      <c r="BW57" s="62"/>
      <c r="BX57" s="185"/>
      <c r="BY57" s="35"/>
      <c r="BZ57" s="27"/>
      <c r="CA57" s="27"/>
      <c r="CB57" s="27"/>
      <c r="CC57" s="27"/>
      <c r="CD57" s="27"/>
      <c r="CE57" s="27"/>
      <c r="CF57" s="27"/>
    </row>
    <row r="58" spans="1:84" ht="15" customHeight="1">
      <c r="A58" s="4"/>
      <c r="B58" s="439">
        <f>IF($Q$8=$Q$7,CENY!B87,IF($Q$7=$Q$9,CENY!B105,CENY!B123))</f>
        <v>9255016</v>
      </c>
      <c r="C58" s="44" t="str">
        <f>VLOOKUP(B58,CENY!$B$11:$G$1034,2,FALSE)</f>
        <v>AVANTECH YOU BOK V101 MM NL450 MM STŘÍBRNÝ LEVÝ</v>
      </c>
      <c r="D58" s="488">
        <f>VLOOKUP(B58,CENY!$B$11:$G$1034,3,FALSE)</f>
        <v>20</v>
      </c>
      <c r="E58" s="64" t="str">
        <f>IF(VLOOKUP(B58,CENY!$B$11:$G$1034,4,FALSE)=0,"",VLOOKUP(B58,CENY!$B$11:$G$1034,4,FALSE))</f>
        <v/>
      </c>
      <c r="F58" s="45" t="str">
        <f t="shared" si="6"/>
        <v/>
      </c>
      <c r="G58" s="59">
        <f>VLOOKUP(B58,CENY!$B$11:$M$1034,12,FALSE)</f>
        <v>189.75</v>
      </c>
      <c r="H58" s="61" t="str">
        <f t="shared" si="0"/>
        <v xml:space="preserve"> CZK</v>
      </c>
      <c r="I58" s="46" t="str">
        <f t="shared" si="1"/>
        <v/>
      </c>
      <c r="J58" s="138"/>
      <c r="K58" s="47">
        <f>VLOOKUP(B58,CENY!$B$11:$M$1034,8,FALSE)</f>
        <v>0</v>
      </c>
      <c r="L58" s="47" t="str">
        <f>VLOOKUP(B58,CENY!$B$11:$M$1034,9,FALSE)</f>
        <v xml:space="preserve"> </v>
      </c>
      <c r="M58" s="55"/>
      <c r="N58" s="38">
        <f t="shared" si="7"/>
        <v>0</v>
      </c>
      <c r="O58" s="39">
        <v>0</v>
      </c>
      <c r="P58" s="41"/>
      <c r="Q58" s="450">
        <f>'AVT101'!BI13</f>
        <v>0</v>
      </c>
      <c r="R58" s="41"/>
      <c r="S58" s="41"/>
      <c r="T58" s="41"/>
      <c r="U58" s="41"/>
      <c r="V58" s="41"/>
      <c r="W58" s="41"/>
      <c r="X58" s="41"/>
      <c r="Y58" s="41"/>
      <c r="Z58" s="41"/>
      <c r="AA58" s="450">
        <f>'AVT101(vn-A)'!BI13</f>
        <v>0</v>
      </c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50">
        <f>'AVT-celny-101+187'!BI13</f>
        <v>0</v>
      </c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203"/>
      <c r="BP58" s="203"/>
      <c r="BQ58" s="203"/>
      <c r="BR58" s="203"/>
      <c r="BS58" s="203"/>
      <c r="BT58" s="203"/>
      <c r="BU58" s="203"/>
      <c r="BV58" s="203"/>
      <c r="BW58" s="62"/>
      <c r="BX58" s="185"/>
      <c r="BY58" s="35"/>
      <c r="BZ58" s="27"/>
      <c r="CA58" s="27"/>
      <c r="CB58" s="27"/>
      <c r="CC58" s="27"/>
      <c r="CD58" s="27"/>
      <c r="CE58" s="27"/>
      <c r="CF58" s="27"/>
    </row>
    <row r="59" spans="1:84" ht="15" customHeight="1">
      <c r="A59" s="4"/>
      <c r="B59" s="439">
        <f>IF($Q$8=$Q$7,CENY!B88,IF($Q$7=$Q$9,CENY!B106,CENY!B124))</f>
        <v>9255017</v>
      </c>
      <c r="C59" s="48" t="str">
        <f>VLOOKUP(B59,CENY!$B$11:$G$1034,2,FALSE)</f>
        <v>AVANTECH YOU BOK V101 MM NL450 MM STŘÍBRNÝ PRAVÝ</v>
      </c>
      <c r="D59" s="488">
        <f>VLOOKUP(B59,CENY!$B$11:$G$1034,3,FALSE)</f>
        <v>20</v>
      </c>
      <c r="E59" s="63" t="str">
        <f>IF(VLOOKUP(B59,CENY!$B$11:$G$1034,4,FALSE)=0,"",VLOOKUP(B59,CENY!$B$11:$G$1034,4,FALSE))</f>
        <v/>
      </c>
      <c r="F59" s="45" t="str">
        <f t="shared" si="6"/>
        <v/>
      </c>
      <c r="G59" s="59">
        <f>VLOOKUP(B59,CENY!$B$11:$M$1034,12,FALSE)</f>
        <v>189.75</v>
      </c>
      <c r="H59" s="61" t="str">
        <f t="shared" si="0"/>
        <v xml:space="preserve"> CZK</v>
      </c>
      <c r="I59" s="46" t="str">
        <f t="shared" si="1"/>
        <v/>
      </c>
      <c r="J59" s="138"/>
      <c r="K59" s="47">
        <f>VLOOKUP(B59,CENY!$B$11:$M$1034,8,FALSE)</f>
        <v>0</v>
      </c>
      <c r="L59" s="47" t="str">
        <f>VLOOKUP(B59,CENY!$B$11:$M$1034,9,FALSE)</f>
        <v xml:space="preserve"> </v>
      </c>
      <c r="M59" s="55"/>
      <c r="N59" s="38">
        <f t="shared" si="7"/>
        <v>0</v>
      </c>
      <c r="O59" s="39">
        <v>0</v>
      </c>
      <c r="P59" s="41"/>
      <c r="Q59" s="450">
        <f>'AVT101'!BI14</f>
        <v>0</v>
      </c>
      <c r="R59" s="41"/>
      <c r="S59" s="41"/>
      <c r="T59" s="41"/>
      <c r="U59" s="41"/>
      <c r="V59" s="41"/>
      <c r="W59" s="41"/>
      <c r="X59" s="41"/>
      <c r="Y59" s="41"/>
      <c r="Z59" s="41"/>
      <c r="AA59" s="450">
        <f>'AVT101(vn-A)'!BI14</f>
        <v>0</v>
      </c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50">
        <f>'AVT-celny-101+187'!BI14</f>
        <v>0</v>
      </c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203"/>
      <c r="BP59" s="203"/>
      <c r="BQ59" s="203"/>
      <c r="BR59" s="203"/>
      <c r="BS59" s="203"/>
      <c r="BT59" s="203"/>
      <c r="BU59" s="203"/>
      <c r="BV59" s="203"/>
      <c r="BW59" s="62"/>
      <c r="BX59" s="185"/>
      <c r="BY59" s="35"/>
      <c r="BZ59" s="27"/>
      <c r="CA59" s="27"/>
      <c r="CB59" s="27"/>
      <c r="CC59" s="27"/>
      <c r="CD59" s="27"/>
      <c r="CE59" s="27"/>
      <c r="CF59" s="27"/>
    </row>
    <row r="60" spans="1:84" ht="15" customHeight="1">
      <c r="A60" s="4"/>
      <c r="B60" s="439">
        <f>IF($Q$8=$Q$7,CENY!B89,IF($Q$7=$Q$9,CENY!B107,CENY!B125))</f>
        <v>9255018</v>
      </c>
      <c r="C60" s="48" t="str">
        <f>VLOOKUP(B60,CENY!$B$11:$G$1034,2,FALSE)</f>
        <v>AVANTECH YOU BOK V101 MM NL500 MM STŘÍBRNÝ LEVÝ</v>
      </c>
      <c r="D60" s="488">
        <f>VLOOKUP(B60,CENY!$B$11:$G$1034,3,FALSE)</f>
        <v>20</v>
      </c>
      <c r="E60" s="63" t="str">
        <f>IF(VLOOKUP(B60,CENY!$B$11:$G$1034,4,FALSE)=0,"",VLOOKUP(B60,CENY!$B$11:$G$1034,4,FALSE))</f>
        <v/>
      </c>
      <c r="F60" s="45" t="str">
        <f t="shared" si="6"/>
        <v/>
      </c>
      <c r="G60" s="59">
        <f>VLOOKUP(B60,CENY!$B$11:$M$1034,12,FALSE)</f>
        <v>193.06</v>
      </c>
      <c r="H60" s="61" t="str">
        <f t="shared" si="0"/>
        <v xml:space="preserve"> CZK</v>
      </c>
      <c r="I60" s="46" t="str">
        <f t="shared" si="1"/>
        <v/>
      </c>
      <c r="J60" s="138"/>
      <c r="K60" s="47">
        <f>VLOOKUP(B60,CENY!$B$11:$M$1034,8,FALSE)</f>
        <v>0</v>
      </c>
      <c r="L60" s="47" t="str">
        <f>VLOOKUP(B60,CENY!$B$11:$M$1034,9,FALSE)</f>
        <v xml:space="preserve"> </v>
      </c>
      <c r="M60" s="55"/>
      <c r="N60" s="38">
        <f t="shared" si="7"/>
        <v>0</v>
      </c>
      <c r="O60" s="39">
        <v>0</v>
      </c>
      <c r="P60" s="41"/>
      <c r="Q60" s="450">
        <f>'AVT101'!BI15</f>
        <v>0</v>
      </c>
      <c r="R60" s="41"/>
      <c r="S60" s="41"/>
      <c r="T60" s="41"/>
      <c r="U60" s="41"/>
      <c r="V60" s="41"/>
      <c r="W60" s="41"/>
      <c r="X60" s="41"/>
      <c r="Y60" s="41"/>
      <c r="Z60" s="41"/>
      <c r="AA60" s="450">
        <f>'AVT101(vn-A)'!BI15</f>
        <v>0</v>
      </c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50">
        <f>'AVT-celny-101+187'!BI15</f>
        <v>0</v>
      </c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203"/>
      <c r="BP60" s="203"/>
      <c r="BQ60" s="203"/>
      <c r="BR60" s="203"/>
      <c r="BS60" s="203"/>
      <c r="BT60" s="203"/>
      <c r="BU60" s="203"/>
      <c r="BV60" s="203"/>
      <c r="BW60" s="62"/>
      <c r="BX60" s="185"/>
      <c r="BY60" s="35"/>
      <c r="BZ60" s="27"/>
      <c r="CA60" s="27"/>
      <c r="CB60" s="27"/>
      <c r="CC60" s="27"/>
      <c r="CD60" s="27"/>
      <c r="CE60" s="27"/>
      <c r="CF60" s="27"/>
    </row>
    <row r="61" spans="1:84" ht="15" customHeight="1">
      <c r="A61" s="4"/>
      <c r="B61" s="439">
        <f>IF($Q$8=$Q$7,CENY!B90,IF($Q$7=$Q$9,CENY!B108,CENY!B126))</f>
        <v>9255019</v>
      </c>
      <c r="C61" s="48" t="str">
        <f>VLOOKUP(B61,CENY!$B$11:$G$1034,2,FALSE)</f>
        <v>AVANTECH YOU BOK V101 MM NL500 MM STŘÍBRNÝ PRAVÝ</v>
      </c>
      <c r="D61" s="488">
        <f>VLOOKUP(B61,CENY!$B$11:$G$1034,3,FALSE)</f>
        <v>20</v>
      </c>
      <c r="E61" s="63" t="str">
        <f>IF(VLOOKUP(B61,CENY!$B$11:$G$1034,4,FALSE)=0,"",VLOOKUP(B61,CENY!$B$11:$G$1034,4,FALSE))</f>
        <v/>
      </c>
      <c r="F61" s="45" t="str">
        <f t="shared" si="6"/>
        <v/>
      </c>
      <c r="G61" s="59">
        <f>VLOOKUP(B61,CENY!$B$11:$M$1034,12,FALSE)</f>
        <v>193.06</v>
      </c>
      <c r="H61" s="61" t="str">
        <f t="shared" si="0"/>
        <v xml:space="preserve"> CZK</v>
      </c>
      <c r="I61" s="46" t="str">
        <f t="shared" si="1"/>
        <v/>
      </c>
      <c r="J61" s="138"/>
      <c r="K61" s="47">
        <f>VLOOKUP(B61,CENY!$B$11:$M$1034,8,FALSE)</f>
        <v>0</v>
      </c>
      <c r="L61" s="47" t="str">
        <f>VLOOKUP(B61,CENY!$B$11:$M$1034,9,FALSE)</f>
        <v xml:space="preserve"> </v>
      </c>
      <c r="M61" s="55"/>
      <c r="N61" s="38">
        <f t="shared" si="7"/>
        <v>0</v>
      </c>
      <c r="O61" s="39">
        <v>0</v>
      </c>
      <c r="P61" s="41"/>
      <c r="Q61" s="450">
        <f>'AVT101'!BI16</f>
        <v>0</v>
      </c>
      <c r="R61" s="41"/>
      <c r="S61" s="41"/>
      <c r="T61" s="41"/>
      <c r="U61" s="41"/>
      <c r="V61" s="41"/>
      <c r="W61" s="41"/>
      <c r="X61" s="41"/>
      <c r="Y61" s="41"/>
      <c r="Z61" s="41"/>
      <c r="AA61" s="450">
        <f>'AVT101(vn-A)'!BI16</f>
        <v>0</v>
      </c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50">
        <f>'AVT-celny-101+187'!BI16</f>
        <v>0</v>
      </c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203"/>
      <c r="BP61" s="203"/>
      <c r="BQ61" s="203"/>
      <c r="BR61" s="203"/>
      <c r="BS61" s="203"/>
      <c r="BT61" s="203"/>
      <c r="BU61" s="203"/>
      <c r="BV61" s="203"/>
      <c r="BW61" s="62"/>
      <c r="BX61" s="185"/>
      <c r="BY61" s="35"/>
      <c r="BZ61" s="27"/>
      <c r="CA61" s="27"/>
      <c r="CB61" s="27"/>
      <c r="CC61" s="27"/>
      <c r="CD61" s="27"/>
      <c r="CE61" s="27"/>
      <c r="CF61" s="27"/>
    </row>
    <row r="62" spans="1:84" ht="15" customHeight="1">
      <c r="A62" s="4"/>
      <c r="B62" s="439">
        <f>IF($Q$8=$Q$7,CENY!B91,IF($Q$7=$Q$9,CENY!B109,CENY!B127))</f>
        <v>9255020</v>
      </c>
      <c r="C62" s="48" t="str">
        <f>VLOOKUP(B62,CENY!$B$11:$G$1034,2,FALSE)</f>
        <v>AVANTECH YOU BOK V101 MM NL550 MM STŘÍBRNÝ LEVÝ</v>
      </c>
      <c r="D62" s="488">
        <f>VLOOKUP(B62,CENY!$B$11:$G$1034,3,FALSE)</f>
        <v>20</v>
      </c>
      <c r="E62" s="63" t="str">
        <f>IF(VLOOKUP(B62,CENY!$B$11:$G$1034,4,FALSE)=0,"",VLOOKUP(B62,CENY!$B$11:$G$1034,4,FALSE))</f>
        <v/>
      </c>
      <c r="F62" s="45" t="str">
        <f t="shared" si="6"/>
        <v/>
      </c>
      <c r="G62" s="59">
        <f>VLOOKUP(B62,CENY!$B$11:$M$1034,12,FALSE)</f>
        <v>196.37</v>
      </c>
      <c r="H62" s="61" t="str">
        <f t="shared" si="0"/>
        <v xml:space="preserve"> CZK</v>
      </c>
      <c r="I62" s="46" t="str">
        <f t="shared" si="1"/>
        <v/>
      </c>
      <c r="J62" s="138"/>
      <c r="K62" s="47">
        <f>VLOOKUP(B62,CENY!$B$11:$M$1034,8,FALSE)</f>
        <v>0</v>
      </c>
      <c r="L62" s="47" t="str">
        <f>VLOOKUP(B62,CENY!$B$11:$M$1034,9,FALSE)</f>
        <v xml:space="preserve"> </v>
      </c>
      <c r="M62" s="55"/>
      <c r="N62" s="38">
        <f t="shared" si="7"/>
        <v>0</v>
      </c>
      <c r="O62" s="39">
        <v>0</v>
      </c>
      <c r="P62" s="41"/>
      <c r="Q62" s="450">
        <f>'AVT101'!BI17</f>
        <v>0</v>
      </c>
      <c r="R62" s="41"/>
      <c r="S62" s="41"/>
      <c r="T62" s="41"/>
      <c r="U62" s="41"/>
      <c r="V62" s="41"/>
      <c r="W62" s="41"/>
      <c r="X62" s="41"/>
      <c r="Y62" s="41"/>
      <c r="Z62" s="41"/>
      <c r="AA62" s="450">
        <f>'AVT101(vn-A)'!BI17</f>
        <v>0</v>
      </c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50">
        <f>'AVT-celny-101+187'!BI17</f>
        <v>0</v>
      </c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203"/>
      <c r="BP62" s="203"/>
      <c r="BQ62" s="203"/>
      <c r="BR62" s="203"/>
      <c r="BS62" s="203"/>
      <c r="BT62" s="203"/>
      <c r="BU62" s="203"/>
      <c r="BV62" s="203"/>
      <c r="BW62" s="62"/>
      <c r="BX62" s="185"/>
      <c r="BY62" s="35"/>
      <c r="BZ62" s="27"/>
      <c r="CA62" s="27"/>
      <c r="CB62" s="27"/>
      <c r="CC62" s="27"/>
      <c r="CD62" s="27"/>
      <c r="CE62" s="27"/>
      <c r="CF62" s="27"/>
    </row>
    <row r="63" spans="1:84" ht="15" customHeight="1">
      <c r="A63" s="4"/>
      <c r="B63" s="439">
        <f>IF($Q$8=$Q$7,CENY!B92,IF($Q$7=$Q$9,CENY!B110,CENY!B128))</f>
        <v>9255021</v>
      </c>
      <c r="C63" s="48" t="str">
        <f>VLOOKUP(B63,CENY!$B$11:$G$1034,2,FALSE)</f>
        <v>AVANTECH YOU BOK V101 MM NL550 MM STŘÍBRNÝ PRAVÝ</v>
      </c>
      <c r="D63" s="488">
        <f>VLOOKUP(B63,CENY!$B$11:$G$1034,3,FALSE)</f>
        <v>20</v>
      </c>
      <c r="E63" s="63" t="str">
        <f>IF(VLOOKUP(B63,CENY!$B$11:$G$1034,4,FALSE)=0,"",VLOOKUP(B63,CENY!$B$11:$G$1034,4,FALSE))</f>
        <v/>
      </c>
      <c r="F63" s="45" t="str">
        <f t="shared" si="6"/>
        <v/>
      </c>
      <c r="G63" s="59">
        <f>VLOOKUP(B63,CENY!$B$11:$M$1034,12,FALSE)</f>
        <v>196.37</v>
      </c>
      <c r="H63" s="61" t="str">
        <f t="shared" si="0"/>
        <v xml:space="preserve"> CZK</v>
      </c>
      <c r="I63" s="46" t="str">
        <f t="shared" si="1"/>
        <v/>
      </c>
      <c r="J63" s="138"/>
      <c r="K63" s="47">
        <f>VLOOKUP(B63,CENY!$B$11:$M$1034,8,FALSE)</f>
        <v>0</v>
      </c>
      <c r="L63" s="47" t="str">
        <f>VLOOKUP(B63,CENY!$B$11:$M$1034,9,FALSE)</f>
        <v xml:space="preserve"> </v>
      </c>
      <c r="M63" s="55"/>
      <c r="N63" s="38">
        <f t="shared" si="7"/>
        <v>0</v>
      </c>
      <c r="O63" s="39">
        <v>0</v>
      </c>
      <c r="P63" s="41"/>
      <c r="Q63" s="450">
        <f>'AVT101'!BI18</f>
        <v>0</v>
      </c>
      <c r="R63" s="41"/>
      <c r="S63" s="41"/>
      <c r="T63" s="41"/>
      <c r="U63" s="41"/>
      <c r="V63" s="41"/>
      <c r="W63" s="41"/>
      <c r="X63" s="41"/>
      <c r="Y63" s="41"/>
      <c r="Z63" s="41"/>
      <c r="AA63" s="450">
        <f>'AVT101(vn-A)'!BI18</f>
        <v>0</v>
      </c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50">
        <f>'AVT-celny-101+187'!BI18</f>
        <v>0</v>
      </c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203"/>
      <c r="BP63" s="203"/>
      <c r="BQ63" s="203"/>
      <c r="BR63" s="203"/>
      <c r="BS63" s="203"/>
      <c r="BT63" s="203"/>
      <c r="BU63" s="203"/>
      <c r="BV63" s="203"/>
      <c r="BW63" s="62"/>
      <c r="BX63" s="185"/>
      <c r="BY63" s="35"/>
      <c r="BZ63" s="27"/>
      <c r="CA63" s="27"/>
      <c r="CB63" s="27"/>
      <c r="CC63" s="27"/>
      <c r="CD63" s="27"/>
      <c r="CE63" s="27"/>
      <c r="CF63" s="27"/>
    </row>
    <row r="64" spans="1:84" ht="15" customHeight="1">
      <c r="A64" s="4"/>
      <c r="B64" s="439">
        <f>IF($Q$8=$Q$7,CENY!B93,IF($Q$7=$Q$9,CENY!B111,CENY!B129))</f>
        <v>9255022</v>
      </c>
      <c r="C64" s="48" t="str">
        <f>VLOOKUP(B64,CENY!$B$11:$G$1034,2,FALSE)</f>
        <v>AVANTECH YOU BOK V101 MM NL600 MM STŘÍBRNÝ LEVÝ</v>
      </c>
      <c r="D64" s="488">
        <f>VLOOKUP(B64,CENY!$B$11:$G$1034,3,FALSE)</f>
        <v>20</v>
      </c>
      <c r="E64" s="63" t="str">
        <f>IF(VLOOKUP(B64,CENY!$B$11:$G$1034,4,FALSE)=0,"",VLOOKUP(B64,CENY!$B$11:$G$1034,4,FALSE))</f>
        <v/>
      </c>
      <c r="F64" s="45" t="str">
        <f t="shared" si="6"/>
        <v/>
      </c>
      <c r="G64" s="59">
        <f>VLOOKUP(B64,CENY!$B$11:$M$1034,12,FALSE)</f>
        <v>201.36</v>
      </c>
      <c r="H64" s="61" t="str">
        <f t="shared" si="0"/>
        <v xml:space="preserve"> CZK</v>
      </c>
      <c r="I64" s="46" t="str">
        <f t="shared" si="1"/>
        <v/>
      </c>
      <c r="J64" s="138"/>
      <c r="K64" s="47">
        <f>VLOOKUP(B64,CENY!$B$11:$M$1034,8,FALSE)</f>
        <v>0</v>
      </c>
      <c r="L64" s="47" t="str">
        <f>VLOOKUP(B64,CENY!$B$11:$M$1034,9,FALSE)</f>
        <v xml:space="preserve"> </v>
      </c>
      <c r="M64" s="55"/>
      <c r="N64" s="38">
        <f t="shared" si="7"/>
        <v>0</v>
      </c>
      <c r="O64" s="39">
        <v>0</v>
      </c>
      <c r="P64" s="41"/>
      <c r="Q64" s="450">
        <f>'AVT101'!BI19</f>
        <v>0</v>
      </c>
      <c r="R64" s="41"/>
      <c r="S64" s="41"/>
      <c r="T64" s="41"/>
      <c r="U64" s="41"/>
      <c r="V64" s="41"/>
      <c r="W64" s="41"/>
      <c r="X64" s="41"/>
      <c r="Y64" s="41"/>
      <c r="Z64" s="41"/>
      <c r="AA64" s="450">
        <f>'AVT101(vn-A)'!BI19</f>
        <v>0</v>
      </c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50">
        <f>'AVT-celny-101+187'!BI19</f>
        <v>0</v>
      </c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203"/>
      <c r="BP64" s="203"/>
      <c r="BQ64" s="203"/>
      <c r="BR64" s="203"/>
      <c r="BS64" s="203"/>
      <c r="BT64" s="203"/>
      <c r="BU64" s="203"/>
      <c r="BV64" s="203"/>
      <c r="BW64" s="62"/>
      <c r="BX64" s="185"/>
      <c r="BY64" s="35"/>
      <c r="BZ64" s="27"/>
      <c r="CA64" s="27"/>
      <c r="CB64" s="27"/>
      <c r="CC64" s="27"/>
      <c r="CD64" s="27"/>
      <c r="CE64" s="27"/>
      <c r="CF64" s="27"/>
    </row>
    <row r="65" spans="1:84" ht="15" customHeight="1">
      <c r="A65" s="4"/>
      <c r="B65" s="439">
        <f>IF($Q$8=$Q$7,CENY!B94,IF($Q$7=$Q$9,CENY!B112,CENY!B130))</f>
        <v>9255023</v>
      </c>
      <c r="C65" s="48" t="str">
        <f>VLOOKUP(B65,CENY!$B$11:$G$1034,2,FALSE)</f>
        <v>AVANTECH YOU BOK V101 MM NL600 MM STŘÍBRNÝ PRAVÝ</v>
      </c>
      <c r="D65" s="488">
        <f>VLOOKUP(B65,CENY!$B$11:$G$1034,3,FALSE)</f>
        <v>20</v>
      </c>
      <c r="E65" s="63" t="str">
        <f>IF(VLOOKUP(B65,CENY!$B$11:$G$1034,4,FALSE)=0,"",VLOOKUP(B65,CENY!$B$11:$G$1034,4,FALSE))</f>
        <v/>
      </c>
      <c r="F65" s="45" t="str">
        <f t="shared" si="6"/>
        <v/>
      </c>
      <c r="G65" s="59">
        <f>VLOOKUP(B65,CENY!$B$11:$M$1034,12,FALSE)</f>
        <v>201.36</v>
      </c>
      <c r="H65" s="61" t="str">
        <f t="shared" si="0"/>
        <v xml:space="preserve"> CZK</v>
      </c>
      <c r="I65" s="46" t="str">
        <f t="shared" si="1"/>
        <v/>
      </c>
      <c r="J65" s="138"/>
      <c r="K65" s="47">
        <f>VLOOKUP(B65,CENY!$B$11:$M$1034,8,FALSE)</f>
        <v>0</v>
      </c>
      <c r="L65" s="47" t="str">
        <f>VLOOKUP(B65,CENY!$B$11:$M$1034,9,FALSE)</f>
        <v xml:space="preserve"> </v>
      </c>
      <c r="M65" s="55"/>
      <c r="N65" s="38">
        <f t="shared" si="7"/>
        <v>0</v>
      </c>
      <c r="O65" s="39">
        <v>0</v>
      </c>
      <c r="P65" s="41"/>
      <c r="Q65" s="450">
        <f>'AVT101'!BI20</f>
        <v>0</v>
      </c>
      <c r="R65" s="41"/>
      <c r="S65" s="41"/>
      <c r="T65" s="41"/>
      <c r="U65" s="41"/>
      <c r="V65" s="41"/>
      <c r="W65" s="41"/>
      <c r="X65" s="41"/>
      <c r="Y65" s="41"/>
      <c r="Z65" s="41"/>
      <c r="AA65" s="450">
        <f>'AVT101(vn-A)'!BI20</f>
        <v>0</v>
      </c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50">
        <f>'AVT-celny-101+187'!BI20</f>
        <v>0</v>
      </c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203"/>
      <c r="BP65" s="203"/>
      <c r="BQ65" s="203"/>
      <c r="BR65" s="203"/>
      <c r="BS65" s="203"/>
      <c r="BT65" s="203"/>
      <c r="BU65" s="203"/>
      <c r="BV65" s="203"/>
      <c r="BW65" s="62"/>
      <c r="BX65" s="185"/>
      <c r="BY65" s="35"/>
      <c r="BZ65" s="27"/>
      <c r="CA65" s="27"/>
      <c r="CB65" s="27"/>
      <c r="CC65" s="27"/>
      <c r="CD65" s="27"/>
      <c r="CE65" s="27"/>
      <c r="CF65" s="27"/>
    </row>
    <row r="66" spans="1:84" ht="15" customHeight="1">
      <c r="A66" s="4"/>
      <c r="B66" s="439">
        <f>IF($Q$8=$Q$7,CENY!B95,IF($Q$7=$Q$9,CENY!B113,CENY!B131))</f>
        <v>9255024</v>
      </c>
      <c r="C66" s="48" t="str">
        <f>VLOOKUP(B66,CENY!$B$11:$G$1034,2,FALSE)</f>
        <v>AVANTECH YOU BOK V101 MM NL650 MM STŘÍBRNÝ LEVÝ</v>
      </c>
      <c r="D66" s="488">
        <f>VLOOKUP(B66,CENY!$B$11:$G$1034,3,FALSE)</f>
        <v>20</v>
      </c>
      <c r="E66" s="63" t="str">
        <f>IF(VLOOKUP(B66,CENY!$B$11:$G$1034,4,FALSE)=0,"",VLOOKUP(B66,CENY!$B$11:$G$1034,4,FALSE))</f>
        <v/>
      </c>
      <c r="F66" s="45" t="str">
        <f t="shared" si="6"/>
        <v/>
      </c>
      <c r="G66" s="59">
        <f>VLOOKUP(B66,CENY!$B$11:$M$1034,12,FALSE)</f>
        <v>208.15</v>
      </c>
      <c r="H66" s="61" t="str">
        <f t="shared" si="0"/>
        <v xml:space="preserve"> CZK</v>
      </c>
      <c r="I66" s="46" t="str">
        <f t="shared" si="1"/>
        <v/>
      </c>
      <c r="J66" s="138"/>
      <c r="K66" s="47">
        <f>VLOOKUP(B66,CENY!$B$11:$M$1034,8,FALSE)</f>
        <v>0</v>
      </c>
      <c r="L66" s="47" t="str">
        <f>VLOOKUP(B66,CENY!$B$11:$M$1034,9,FALSE)</f>
        <v xml:space="preserve"> </v>
      </c>
      <c r="M66" s="55"/>
      <c r="N66" s="38">
        <f t="shared" si="7"/>
        <v>0</v>
      </c>
      <c r="O66" s="39">
        <v>0</v>
      </c>
      <c r="P66" s="41"/>
      <c r="Q66" s="450">
        <f>'AVT101'!BI21</f>
        <v>0</v>
      </c>
      <c r="R66" s="41"/>
      <c r="S66" s="41"/>
      <c r="T66" s="41"/>
      <c r="U66" s="41"/>
      <c r="V66" s="41"/>
      <c r="W66" s="41"/>
      <c r="X66" s="41"/>
      <c r="Y66" s="41"/>
      <c r="Z66" s="41"/>
      <c r="AA66" s="450">
        <f>'AVT101(vn-A)'!BI21</f>
        <v>0</v>
      </c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50">
        <f>'AVT-celny-101+187'!BI21</f>
        <v>0</v>
      </c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203"/>
      <c r="BP66" s="203"/>
      <c r="BQ66" s="203"/>
      <c r="BR66" s="203"/>
      <c r="BS66" s="203"/>
      <c r="BT66" s="203"/>
      <c r="BU66" s="203"/>
      <c r="BV66" s="203"/>
      <c r="BW66" s="62"/>
      <c r="BX66" s="185"/>
      <c r="BY66" s="35"/>
      <c r="BZ66" s="27"/>
      <c r="CA66" s="27"/>
      <c r="CB66" s="27"/>
      <c r="CC66" s="27"/>
      <c r="CD66" s="27"/>
      <c r="CE66" s="27"/>
      <c r="CF66" s="27"/>
    </row>
    <row r="67" spans="1:84" ht="15" customHeight="1">
      <c r="A67" s="4"/>
      <c r="B67" s="439">
        <f>IF($Q$8=$Q$7,CENY!B96,IF($Q$7=$Q$9,CENY!B114,CENY!B132))</f>
        <v>9255025</v>
      </c>
      <c r="C67" s="48" t="str">
        <f>VLOOKUP(B67,CENY!$B$11:$G$1034,2,FALSE)</f>
        <v>AVANTECH YOU BOK V101 MM NL650 MM STŘÍBRNÝ PRAVÝ</v>
      </c>
      <c r="D67" s="488">
        <f>VLOOKUP(B67,CENY!$B$11:$G$1034,3,FALSE)</f>
        <v>20</v>
      </c>
      <c r="E67" s="63" t="str">
        <f>IF(VLOOKUP(B67,CENY!$B$11:$G$1034,4,FALSE)=0,"",VLOOKUP(B67,CENY!$B$11:$G$1034,4,FALSE))</f>
        <v/>
      </c>
      <c r="F67" s="45" t="str">
        <f t="shared" si="6"/>
        <v/>
      </c>
      <c r="G67" s="59">
        <f>VLOOKUP(B67,CENY!$B$11:$M$1034,12,FALSE)</f>
        <v>208.15</v>
      </c>
      <c r="H67" s="61" t="str">
        <f t="shared" si="0"/>
        <v xml:space="preserve"> CZK</v>
      </c>
      <c r="I67" s="46" t="str">
        <f t="shared" si="1"/>
        <v/>
      </c>
      <c r="J67" s="138"/>
      <c r="K67" s="47">
        <f>VLOOKUP(B67,CENY!$B$11:$M$1034,8,FALSE)</f>
        <v>0</v>
      </c>
      <c r="L67" s="47" t="str">
        <f>VLOOKUP(B67,CENY!$B$11:$M$1034,9,FALSE)</f>
        <v xml:space="preserve"> </v>
      </c>
      <c r="M67" s="55"/>
      <c r="N67" s="38">
        <f t="shared" si="7"/>
        <v>0</v>
      </c>
      <c r="O67" s="39">
        <v>0</v>
      </c>
      <c r="P67" s="41"/>
      <c r="Q67" s="450">
        <f>'AVT101'!BI22</f>
        <v>0</v>
      </c>
      <c r="R67" s="41"/>
      <c r="S67" s="41"/>
      <c r="T67" s="41"/>
      <c r="U67" s="41"/>
      <c r="V67" s="41"/>
      <c r="W67" s="41"/>
      <c r="X67" s="41"/>
      <c r="Y67" s="41"/>
      <c r="Z67" s="41"/>
      <c r="AA67" s="450">
        <f>'AVT101(vn-A)'!BI22</f>
        <v>0</v>
      </c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50">
        <f>'AVT-celny-101+187'!BI22</f>
        <v>0</v>
      </c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203"/>
      <c r="BP67" s="203"/>
      <c r="BQ67" s="203"/>
      <c r="BR67" s="203"/>
      <c r="BS67" s="203"/>
      <c r="BT67" s="203"/>
      <c r="BU67" s="203"/>
      <c r="BV67" s="203"/>
      <c r="BW67" s="62"/>
      <c r="BX67" s="185"/>
      <c r="BY67" s="35"/>
      <c r="BZ67" s="27"/>
      <c r="CA67" s="27"/>
      <c r="CB67" s="27"/>
      <c r="CC67" s="27"/>
      <c r="CD67" s="27"/>
      <c r="CE67" s="27"/>
      <c r="CF67" s="27"/>
    </row>
    <row r="68" spans="1:84" ht="15" customHeight="1">
      <c r="A68" s="4"/>
      <c r="B68" s="439">
        <f>CENY!B160</f>
        <v>9255835</v>
      </c>
      <c r="C68" s="48" t="str">
        <f>VLOOKUP(B68,CENY!$B$11:$G$1034,2,FALSE)</f>
        <v>AVANTECH YOU PŘÍCHYTKA ČELA V101 MM K NAŠROUBOVÁNÍ</v>
      </c>
      <c r="D68" s="488">
        <f>VLOOKUP(B68,CENY!$B$11:$G$1034,3,FALSE)</f>
        <v>200</v>
      </c>
      <c r="E68" s="63" t="str">
        <f>IF(VLOOKUP(B68,CENY!$B$11:$G$1034,4,FALSE)=0,"",VLOOKUP(B68,CENY!$B$11:$G$1034,4,FALSE))</f>
        <v/>
      </c>
      <c r="F68" s="45" t="str">
        <f>IF(J68&lt;&gt;"",J68,IF(N68=0,"",IF(B68=B69,"",N68)))</f>
        <v/>
      </c>
      <c r="G68" s="59">
        <f>VLOOKUP(B68,CENY!$B$11:$M$1034,12,FALSE)</f>
        <v>26.57</v>
      </c>
      <c r="H68" s="61" t="str">
        <f>IF(G68="","",$H$22)</f>
        <v xml:space="preserve"> CZK</v>
      </c>
      <c r="I68" s="46" t="str">
        <f>IF(F68="","",G68*F68)</f>
        <v/>
      </c>
      <c r="J68" s="138"/>
      <c r="K68" s="47">
        <f>VLOOKUP(B68,CENY!$B$11:$M$1034,8,FALSE)</f>
        <v>0</v>
      </c>
      <c r="L68" s="47" t="str">
        <f>VLOOKUP(B68,CENY!$B$11:$M$1034,9,FALSE)</f>
        <v xml:space="preserve"> </v>
      </c>
      <c r="M68" s="55"/>
      <c r="N68" s="38">
        <f>SUM(P68:BX68)</f>
        <v>0</v>
      </c>
      <c r="O68" s="39">
        <v>0</v>
      </c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50">
        <f>'AVT101(vn-A)'!BI24</f>
        <v>0</v>
      </c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203"/>
      <c r="BP68" s="203"/>
      <c r="BQ68" s="203"/>
      <c r="BR68" s="203"/>
      <c r="BS68" s="203"/>
      <c r="BT68" s="203"/>
      <c r="BU68" s="203"/>
      <c r="BV68" s="203"/>
      <c r="BW68" s="62"/>
      <c r="BX68" s="185"/>
      <c r="BY68" s="35"/>
      <c r="BZ68" s="27"/>
      <c r="CA68" s="27"/>
      <c r="CB68" s="27"/>
      <c r="CC68" s="27"/>
      <c r="CD68" s="27"/>
      <c r="CE68" s="27"/>
      <c r="CF68" s="27"/>
    </row>
    <row r="69" spans="1:84" ht="15" customHeight="1">
      <c r="A69" s="4"/>
      <c r="B69" s="439">
        <f>IF($T$7=$T$8,CENY!B160,CENY!B161)</f>
        <v>9255835</v>
      </c>
      <c r="C69" s="48" t="str">
        <f>VLOOKUP(B69,CENY!$B$11:$G$1034,2,FALSE)</f>
        <v>AVANTECH YOU PŘÍCHYTKA ČELA V101 MM K NAŠROUBOVÁNÍ</v>
      </c>
      <c r="D69" s="488">
        <f>VLOOKUP(B69,CENY!$B$11:$G$1034,3,FALSE)</f>
        <v>200</v>
      </c>
      <c r="E69" s="63" t="str">
        <f>IF(VLOOKUP(B69,CENY!$B$11:$G$1034,4,FALSE)=0,"",VLOOKUP(B69,CENY!$B$11:$G$1034,4,FALSE))</f>
        <v/>
      </c>
      <c r="F69" s="45" t="str">
        <f>IF(J69&lt;&gt;"",J69,IF(N69=0,"",IF(B68=B69,N69+N68,N69)))</f>
        <v/>
      </c>
      <c r="G69" s="59">
        <f>VLOOKUP(B69,CENY!$B$11:$M$1034,12,FALSE)</f>
        <v>26.57</v>
      </c>
      <c r="H69" s="61" t="str">
        <f t="shared" si="0"/>
        <v xml:space="preserve"> CZK</v>
      </c>
      <c r="I69" s="46" t="str">
        <f t="shared" si="1"/>
        <v/>
      </c>
      <c r="J69" s="138"/>
      <c r="K69" s="47">
        <f>VLOOKUP(B69,CENY!$B$11:$M$1034,8,FALSE)</f>
        <v>0</v>
      </c>
      <c r="L69" s="47" t="str">
        <f>VLOOKUP(B69,CENY!$B$11:$M$1034,9,FALSE)</f>
        <v xml:space="preserve"> </v>
      </c>
      <c r="M69" s="55"/>
      <c r="N69" s="38">
        <f t="shared" si="7"/>
        <v>0</v>
      </c>
      <c r="O69" s="39">
        <v>0</v>
      </c>
      <c r="P69" s="450">
        <f>'AVT101'!AZ78</f>
        <v>0</v>
      </c>
      <c r="Q69" s="450">
        <f>'AVT101'!BI24</f>
        <v>0</v>
      </c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50">
        <f>'AVT-celny-101+187'!AZ59</f>
        <v>0</v>
      </c>
      <c r="AO69" s="450">
        <f>'AVT-celny-101+187'!BI43</f>
        <v>0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203"/>
      <c r="BP69" s="203"/>
      <c r="BQ69" s="203"/>
      <c r="BR69" s="203"/>
      <c r="BS69" s="203"/>
      <c r="BT69" s="203"/>
      <c r="BU69" s="203"/>
      <c r="BV69" s="203"/>
      <c r="BW69" s="62"/>
      <c r="BX69" s="185"/>
      <c r="BY69" s="35"/>
      <c r="BZ69" s="27"/>
      <c r="CA69" s="27"/>
      <c r="CB69" s="27"/>
      <c r="CC69" s="27"/>
      <c r="CD69" s="27"/>
      <c r="CE69" s="27"/>
      <c r="CF69" s="27"/>
    </row>
    <row r="70" spans="1:84" ht="8.1" customHeight="1">
      <c r="A70" s="4"/>
      <c r="B70" s="439"/>
      <c r="C70" s="48"/>
      <c r="D70" s="44"/>
      <c r="E70" s="63"/>
      <c r="F70" s="45"/>
      <c r="G70" s="59"/>
      <c r="H70" s="61"/>
      <c r="I70" s="46"/>
      <c r="J70" s="138"/>
      <c r="K70" s="47"/>
      <c r="L70" s="47"/>
      <c r="M70" s="55"/>
      <c r="N70" s="38"/>
      <c r="O70" s="39">
        <v>0</v>
      </c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203"/>
      <c r="BP70" s="203"/>
      <c r="BQ70" s="203"/>
      <c r="BR70" s="203"/>
      <c r="BS70" s="203"/>
      <c r="BT70" s="203"/>
      <c r="BU70" s="203"/>
      <c r="BV70" s="203"/>
      <c r="BW70" s="62"/>
      <c r="BX70" s="185"/>
      <c r="BY70" s="35"/>
      <c r="BZ70" s="27"/>
      <c r="CA70" s="27"/>
      <c r="CB70" s="27"/>
      <c r="CC70" s="27"/>
      <c r="CD70" s="27"/>
      <c r="CE70" s="27"/>
      <c r="CF70" s="27"/>
    </row>
    <row r="71" spans="1:84" ht="15" customHeight="1">
      <c r="A71" s="4"/>
      <c r="B71" s="439">
        <f>IF($AA$7=$AA$8,CENY!B133,IF($AA$7=$AA$9,CENY!B142,IF($AA$7=$AA$10,CENY!B151,IF($AA$7=$AA$11,CENY!B490,IF($AA$7=$AA$12,CENY!B499,IF($AA$7=$AA$13,CENY!B508,IF($AA$7=$AA$14,CENY!B517,CENY!B526)))))))</f>
        <v>9255804</v>
      </c>
      <c r="C71" s="48" t="str">
        <f>VLOOKUP(B71,CENY!$B$11:$G$1034,2,FALSE)</f>
        <v>AVANTECH YOU DEKORATIVNÍ PROFIL NL270 MM STŘÍBRNÝ</v>
      </c>
      <c r="D71" s="488">
        <f>VLOOKUP(B71,CENY!$B$11:$G$1034,3,FALSE)</f>
        <v>200</v>
      </c>
      <c r="E71" s="63" t="str">
        <f>IF(VLOOKUP(B71,CENY!$B$11:$G$1034,4,FALSE)=0,"",VLOOKUP(B71,CENY!$B$11:$G$1034,4,FALSE))</f>
        <v/>
      </c>
      <c r="F71" s="45" t="str">
        <f t="shared" ref="F71:F79" si="8">IF(J71&lt;&gt;"",J71,IF(N71=0,"",N71))</f>
        <v/>
      </c>
      <c r="G71" s="59">
        <f>VLOOKUP(B71,CENY!$B$11:$M$1034,12,FALSE)</f>
        <v>9.18</v>
      </c>
      <c r="H71" s="61" t="str">
        <f t="shared" si="0"/>
        <v xml:space="preserve"> CZK</v>
      </c>
      <c r="I71" s="46" t="str">
        <f t="shared" si="1"/>
        <v/>
      </c>
      <c r="J71" s="138"/>
      <c r="K71" s="47">
        <f>VLOOKUP(B71,CENY!$B$11:$M$1034,8,FALSE)</f>
        <v>0</v>
      </c>
      <c r="L71" s="47" t="str">
        <f>VLOOKUP(B71,CENY!$B$11:$M$1034,9,FALSE)</f>
        <v xml:space="preserve"> </v>
      </c>
      <c r="M71" s="55"/>
      <c r="N71" s="38">
        <f t="shared" ref="N71:N79" si="9">SUM(P71:BX71)</f>
        <v>0</v>
      </c>
      <c r="O71" s="39">
        <v>0</v>
      </c>
      <c r="P71" s="450">
        <f>'AVT101'!AZ15</f>
        <v>0</v>
      </c>
      <c r="Q71" s="450">
        <f>'AVT101'!BI27</f>
        <v>0</v>
      </c>
      <c r="R71" s="41"/>
      <c r="S71" s="41"/>
      <c r="T71" s="450">
        <f>'AVT187'!AZ15</f>
        <v>0</v>
      </c>
      <c r="U71" s="450">
        <f>'AVT187'!BI27</f>
        <v>0</v>
      </c>
      <c r="V71" s="41"/>
      <c r="W71" s="41"/>
      <c r="X71" s="41"/>
      <c r="Y71" s="41"/>
      <c r="Z71" s="450">
        <f>'AVT101(vn-A)'!AZ15</f>
        <v>0</v>
      </c>
      <c r="AA71" s="450">
        <f>'AVT101(vn-A)'!BI27</f>
        <v>0</v>
      </c>
      <c r="AB71" s="41"/>
      <c r="AC71" s="41"/>
      <c r="AD71" s="450">
        <f>'AVT187(vn-A)'!AZ15</f>
        <v>0</v>
      </c>
      <c r="AE71" s="450">
        <f>'AVT187(vn-A)'!BI27</f>
        <v>0</v>
      </c>
      <c r="AF71" s="41"/>
      <c r="AG71" s="41"/>
      <c r="AH71" s="450">
        <f>'AVT187(vn-S)'!AZ15</f>
        <v>0</v>
      </c>
      <c r="AI71" s="450">
        <f>'AVT187(vn-S)'!BI27</f>
        <v>0</v>
      </c>
      <c r="AJ71" s="41"/>
      <c r="AK71" s="41"/>
      <c r="AL71" s="41"/>
      <c r="AM71" s="41"/>
      <c r="AN71" s="450">
        <f>'AVT-celny-101+187'!AZ25</f>
        <v>0</v>
      </c>
      <c r="AO71" s="450">
        <f>'AVT-celny-101+187'!BI47</f>
        <v>0</v>
      </c>
      <c r="AP71" s="41"/>
      <c r="AQ71" s="41"/>
      <c r="AR71" s="450">
        <f>'AVT-celny-2x187'!AZ15</f>
        <v>0</v>
      </c>
      <c r="AS71" s="450">
        <f>'AVT-celny-2x187'!BI27</f>
        <v>0</v>
      </c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203"/>
      <c r="BP71" s="203"/>
      <c r="BQ71" s="203"/>
      <c r="BR71" s="203"/>
      <c r="BS71" s="203"/>
      <c r="BT71" s="203"/>
      <c r="BU71" s="203"/>
      <c r="BV71" s="203"/>
      <c r="BW71" s="62"/>
      <c r="BX71" s="185"/>
      <c r="BY71" s="35"/>
      <c r="BZ71" s="27"/>
      <c r="CA71" s="27"/>
      <c r="CB71" s="27"/>
      <c r="CC71" s="27"/>
      <c r="CD71" s="27"/>
      <c r="CE71" s="27"/>
      <c r="CF71" s="27"/>
    </row>
    <row r="72" spans="1:84" ht="15" customHeight="1">
      <c r="A72" s="4"/>
      <c r="B72" s="439">
        <f>IF($AA$7=$AA$8,CENY!B134,IF($AA$7=$AA$9,CENY!B143,IF($AA$7=$AA$10,CENY!B152,IF($AA$7=$AA$11,CENY!B491,IF($AA$7=$AA$12,CENY!B500,IF($AA$7=$AA$13,CENY!B509,IF($AA$7=$AA$14,CENY!B518,CENY!B527)))))))</f>
        <v>9255805</v>
      </c>
      <c r="C72" s="48" t="str">
        <f>VLOOKUP(B72,CENY!$B$11:$G$1034,2,FALSE)</f>
        <v>AVANTECH YOU DEKORATIVNÍ PROFIL NL300 MM STŘÍBRNÝ</v>
      </c>
      <c r="D72" s="488">
        <f>VLOOKUP(B72,CENY!$B$11:$G$1034,3,FALSE)</f>
        <v>200</v>
      </c>
      <c r="E72" s="63" t="str">
        <f>IF(VLOOKUP(B72,CENY!$B$11:$G$1034,4,FALSE)=0,"",VLOOKUP(B72,CENY!$B$11:$G$1034,4,FALSE))</f>
        <v/>
      </c>
      <c r="F72" s="45" t="str">
        <f t="shared" si="8"/>
        <v/>
      </c>
      <c r="G72" s="59">
        <f>VLOOKUP(B72,CENY!$B$11:$M$1034,12,FALSE)</f>
        <v>9.2799999999999994</v>
      </c>
      <c r="H72" s="61" t="str">
        <f t="shared" si="0"/>
        <v xml:space="preserve"> CZK</v>
      </c>
      <c r="I72" s="46" t="str">
        <f t="shared" si="1"/>
        <v/>
      </c>
      <c r="J72" s="138"/>
      <c r="K72" s="47">
        <f>VLOOKUP(B72,CENY!$B$11:$M$1034,8,FALSE)</f>
        <v>0</v>
      </c>
      <c r="L72" s="47" t="str">
        <f>VLOOKUP(B72,CENY!$B$11:$M$1034,9,FALSE)</f>
        <v xml:space="preserve"> </v>
      </c>
      <c r="M72" s="55"/>
      <c r="N72" s="38">
        <f t="shared" si="9"/>
        <v>0</v>
      </c>
      <c r="O72" s="39">
        <v>0</v>
      </c>
      <c r="P72" s="450">
        <f>'AVT101'!AZ16</f>
        <v>0</v>
      </c>
      <c r="Q72" s="450">
        <f>'AVT101'!BI28</f>
        <v>0</v>
      </c>
      <c r="R72" s="450">
        <f>'AVT139'!AZ13</f>
        <v>0</v>
      </c>
      <c r="S72" s="450">
        <f>'AVT139'!BI23</f>
        <v>0</v>
      </c>
      <c r="T72" s="450">
        <f>'AVT187'!AZ16</f>
        <v>0</v>
      </c>
      <c r="U72" s="450">
        <f>'AVT187'!BI28</f>
        <v>0</v>
      </c>
      <c r="V72" s="41"/>
      <c r="W72" s="41"/>
      <c r="X72" s="41"/>
      <c r="Y72" s="41"/>
      <c r="Z72" s="450">
        <f>'AVT101(vn-A)'!AZ16</f>
        <v>0</v>
      </c>
      <c r="AA72" s="450">
        <f>'AVT101(vn-A)'!BI28</f>
        <v>0</v>
      </c>
      <c r="AB72" s="450">
        <f>'AVT139(vn-A)'!AZ13</f>
        <v>0</v>
      </c>
      <c r="AC72" s="450">
        <f>'AVT139(vn-A)'!BI23</f>
        <v>0</v>
      </c>
      <c r="AD72" s="450">
        <f>'AVT187(vn-A)'!AZ16</f>
        <v>0</v>
      </c>
      <c r="AE72" s="450">
        <f>'AVT187(vn-A)'!BI28</f>
        <v>0</v>
      </c>
      <c r="AF72" s="41"/>
      <c r="AG72" s="41"/>
      <c r="AH72" s="450">
        <f>'AVT187(vn-S)'!AZ16</f>
        <v>0</v>
      </c>
      <c r="AI72" s="450">
        <f>'AVT187(vn-S)'!BI28</f>
        <v>0</v>
      </c>
      <c r="AJ72" s="41"/>
      <c r="AK72" s="41"/>
      <c r="AL72" s="41"/>
      <c r="AM72" s="41"/>
      <c r="AN72" s="450">
        <f>'AVT-celny-101+187'!AZ26</f>
        <v>0</v>
      </c>
      <c r="AO72" s="450">
        <f>'AVT-celny-101+187'!BI48</f>
        <v>0</v>
      </c>
      <c r="AP72" s="450">
        <f>'AVT-celny-139+187'!AZ21</f>
        <v>0</v>
      </c>
      <c r="AQ72" s="450">
        <f>'AVT-celny-139+187'!BI39</f>
        <v>0</v>
      </c>
      <c r="AR72" s="450">
        <f>'AVT-celny-2x187'!AZ16</f>
        <v>0</v>
      </c>
      <c r="AS72" s="450">
        <f>'AVT-celny-2x187'!BI28</f>
        <v>0</v>
      </c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203"/>
      <c r="BP72" s="203"/>
      <c r="BQ72" s="203"/>
      <c r="BR72" s="203"/>
      <c r="BS72" s="203"/>
      <c r="BT72" s="203"/>
      <c r="BU72" s="203"/>
      <c r="BV72" s="203"/>
      <c r="BW72" s="62"/>
      <c r="BX72" s="185"/>
      <c r="BY72" s="35"/>
      <c r="BZ72" s="27"/>
      <c r="CA72" s="27"/>
      <c r="CB72" s="27"/>
      <c r="CC72" s="27"/>
      <c r="CD72" s="27"/>
      <c r="CE72" s="27"/>
      <c r="CF72" s="27"/>
    </row>
    <row r="73" spans="1:84" ht="15" customHeight="1">
      <c r="A73" s="4"/>
      <c r="B73" s="439">
        <f>IF($AA$7=$AA$8,CENY!B135,IF($AA$7=$AA$9,CENY!B144,IF($AA$7=$AA$10,CENY!B153,IF($AA$7=$AA$11,CENY!B492,IF($AA$7=$AA$12,CENY!B501,IF($AA$7=$AA$13,CENY!B510,IF($AA$7=$AA$14,CENY!B519,CENY!B528)))))))</f>
        <v>9255806</v>
      </c>
      <c r="C73" s="48" t="str">
        <f>VLOOKUP(B73,CENY!$B$11:$G$1034,2,FALSE)</f>
        <v>AVANTECH YOU DEKORATIVNÍ PROFIL NL350 MM STŘÍBRNÝ</v>
      </c>
      <c r="D73" s="488">
        <f>VLOOKUP(B73,CENY!$B$11:$G$1034,3,FALSE)</f>
        <v>200</v>
      </c>
      <c r="E73" s="63" t="str">
        <f>IF(VLOOKUP(B73,CENY!$B$11:$G$1034,4,FALSE)=0,"",VLOOKUP(B73,CENY!$B$11:$G$1034,4,FALSE))</f>
        <v/>
      </c>
      <c r="F73" s="45" t="str">
        <f t="shared" si="8"/>
        <v/>
      </c>
      <c r="G73" s="59">
        <f>VLOOKUP(B73,CENY!$B$11:$M$1034,12,FALSE)</f>
        <v>9.4499999999999993</v>
      </c>
      <c r="H73" s="61" t="str">
        <f t="shared" si="0"/>
        <v xml:space="preserve"> CZK</v>
      </c>
      <c r="I73" s="46" t="str">
        <f t="shared" si="1"/>
        <v/>
      </c>
      <c r="J73" s="138"/>
      <c r="K73" s="47">
        <f>VLOOKUP(B73,CENY!$B$11:$M$1034,8,FALSE)</f>
        <v>0</v>
      </c>
      <c r="L73" s="47" t="str">
        <f>VLOOKUP(B73,CENY!$B$11:$M$1034,9,FALSE)</f>
        <v xml:space="preserve"> </v>
      </c>
      <c r="M73" s="55"/>
      <c r="N73" s="38">
        <f t="shared" si="9"/>
        <v>0</v>
      </c>
      <c r="O73" s="39">
        <v>0</v>
      </c>
      <c r="P73" s="450">
        <f>'AVT101'!AZ17</f>
        <v>0</v>
      </c>
      <c r="Q73" s="450">
        <f>'AVT101'!BI29</f>
        <v>0</v>
      </c>
      <c r="R73" s="450">
        <f>'AVT139'!AZ14</f>
        <v>0</v>
      </c>
      <c r="S73" s="450">
        <f>'AVT139'!BI24</f>
        <v>0</v>
      </c>
      <c r="T73" s="450">
        <f>'AVT187'!AZ17</f>
        <v>0</v>
      </c>
      <c r="U73" s="450">
        <f>'AVT187'!BI29</f>
        <v>0</v>
      </c>
      <c r="V73" s="450">
        <f>'AVT251'!AZ13</f>
        <v>0</v>
      </c>
      <c r="W73" s="450">
        <f>'AVT251'!BI24</f>
        <v>0</v>
      </c>
      <c r="X73" s="41"/>
      <c r="Y73" s="41"/>
      <c r="Z73" s="450">
        <f>'AVT101(vn-A)'!AZ17</f>
        <v>0</v>
      </c>
      <c r="AA73" s="450">
        <f>'AVT101(vn-A)'!BI29</f>
        <v>0</v>
      </c>
      <c r="AB73" s="450">
        <f>'AVT139(vn-A)'!AZ14</f>
        <v>0</v>
      </c>
      <c r="AC73" s="450">
        <f>'AVT139(vn-A)'!BI24</f>
        <v>0</v>
      </c>
      <c r="AD73" s="450">
        <f>'AVT187(vn-A)'!AZ17</f>
        <v>0</v>
      </c>
      <c r="AE73" s="450">
        <f>'AVT187(vn-A)'!BI29</f>
        <v>0</v>
      </c>
      <c r="AF73" s="41"/>
      <c r="AG73" s="41"/>
      <c r="AH73" s="450">
        <f>'AVT187(vn-S)'!AZ17</f>
        <v>0</v>
      </c>
      <c r="AI73" s="450">
        <f>'AVT187(vn-S)'!BI29</f>
        <v>0</v>
      </c>
      <c r="AJ73" s="41"/>
      <c r="AK73" s="41"/>
      <c r="AL73" s="41"/>
      <c r="AM73" s="41"/>
      <c r="AN73" s="450">
        <f>'AVT-celny-101+187'!AZ27</f>
        <v>0</v>
      </c>
      <c r="AO73" s="450">
        <f>'AVT-celny-101+187'!BI49</f>
        <v>0</v>
      </c>
      <c r="AP73" s="450">
        <f>'AVT-celny-139+187'!AZ22</f>
        <v>0</v>
      </c>
      <c r="AQ73" s="450">
        <f>'AVT-celny-139+187'!BI40</f>
        <v>0</v>
      </c>
      <c r="AR73" s="450">
        <f>'AVT-celny-2x187'!AZ17</f>
        <v>0</v>
      </c>
      <c r="AS73" s="450">
        <f>'AVT-celny-2x187'!BI29</f>
        <v>0</v>
      </c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203"/>
      <c r="BP73" s="203"/>
      <c r="BQ73" s="203"/>
      <c r="BR73" s="203"/>
      <c r="BS73" s="203"/>
      <c r="BT73" s="203"/>
      <c r="BU73" s="203"/>
      <c r="BV73" s="203"/>
      <c r="BW73" s="62"/>
      <c r="BX73" s="185"/>
      <c r="BY73" s="35"/>
      <c r="BZ73" s="27"/>
      <c r="CA73" s="27"/>
      <c r="CB73" s="27"/>
      <c r="CC73" s="27"/>
      <c r="CD73" s="27"/>
      <c r="CE73" s="27"/>
      <c r="CF73" s="27"/>
    </row>
    <row r="74" spans="1:84" ht="15" customHeight="1">
      <c r="A74" s="4"/>
      <c r="B74" s="439">
        <f>IF($AA$7=$AA$8,CENY!B136,IF($AA$7=$AA$9,CENY!B145,IF($AA$7=$AA$10,CENY!B154,IF($AA$7=$AA$11,CENY!B493,IF($AA$7=$AA$12,CENY!B502,IF($AA$7=$AA$13,CENY!B511,IF($AA$7=$AA$14,CENY!B520,CENY!B529)))))))</f>
        <v>9255807</v>
      </c>
      <c r="C74" s="48" t="str">
        <f>VLOOKUP(B74,CENY!$B$11:$G$1034,2,FALSE)</f>
        <v>AVANTECH YOU DEKORATIVNÍ PROFIL NL400 MM STŘÍBRNÝ</v>
      </c>
      <c r="D74" s="488">
        <f>VLOOKUP(B74,CENY!$B$11:$G$1034,3,FALSE)</f>
        <v>200</v>
      </c>
      <c r="E74" s="63" t="str">
        <f>IF(VLOOKUP(B74,CENY!$B$11:$G$1034,4,FALSE)=0,"",VLOOKUP(B74,CENY!$B$11:$G$1034,4,FALSE))</f>
        <v/>
      </c>
      <c r="F74" s="45" t="str">
        <f t="shared" si="8"/>
        <v/>
      </c>
      <c r="G74" s="59">
        <f>VLOOKUP(B74,CENY!$B$11:$M$1034,12,FALSE)</f>
        <v>9.6199999999999992</v>
      </c>
      <c r="H74" s="61" t="str">
        <f t="shared" si="0"/>
        <v xml:space="preserve"> CZK</v>
      </c>
      <c r="I74" s="46" t="str">
        <f t="shared" si="1"/>
        <v/>
      </c>
      <c r="J74" s="138"/>
      <c r="K74" s="47">
        <f>VLOOKUP(B74,CENY!$B$11:$M$1034,8,FALSE)</f>
        <v>0</v>
      </c>
      <c r="L74" s="47" t="str">
        <f>VLOOKUP(B74,CENY!$B$11:$M$1034,9,FALSE)</f>
        <v xml:space="preserve"> </v>
      </c>
      <c r="M74" s="55"/>
      <c r="N74" s="38">
        <f t="shared" si="9"/>
        <v>0</v>
      </c>
      <c r="O74" s="39">
        <v>0</v>
      </c>
      <c r="P74" s="450">
        <f>'AVT101'!AZ18</f>
        <v>0</v>
      </c>
      <c r="Q74" s="450">
        <f>'AVT101'!BI30</f>
        <v>0</v>
      </c>
      <c r="R74" s="450">
        <f>'AVT139'!AZ15</f>
        <v>0</v>
      </c>
      <c r="S74" s="450">
        <f>'AVT139'!BI25</f>
        <v>0</v>
      </c>
      <c r="T74" s="450">
        <f>'AVT187'!AZ18</f>
        <v>0</v>
      </c>
      <c r="U74" s="450">
        <f>'AVT187'!BI30</f>
        <v>0</v>
      </c>
      <c r="V74" s="450">
        <f>'AVT251'!AZ14</f>
        <v>0</v>
      </c>
      <c r="W74" s="450">
        <f>'AVT251'!BI25</f>
        <v>0</v>
      </c>
      <c r="X74" s="41"/>
      <c r="Y74" s="41"/>
      <c r="Z74" s="450">
        <f>'AVT101(vn-A)'!AZ18</f>
        <v>0</v>
      </c>
      <c r="AA74" s="450">
        <f>'AVT101(vn-A)'!BI30</f>
        <v>0</v>
      </c>
      <c r="AB74" s="450">
        <f>'AVT139(vn-A)'!AZ15</f>
        <v>0</v>
      </c>
      <c r="AC74" s="450">
        <f>'AVT139(vn-A)'!BI25</f>
        <v>0</v>
      </c>
      <c r="AD74" s="450">
        <f>'AVT187(vn-A)'!AZ18</f>
        <v>0</v>
      </c>
      <c r="AE74" s="450">
        <f>'AVT187(vn-A)'!BI30</f>
        <v>0</v>
      </c>
      <c r="AF74" s="41"/>
      <c r="AG74" s="41"/>
      <c r="AH74" s="450">
        <f>'AVT187(vn-S)'!AZ18</f>
        <v>0</v>
      </c>
      <c r="AI74" s="450">
        <f>'AVT187(vn-S)'!BI30</f>
        <v>0</v>
      </c>
      <c r="AJ74" s="41"/>
      <c r="AK74" s="41"/>
      <c r="AL74" s="450">
        <f>'AVT77'!AZ10</f>
        <v>0</v>
      </c>
      <c r="AM74" s="450">
        <f>'AVT77'!BI17</f>
        <v>0</v>
      </c>
      <c r="AN74" s="450">
        <f>'AVT-celny-101+187'!AZ28</f>
        <v>0</v>
      </c>
      <c r="AO74" s="450">
        <f>'AVT-celny-101+187'!BI50</f>
        <v>0</v>
      </c>
      <c r="AP74" s="450">
        <f>'AVT-celny-139+187'!AZ23</f>
        <v>0</v>
      </c>
      <c r="AQ74" s="450">
        <f>'AVT-celny-139+187'!BI41</f>
        <v>0</v>
      </c>
      <c r="AR74" s="450">
        <f>'AVT-celny-2x187'!AZ18</f>
        <v>0</v>
      </c>
      <c r="AS74" s="450">
        <f>'AVT-celny-2x187'!BI30</f>
        <v>0</v>
      </c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203"/>
      <c r="BP74" s="203"/>
      <c r="BQ74" s="203"/>
      <c r="BR74" s="203"/>
      <c r="BS74" s="203"/>
      <c r="BT74" s="203"/>
      <c r="BU74" s="203"/>
      <c r="BV74" s="203"/>
      <c r="BW74" s="62"/>
      <c r="BX74" s="185"/>
      <c r="BY74" s="35"/>
      <c r="BZ74" s="27"/>
      <c r="CA74" s="27"/>
      <c r="CB74" s="27"/>
      <c r="CC74" s="27"/>
      <c r="CD74" s="27"/>
      <c r="CE74" s="27"/>
      <c r="CF74" s="27"/>
    </row>
    <row r="75" spans="1:84" ht="15" customHeight="1">
      <c r="A75" s="4"/>
      <c r="B75" s="439">
        <f>IF($AA$7=$AA$8,CENY!B137,IF($AA$7=$AA$9,CENY!B146,IF($AA$7=$AA$10,CENY!B155,IF($AA$7=$AA$11,CENY!B494,IF($AA$7=$AA$12,CENY!B503,IF($AA$7=$AA$13,CENY!B512,IF($AA$7=$AA$14,CENY!B521,CENY!B530)))))))</f>
        <v>9255808</v>
      </c>
      <c r="C75" s="48" t="str">
        <f>VLOOKUP(B75,CENY!$B$11:$G$1034,2,FALSE)</f>
        <v>AVANTECH YOU DEKORATIVNÍ PROFIL NL450 MM STŘÍBRNÝ</v>
      </c>
      <c r="D75" s="488">
        <f>VLOOKUP(B75,CENY!$B$11:$G$1034,3,FALSE)</f>
        <v>200</v>
      </c>
      <c r="E75" s="63" t="str">
        <f>IF(VLOOKUP(B75,CENY!$B$11:$G$1034,4,FALSE)=0,"",VLOOKUP(B75,CENY!$B$11:$G$1034,4,FALSE))</f>
        <v/>
      </c>
      <c r="F75" s="45" t="str">
        <f t="shared" si="8"/>
        <v/>
      </c>
      <c r="G75" s="59">
        <f>VLOOKUP(B75,CENY!$B$11:$M$1034,12,FALSE)</f>
        <v>9.8000000000000007</v>
      </c>
      <c r="H75" s="61" t="str">
        <f t="shared" si="0"/>
        <v xml:space="preserve"> CZK</v>
      </c>
      <c r="I75" s="46" t="str">
        <f t="shared" si="1"/>
        <v/>
      </c>
      <c r="J75" s="138"/>
      <c r="K75" s="47">
        <f>VLOOKUP(B75,CENY!$B$11:$M$1034,8,FALSE)</f>
        <v>0</v>
      </c>
      <c r="L75" s="47" t="str">
        <f>VLOOKUP(B75,CENY!$B$11:$M$1034,9,FALSE)</f>
        <v xml:space="preserve"> </v>
      </c>
      <c r="M75" s="55"/>
      <c r="N75" s="38">
        <f t="shared" si="9"/>
        <v>0</v>
      </c>
      <c r="O75" s="39">
        <v>0</v>
      </c>
      <c r="P75" s="450">
        <f>'AVT101'!AZ19</f>
        <v>0</v>
      </c>
      <c r="Q75" s="450">
        <f>'AVT101'!BI31</f>
        <v>0</v>
      </c>
      <c r="R75" s="450">
        <f>'AVT139'!AZ16</f>
        <v>0</v>
      </c>
      <c r="S75" s="450">
        <f>'AVT139'!BI26</f>
        <v>0</v>
      </c>
      <c r="T75" s="450">
        <f>'AVT187'!AZ19</f>
        <v>0</v>
      </c>
      <c r="U75" s="450">
        <f>'AVT187'!BI31</f>
        <v>0</v>
      </c>
      <c r="V75" s="450">
        <f>'AVT251'!AZ15</f>
        <v>0</v>
      </c>
      <c r="W75" s="450">
        <f>'AVT251'!BI26</f>
        <v>0</v>
      </c>
      <c r="X75" s="41"/>
      <c r="Y75" s="41"/>
      <c r="Z75" s="450">
        <f>'AVT101(vn-A)'!AZ19</f>
        <v>0</v>
      </c>
      <c r="AA75" s="450">
        <f>'AVT101(vn-A)'!BI31</f>
        <v>0</v>
      </c>
      <c r="AB75" s="450">
        <f>'AVT139(vn-A)'!AZ16</f>
        <v>0</v>
      </c>
      <c r="AC75" s="450">
        <f>'AVT139(vn-A)'!BI26</f>
        <v>0</v>
      </c>
      <c r="AD75" s="450">
        <f>'AVT187(vn-A)'!AZ19</f>
        <v>0</v>
      </c>
      <c r="AE75" s="450">
        <f>'AVT187(vn-A)'!BI31</f>
        <v>0</v>
      </c>
      <c r="AF75" s="41"/>
      <c r="AG75" s="41"/>
      <c r="AH75" s="450">
        <f>'AVT187(vn-S)'!AZ19</f>
        <v>0</v>
      </c>
      <c r="AI75" s="450">
        <f>'AVT187(vn-S)'!BI31</f>
        <v>0</v>
      </c>
      <c r="AJ75" s="41"/>
      <c r="AK75" s="41"/>
      <c r="AL75" s="450">
        <f>'AVT77'!AZ11</f>
        <v>0</v>
      </c>
      <c r="AM75" s="450">
        <f>'AVT77'!BI18</f>
        <v>0</v>
      </c>
      <c r="AN75" s="450">
        <f>'AVT-celny-101+187'!AZ29</f>
        <v>0</v>
      </c>
      <c r="AO75" s="450">
        <f>'AVT-celny-101+187'!BI51</f>
        <v>0</v>
      </c>
      <c r="AP75" s="450">
        <f>'AVT-celny-139+187'!AZ24</f>
        <v>0</v>
      </c>
      <c r="AQ75" s="450">
        <f>'AVT-celny-139+187'!BI42</f>
        <v>0</v>
      </c>
      <c r="AR75" s="450">
        <f>'AVT-celny-2x187'!AZ19</f>
        <v>0</v>
      </c>
      <c r="AS75" s="450">
        <f>'AVT-celny-2x187'!BI31</f>
        <v>0</v>
      </c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203"/>
      <c r="BP75" s="203"/>
      <c r="BQ75" s="203"/>
      <c r="BR75" s="203"/>
      <c r="BS75" s="203"/>
      <c r="BT75" s="203"/>
      <c r="BU75" s="203"/>
      <c r="BV75" s="203"/>
      <c r="BW75" s="62"/>
      <c r="BX75" s="185"/>
      <c r="BY75" s="35"/>
      <c r="BZ75" s="27"/>
      <c r="CA75" s="27"/>
      <c r="CB75" s="27"/>
      <c r="CC75" s="27"/>
      <c r="CD75" s="27"/>
      <c r="CE75" s="27"/>
      <c r="CF75" s="27"/>
    </row>
    <row r="76" spans="1:84" ht="15" customHeight="1">
      <c r="A76" s="4"/>
      <c r="B76" s="439">
        <f>IF($AA$7=$AA$8,CENY!B138,IF($AA$7=$AA$9,CENY!B147,IF($AA$7=$AA$10,CENY!B156,IF($AA$7=$AA$11,CENY!B495,IF($AA$7=$AA$12,CENY!B504,IF($AA$7=$AA$13,CENY!B513,IF($AA$7=$AA$14,CENY!B522,CENY!B531)))))))</f>
        <v>9255809</v>
      </c>
      <c r="C76" s="48" t="str">
        <f>VLOOKUP(B76,CENY!$B$11:$G$1034,2,FALSE)</f>
        <v>AVANTECH YOU DEKORATIVNÍ PROFIL NL500 MM STŘÍBRNÝ</v>
      </c>
      <c r="D76" s="488">
        <f>VLOOKUP(B76,CENY!$B$11:$G$1034,3,FALSE)</f>
        <v>200</v>
      </c>
      <c r="E76" s="63" t="str">
        <f>IF(VLOOKUP(B76,CENY!$B$11:$G$1034,4,FALSE)=0,"",VLOOKUP(B76,CENY!$B$11:$G$1034,4,FALSE))</f>
        <v/>
      </c>
      <c r="F76" s="45" t="str">
        <f t="shared" si="8"/>
        <v/>
      </c>
      <c r="G76" s="59">
        <f>VLOOKUP(B76,CENY!$B$11:$M$1034,12,FALSE)</f>
        <v>9.9700000000000006</v>
      </c>
      <c r="H76" s="61" t="str">
        <f t="shared" si="0"/>
        <v xml:space="preserve"> CZK</v>
      </c>
      <c r="I76" s="46" t="str">
        <f t="shared" si="1"/>
        <v/>
      </c>
      <c r="J76" s="138"/>
      <c r="K76" s="47">
        <f>VLOOKUP(B76,CENY!$B$11:$M$1034,8,FALSE)</f>
        <v>0</v>
      </c>
      <c r="L76" s="47" t="str">
        <f>VLOOKUP(B76,CENY!$B$11:$M$1034,9,FALSE)</f>
        <v xml:space="preserve"> </v>
      </c>
      <c r="M76" s="55"/>
      <c r="N76" s="38">
        <f t="shared" si="9"/>
        <v>0</v>
      </c>
      <c r="O76" s="39">
        <v>0</v>
      </c>
      <c r="P76" s="450">
        <f>'AVT101'!AZ20</f>
        <v>0</v>
      </c>
      <c r="Q76" s="450">
        <f>'AVT101'!BI32</f>
        <v>0</v>
      </c>
      <c r="R76" s="450">
        <f>'AVT139'!AZ17</f>
        <v>0</v>
      </c>
      <c r="S76" s="450">
        <f>'AVT139'!BI27</f>
        <v>0</v>
      </c>
      <c r="T76" s="450">
        <f>'AVT187'!AZ20</f>
        <v>0</v>
      </c>
      <c r="U76" s="450">
        <f>'AVT187'!BI32</f>
        <v>0</v>
      </c>
      <c r="V76" s="450">
        <f>'AVT251'!AZ16</f>
        <v>0</v>
      </c>
      <c r="W76" s="450">
        <f>'AVT251'!BI27</f>
        <v>0</v>
      </c>
      <c r="X76" s="41"/>
      <c r="Y76" s="41"/>
      <c r="Z76" s="450">
        <f>'AVT101(vn-A)'!AZ20</f>
        <v>0</v>
      </c>
      <c r="AA76" s="450">
        <f>'AVT101(vn-A)'!BI32</f>
        <v>0</v>
      </c>
      <c r="AB76" s="450">
        <f>'AVT139(vn-A)'!AZ17</f>
        <v>0</v>
      </c>
      <c r="AC76" s="450">
        <f>'AVT139(vn-A)'!BI27</f>
        <v>0</v>
      </c>
      <c r="AD76" s="450">
        <f>'AVT187(vn-A)'!AZ20</f>
        <v>0</v>
      </c>
      <c r="AE76" s="450">
        <f>'AVT187(vn-A)'!BI32</f>
        <v>0</v>
      </c>
      <c r="AF76" s="41"/>
      <c r="AG76" s="41"/>
      <c r="AH76" s="450">
        <f>'AVT187(vn-S)'!AZ20</f>
        <v>0</v>
      </c>
      <c r="AI76" s="450">
        <f>'AVT187(vn-S)'!BI32</f>
        <v>0</v>
      </c>
      <c r="AJ76" s="41"/>
      <c r="AK76" s="41"/>
      <c r="AL76" s="450">
        <f>'AVT77'!AZ12</f>
        <v>0</v>
      </c>
      <c r="AM76" s="450">
        <f>'AVT77'!BI19</f>
        <v>0</v>
      </c>
      <c r="AN76" s="450">
        <f>'AVT-celny-101+187'!AZ30</f>
        <v>0</v>
      </c>
      <c r="AO76" s="450">
        <f>'AVT-celny-101+187'!BI52</f>
        <v>0</v>
      </c>
      <c r="AP76" s="450">
        <f>'AVT-celny-139+187'!AZ25</f>
        <v>0</v>
      </c>
      <c r="AQ76" s="450">
        <f>'AVT-celny-139+187'!BI43</f>
        <v>0</v>
      </c>
      <c r="AR76" s="450">
        <f>'AVT-celny-2x187'!AZ20</f>
        <v>0</v>
      </c>
      <c r="AS76" s="450">
        <f>'AVT-celny-2x187'!BI32</f>
        <v>0</v>
      </c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203"/>
      <c r="BP76" s="203"/>
      <c r="BQ76" s="203"/>
      <c r="BR76" s="203"/>
      <c r="BS76" s="203"/>
      <c r="BT76" s="203"/>
      <c r="BU76" s="203"/>
      <c r="BV76" s="203"/>
      <c r="BW76" s="62"/>
      <c r="BX76" s="185"/>
      <c r="BY76" s="35"/>
      <c r="BZ76" s="27"/>
      <c r="CA76" s="27"/>
      <c r="CB76" s="27"/>
      <c r="CC76" s="27"/>
      <c r="CD76" s="27"/>
      <c r="CE76" s="27"/>
      <c r="CF76" s="27"/>
    </row>
    <row r="77" spans="1:84" ht="15" customHeight="1">
      <c r="A77" s="4"/>
      <c r="B77" s="439">
        <f>IF($AA$7=$AA$8,CENY!B139,IF($AA$7=$AA$9,CENY!B148,IF($AA$7=$AA$10,CENY!B157,IF($AA$7=$AA$11,CENY!B496,IF($AA$7=$AA$12,CENY!B505,IF($AA$7=$AA$13,CENY!B514,IF($AA$7=$AA$14,CENY!B523,CENY!B532)))))))</f>
        <v>9255810</v>
      </c>
      <c r="C77" s="48" t="str">
        <f>VLOOKUP(B77,CENY!$B$11:$G$1034,2,FALSE)</f>
        <v>AVANTECH YOU DEKORATIVNÍ PROFIL NL550 MM STŘÍBRNÝ</v>
      </c>
      <c r="D77" s="488">
        <f>VLOOKUP(B77,CENY!$B$11:$G$1034,3,FALSE)</f>
        <v>200</v>
      </c>
      <c r="E77" s="63" t="str">
        <f>IF(VLOOKUP(B77,CENY!$B$11:$G$1034,4,FALSE)=0,"",VLOOKUP(B77,CENY!$B$11:$G$1034,4,FALSE))</f>
        <v/>
      </c>
      <c r="F77" s="45" t="str">
        <f t="shared" si="8"/>
        <v/>
      </c>
      <c r="G77" s="59">
        <f>VLOOKUP(B77,CENY!$B$11:$M$1034,12,FALSE)</f>
        <v>10.14</v>
      </c>
      <c r="H77" s="61" t="str">
        <f t="shared" si="0"/>
        <v xml:space="preserve"> CZK</v>
      </c>
      <c r="I77" s="46" t="str">
        <f t="shared" si="1"/>
        <v/>
      </c>
      <c r="J77" s="138"/>
      <c r="K77" s="47">
        <f>VLOOKUP(B77,CENY!$B$11:$M$1034,8,FALSE)</f>
        <v>0</v>
      </c>
      <c r="L77" s="47" t="str">
        <f>VLOOKUP(B77,CENY!$B$11:$M$1034,9,FALSE)</f>
        <v xml:space="preserve"> </v>
      </c>
      <c r="M77" s="55"/>
      <c r="N77" s="38">
        <f t="shared" si="9"/>
        <v>0</v>
      </c>
      <c r="O77" s="39">
        <v>0</v>
      </c>
      <c r="P77" s="450">
        <f>'AVT101'!AZ21</f>
        <v>0</v>
      </c>
      <c r="Q77" s="450">
        <f>'AVT101'!BI33</f>
        <v>0</v>
      </c>
      <c r="R77" s="450">
        <f>'AVT139'!AZ18</f>
        <v>0</v>
      </c>
      <c r="S77" s="450">
        <f>'AVT139'!BI28</f>
        <v>0</v>
      </c>
      <c r="T77" s="450">
        <f>'AVT187'!AZ21</f>
        <v>0</v>
      </c>
      <c r="U77" s="450">
        <f>'AVT187'!BI33</f>
        <v>0</v>
      </c>
      <c r="V77" s="450">
        <f>'AVT251'!AZ17</f>
        <v>0</v>
      </c>
      <c r="W77" s="450">
        <f>'AVT251'!BI28</f>
        <v>0</v>
      </c>
      <c r="X77" s="41"/>
      <c r="Y77" s="41"/>
      <c r="Z77" s="450">
        <f>'AVT101(vn-A)'!AZ21</f>
        <v>0</v>
      </c>
      <c r="AA77" s="450">
        <f>'AVT101(vn-A)'!BI33</f>
        <v>0</v>
      </c>
      <c r="AB77" s="450">
        <f>'AVT139(vn-A)'!AZ18</f>
        <v>0</v>
      </c>
      <c r="AC77" s="450">
        <f>'AVT139(vn-A)'!BI28</f>
        <v>0</v>
      </c>
      <c r="AD77" s="450">
        <f>'AVT187(vn-A)'!AZ21</f>
        <v>0</v>
      </c>
      <c r="AE77" s="450">
        <f>'AVT187(vn-A)'!BI33</f>
        <v>0</v>
      </c>
      <c r="AF77" s="41"/>
      <c r="AG77" s="41"/>
      <c r="AH77" s="450">
        <f>'AVT187(vn-S)'!AZ21</f>
        <v>0</v>
      </c>
      <c r="AI77" s="450">
        <f>'AVT187(vn-S)'!BI33</f>
        <v>0</v>
      </c>
      <c r="AJ77" s="41"/>
      <c r="AK77" s="41"/>
      <c r="AL77" s="450">
        <f>'AVT77'!AZ13</f>
        <v>0</v>
      </c>
      <c r="AM77" s="450">
        <f>'AVT77'!BI20</f>
        <v>0</v>
      </c>
      <c r="AN77" s="450">
        <f>'AVT-celny-101+187'!AZ31</f>
        <v>0</v>
      </c>
      <c r="AO77" s="450">
        <f>'AVT-celny-101+187'!BI53</f>
        <v>0</v>
      </c>
      <c r="AP77" s="450">
        <f>'AVT-celny-139+187'!AZ26</f>
        <v>0</v>
      </c>
      <c r="AQ77" s="450">
        <f>'AVT-celny-139+187'!BI44</f>
        <v>0</v>
      </c>
      <c r="AR77" s="450">
        <f>'AVT-celny-2x187'!AZ21</f>
        <v>0</v>
      </c>
      <c r="AS77" s="450">
        <f>'AVT-celny-2x187'!BI33</f>
        <v>0</v>
      </c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203"/>
      <c r="BP77" s="203"/>
      <c r="BQ77" s="203"/>
      <c r="BR77" s="203"/>
      <c r="BS77" s="203"/>
      <c r="BT77" s="203"/>
      <c r="BU77" s="203"/>
      <c r="BV77" s="203"/>
      <c r="BW77" s="62"/>
      <c r="BX77" s="185"/>
      <c r="BY77" s="35"/>
      <c r="BZ77" s="27"/>
      <c r="CA77" s="27"/>
      <c r="CB77" s="27"/>
      <c r="CC77" s="27"/>
      <c r="CD77" s="27"/>
      <c r="CE77" s="27"/>
      <c r="CF77" s="27"/>
    </row>
    <row r="78" spans="1:84" ht="15" customHeight="1">
      <c r="A78" s="4"/>
      <c r="B78" s="439">
        <f>IF($AA$7=$AA$8,CENY!B140,IF($AA$7=$AA$9,CENY!B149,IF($AA$7=$AA$10,CENY!B158,IF($AA$7=$AA$11,CENY!B497,IF($AA$7=$AA$12,CENY!B506,IF($AA$7=$AA$13,CENY!B515,IF($AA$7=$AA$14,CENY!B524,CENY!B533)))))))</f>
        <v>9255811</v>
      </c>
      <c r="C78" s="48" t="str">
        <f>VLOOKUP(B78,CENY!$B$11:$G$1034,2,FALSE)</f>
        <v>AVANTECH YOU DEKORATIVNÍ PROFIL NL600 MM STŘÍBRNÝ</v>
      </c>
      <c r="D78" s="488">
        <f>VLOOKUP(B78,CENY!$B$11:$G$1034,3,FALSE)</f>
        <v>200</v>
      </c>
      <c r="E78" s="63" t="str">
        <f>IF(VLOOKUP(B78,CENY!$B$11:$G$1034,4,FALSE)=0,"",VLOOKUP(B78,CENY!$B$11:$G$1034,4,FALSE))</f>
        <v/>
      </c>
      <c r="F78" s="45" t="str">
        <f t="shared" si="8"/>
        <v/>
      </c>
      <c r="G78" s="59">
        <f>VLOOKUP(B78,CENY!$B$11:$M$1034,12,FALSE)</f>
        <v>10.39</v>
      </c>
      <c r="H78" s="61" t="str">
        <f t="shared" si="0"/>
        <v xml:space="preserve"> CZK</v>
      </c>
      <c r="I78" s="46" t="str">
        <f t="shared" si="1"/>
        <v/>
      </c>
      <c r="J78" s="138"/>
      <c r="K78" s="47">
        <f>VLOOKUP(B78,CENY!$B$11:$M$1034,8,FALSE)</f>
        <v>0</v>
      </c>
      <c r="L78" s="47" t="str">
        <f>VLOOKUP(B78,CENY!$B$11:$M$1034,9,FALSE)</f>
        <v xml:space="preserve"> </v>
      </c>
      <c r="M78" s="55"/>
      <c r="N78" s="38">
        <f t="shared" si="9"/>
        <v>0</v>
      </c>
      <c r="O78" s="39">
        <v>0</v>
      </c>
      <c r="P78" s="450">
        <f>'AVT101'!AZ22</f>
        <v>0</v>
      </c>
      <c r="Q78" s="450">
        <f>'AVT101'!BI34</f>
        <v>0</v>
      </c>
      <c r="R78" s="450">
        <f>'AVT139'!AZ19</f>
        <v>0</v>
      </c>
      <c r="S78" s="450">
        <f>'AVT139'!BI29</f>
        <v>0</v>
      </c>
      <c r="T78" s="450">
        <f>'AVT187'!AZ22</f>
        <v>0</v>
      </c>
      <c r="U78" s="450">
        <f>'AVT187'!BI34</f>
        <v>0</v>
      </c>
      <c r="V78" s="450">
        <f>'AVT251'!AZ18</f>
        <v>0</v>
      </c>
      <c r="W78" s="450">
        <f>'AVT251'!BI29</f>
        <v>0</v>
      </c>
      <c r="X78" s="41"/>
      <c r="Y78" s="41"/>
      <c r="Z78" s="450">
        <f>'AVT101(vn-A)'!AZ22</f>
        <v>0</v>
      </c>
      <c r="AA78" s="450">
        <f>'AVT101(vn-A)'!BI34</f>
        <v>0</v>
      </c>
      <c r="AB78" s="450">
        <f>'AVT139(vn-A)'!AZ19</f>
        <v>0</v>
      </c>
      <c r="AC78" s="450">
        <f>'AVT139(vn-A)'!BI29</f>
        <v>0</v>
      </c>
      <c r="AD78" s="450">
        <f>'AVT187(vn-A)'!AZ22</f>
        <v>0</v>
      </c>
      <c r="AE78" s="450">
        <f>'AVT187(vn-A)'!BI34</f>
        <v>0</v>
      </c>
      <c r="AF78" s="41"/>
      <c r="AG78" s="41"/>
      <c r="AH78" s="450">
        <f>'AVT187(vn-S)'!AZ22</f>
        <v>0</v>
      </c>
      <c r="AI78" s="450">
        <f>'AVT187(vn-S)'!BI34</f>
        <v>0</v>
      </c>
      <c r="AJ78" s="41"/>
      <c r="AK78" s="41"/>
      <c r="AL78" s="41"/>
      <c r="AM78" s="41"/>
      <c r="AN78" s="450">
        <f>'AVT-celny-101+187'!AZ32</f>
        <v>0</v>
      </c>
      <c r="AO78" s="450">
        <f>'AVT-celny-101+187'!BI54</f>
        <v>0</v>
      </c>
      <c r="AP78" s="450">
        <f>'AVT-celny-139+187'!AZ27</f>
        <v>0</v>
      </c>
      <c r="AQ78" s="450">
        <f>'AVT-celny-139+187'!BI45</f>
        <v>0</v>
      </c>
      <c r="AR78" s="450">
        <f>'AVT-celny-2x187'!AZ22</f>
        <v>0</v>
      </c>
      <c r="AS78" s="450">
        <f>'AVT-celny-2x187'!BI34</f>
        <v>0</v>
      </c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203"/>
      <c r="BP78" s="203"/>
      <c r="BQ78" s="203"/>
      <c r="BR78" s="203"/>
      <c r="BS78" s="203"/>
      <c r="BT78" s="203"/>
      <c r="BU78" s="203"/>
      <c r="BV78" s="203"/>
      <c r="BW78" s="62"/>
      <c r="BX78" s="185"/>
      <c r="BY78" s="35"/>
      <c r="BZ78" s="27"/>
      <c r="CA78" s="27"/>
      <c r="CB78" s="27"/>
      <c r="CC78" s="27"/>
      <c r="CD78" s="27"/>
      <c r="CE78" s="27"/>
      <c r="CF78" s="27"/>
    </row>
    <row r="79" spans="1:84" ht="15" customHeight="1">
      <c r="A79" s="4"/>
      <c r="B79" s="439">
        <f>IF($AA$7=$AA$8,CENY!B141,IF($AA$7=$AA$9,CENY!B150,IF($AA$7=$AA$10,CENY!B159,IF($AA$7=$AA$11,CENY!B498,IF($AA$7=$AA$12,CENY!B507,IF($AA$7=$AA$13,CENY!B516,IF($AA$7=$AA$14,CENY!B525,CENY!B534)))))))</f>
        <v>9255812</v>
      </c>
      <c r="C79" s="48" t="str">
        <f>VLOOKUP(B79,CENY!$B$11:$G$1034,2,FALSE)</f>
        <v>AVANTECH YOU DEKORATIVNÍ PROFIL NL650 MM STŘÍBRNÝ</v>
      </c>
      <c r="D79" s="488">
        <f>VLOOKUP(B79,CENY!$B$11:$G$1034,3,FALSE)</f>
        <v>200</v>
      </c>
      <c r="E79" s="63" t="str">
        <f>IF(VLOOKUP(B79,CENY!$B$11:$G$1034,4,FALSE)=0,"",VLOOKUP(B79,CENY!$B$11:$G$1034,4,FALSE))</f>
        <v/>
      </c>
      <c r="F79" s="45" t="str">
        <f t="shared" si="8"/>
        <v/>
      </c>
      <c r="G79" s="59">
        <f>VLOOKUP(B79,CENY!$B$11:$M$1034,12,FALSE)</f>
        <v>10.74</v>
      </c>
      <c r="H79" s="61" t="str">
        <f t="shared" si="0"/>
        <v xml:space="preserve"> CZK</v>
      </c>
      <c r="I79" s="46" t="str">
        <f t="shared" si="1"/>
        <v/>
      </c>
      <c r="J79" s="138"/>
      <c r="K79" s="47">
        <f>VLOOKUP(B79,CENY!$B$11:$M$1034,8,FALSE)</f>
        <v>0</v>
      </c>
      <c r="L79" s="47" t="str">
        <f>VLOOKUP(B79,CENY!$B$11:$M$1034,9,FALSE)</f>
        <v xml:space="preserve"> </v>
      </c>
      <c r="M79" s="55"/>
      <c r="N79" s="38">
        <f t="shared" si="9"/>
        <v>0</v>
      </c>
      <c r="O79" s="39">
        <v>0</v>
      </c>
      <c r="P79" s="450">
        <f>'AVT101'!AZ23</f>
        <v>0</v>
      </c>
      <c r="Q79" s="450">
        <f>'AVT101'!BI35</f>
        <v>0</v>
      </c>
      <c r="R79" s="41"/>
      <c r="S79" s="41"/>
      <c r="T79" s="450">
        <f>'AVT187'!AZ23</f>
        <v>0</v>
      </c>
      <c r="U79" s="450">
        <f>'AVT187'!BI35</f>
        <v>0</v>
      </c>
      <c r="V79" s="450">
        <f>'AVT251'!AZ19</f>
        <v>0</v>
      </c>
      <c r="W79" s="450">
        <f>'AVT251'!BI30</f>
        <v>0</v>
      </c>
      <c r="X79" s="41"/>
      <c r="Y79" s="41"/>
      <c r="Z79" s="450">
        <f>'AVT101(vn-A)'!AZ23</f>
        <v>0</v>
      </c>
      <c r="AA79" s="450">
        <f>'AVT101(vn-A)'!BI35</f>
        <v>0</v>
      </c>
      <c r="AB79" s="41"/>
      <c r="AC79" s="41"/>
      <c r="AD79" s="450">
        <f>'AVT187(vn-A)'!AZ23</f>
        <v>0</v>
      </c>
      <c r="AE79" s="450">
        <f>'AVT187(vn-A)'!BI35</f>
        <v>0</v>
      </c>
      <c r="AF79" s="41"/>
      <c r="AG79" s="41"/>
      <c r="AH79" s="450">
        <f>'AVT187(vn-S)'!AZ23</f>
        <v>0</v>
      </c>
      <c r="AI79" s="450">
        <f>'AVT187(vn-S)'!BI35</f>
        <v>0</v>
      </c>
      <c r="AJ79" s="41"/>
      <c r="AK79" s="41"/>
      <c r="AL79" s="41"/>
      <c r="AM79" s="41"/>
      <c r="AN79" s="450">
        <f>'AVT-celny-101+187'!AZ33</f>
        <v>0</v>
      </c>
      <c r="AO79" s="450">
        <f>'AVT-celny-101+187'!BI55</f>
        <v>0</v>
      </c>
      <c r="AP79" s="41"/>
      <c r="AQ79" s="41"/>
      <c r="AR79" s="450">
        <f>'AVT-celny-2x187'!AZ23</f>
        <v>0</v>
      </c>
      <c r="AS79" s="450">
        <f>'AVT-celny-2x187'!BI35</f>
        <v>0</v>
      </c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203"/>
      <c r="BP79" s="203"/>
      <c r="BQ79" s="203"/>
      <c r="BR79" s="203"/>
      <c r="BS79" s="203"/>
      <c r="BT79" s="203"/>
      <c r="BU79" s="203"/>
      <c r="BV79" s="203"/>
      <c r="BW79" s="62"/>
      <c r="BX79" s="185"/>
      <c r="BY79" s="35"/>
      <c r="BZ79" s="27"/>
      <c r="CA79" s="27"/>
      <c r="CB79" s="27"/>
      <c r="CC79" s="27"/>
      <c r="CD79" s="27"/>
      <c r="CE79" s="27"/>
      <c r="CF79" s="27"/>
    </row>
    <row r="80" spans="1:84" ht="8.1" customHeight="1">
      <c r="A80" s="4"/>
      <c r="B80" s="439"/>
      <c r="C80" s="48"/>
      <c r="D80" s="44"/>
      <c r="E80" s="63"/>
      <c r="F80" s="45"/>
      <c r="G80" s="59"/>
      <c r="H80" s="61"/>
      <c r="I80" s="46"/>
      <c r="J80" s="138"/>
      <c r="K80" s="47"/>
      <c r="L80" s="47"/>
      <c r="M80" s="55"/>
      <c r="N80" s="38"/>
      <c r="O80" s="39">
        <v>0</v>
      </c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203"/>
      <c r="BP80" s="203"/>
      <c r="BQ80" s="203"/>
      <c r="BR80" s="203"/>
      <c r="BS80" s="203"/>
      <c r="BT80" s="203"/>
      <c r="BU80" s="203"/>
      <c r="BV80" s="203"/>
      <c r="BW80" s="62"/>
      <c r="BX80" s="185"/>
      <c r="BY80" s="35"/>
      <c r="BZ80" s="27"/>
      <c r="CA80" s="27"/>
      <c r="CB80" s="27"/>
      <c r="CC80" s="27"/>
      <c r="CD80" s="27"/>
      <c r="CE80" s="27"/>
      <c r="CF80" s="27"/>
    </row>
    <row r="81" spans="1:84" ht="15" customHeight="1">
      <c r="A81" s="4"/>
      <c r="B81" s="439">
        <f>IF($Q$8=$Q$7,CENY!B163,IF($Q$7=$Q$9,CENY!B170,CENY!B177))</f>
        <v>9255254</v>
      </c>
      <c r="C81" s="48" t="str">
        <f>VLOOKUP(B81,CENY!$B$11:$G$1034,2,FALSE)</f>
        <v>AVANTECH YOU BOKY V SADĚ V139 MM NL300 MM STŘÍBRNÁ</v>
      </c>
      <c r="D81" s="501">
        <f>VLOOKUP(B81,CENY!$B$11:$G$1034,3,FALSE)</f>
        <v>1</v>
      </c>
      <c r="E81" s="63" t="str">
        <f>IF(VLOOKUP(B81,CENY!$B$11:$G$1034,4,FALSE)=0,"",VLOOKUP(B81,CENY!$B$11:$G$1034,4,FALSE))</f>
        <v/>
      </c>
      <c r="F81" s="45" t="str">
        <f t="shared" ref="F81:F87" si="10">IF(J81&lt;&gt;"",J81,IF(N81=0,"",N81))</f>
        <v/>
      </c>
      <c r="G81" s="59">
        <f>VLOOKUP(B81,CENY!$B$11:$M$1034,12,FALSE)</f>
        <v>682.46</v>
      </c>
      <c r="H81" s="61" t="str">
        <f t="shared" si="0"/>
        <v xml:space="preserve"> CZK</v>
      </c>
      <c r="I81" s="46" t="str">
        <f t="shared" si="1"/>
        <v/>
      </c>
      <c r="J81" s="138"/>
      <c r="K81" s="47">
        <f>VLOOKUP(B81,CENY!$B$11:$M$1034,8,FALSE)</f>
        <v>0</v>
      </c>
      <c r="L81" s="47" t="str">
        <f>VLOOKUP(B81,CENY!$B$11:$M$1034,9,FALSE)</f>
        <v xml:space="preserve"> </v>
      </c>
      <c r="M81" s="55"/>
      <c r="N81" s="38">
        <f t="shared" ref="N81:N87" si="11">SUM(P81:BX81)</f>
        <v>0</v>
      </c>
      <c r="O81" s="39">
        <v>0</v>
      </c>
      <c r="P81" s="41"/>
      <c r="Q81" s="41"/>
      <c r="R81" s="450">
        <f>'AVT139'!AZ5</f>
        <v>0</v>
      </c>
      <c r="S81" s="41"/>
      <c r="T81" s="41"/>
      <c r="U81" s="41"/>
      <c r="V81" s="41"/>
      <c r="W81" s="41"/>
      <c r="X81" s="41"/>
      <c r="Y81" s="41"/>
      <c r="Z81" s="41"/>
      <c r="AA81" s="41"/>
      <c r="AB81" s="450">
        <f>'AVT139(vn-A)'!AZ5</f>
        <v>0</v>
      </c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50">
        <f>'AVT-celny-139+187'!AZ5</f>
        <v>0</v>
      </c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203"/>
      <c r="BP81" s="203"/>
      <c r="BQ81" s="203"/>
      <c r="BR81" s="203"/>
      <c r="BS81" s="203"/>
      <c r="BT81" s="203"/>
      <c r="BU81" s="203"/>
      <c r="BV81" s="203"/>
      <c r="BW81" s="62"/>
      <c r="BX81" s="185"/>
      <c r="BY81" s="35"/>
      <c r="BZ81" s="27"/>
      <c r="CA81" s="27"/>
      <c r="CB81" s="27"/>
      <c r="CC81" s="27"/>
      <c r="CD81" s="27"/>
      <c r="CE81" s="27"/>
      <c r="CF81" s="27"/>
    </row>
    <row r="82" spans="1:84" ht="15" customHeight="1">
      <c r="A82" s="4"/>
      <c r="B82" s="439">
        <f>IF($Q$8=$Q$7,CENY!B164,IF($Q$7=$Q$9,CENY!B171,CENY!B178))</f>
        <v>9255255</v>
      </c>
      <c r="C82" s="48" t="str">
        <f>VLOOKUP(B82,CENY!$B$11:$G$1034,2,FALSE)</f>
        <v>AVANTECH YOU BOKY V SADĚ V139 MM NL350 MM STŘÍBRNÁ</v>
      </c>
      <c r="D82" s="501">
        <f>VLOOKUP(B82,CENY!$B$11:$G$1034,3,FALSE)</f>
        <v>1</v>
      </c>
      <c r="E82" s="63" t="str">
        <f>IF(VLOOKUP(B82,CENY!$B$11:$G$1034,4,FALSE)=0,"",VLOOKUP(B82,CENY!$B$11:$G$1034,4,FALSE))</f>
        <v/>
      </c>
      <c r="F82" s="45" t="str">
        <f t="shared" si="10"/>
        <v/>
      </c>
      <c r="G82" s="59">
        <f>VLOOKUP(B82,CENY!$B$11:$M$1034,12,FALSE)</f>
        <v>691.23</v>
      </c>
      <c r="H82" s="61" t="str">
        <f t="shared" si="0"/>
        <v xml:space="preserve"> CZK</v>
      </c>
      <c r="I82" s="46" t="str">
        <f t="shared" si="1"/>
        <v/>
      </c>
      <c r="J82" s="138"/>
      <c r="K82" s="47">
        <f>VLOOKUP(B82,CENY!$B$11:$M$1034,8,FALSE)</f>
        <v>0</v>
      </c>
      <c r="L82" s="47" t="str">
        <f>VLOOKUP(B82,CENY!$B$11:$M$1034,9,FALSE)</f>
        <v xml:space="preserve"> </v>
      </c>
      <c r="M82" s="55"/>
      <c r="N82" s="38">
        <f t="shared" si="11"/>
        <v>0</v>
      </c>
      <c r="O82" s="39">
        <v>0</v>
      </c>
      <c r="P82" s="41"/>
      <c r="Q82" s="41"/>
      <c r="R82" s="450">
        <f>'AVT139'!AZ6</f>
        <v>0</v>
      </c>
      <c r="S82" s="41"/>
      <c r="T82" s="41"/>
      <c r="U82" s="41"/>
      <c r="V82" s="41"/>
      <c r="W82" s="41"/>
      <c r="X82" s="41"/>
      <c r="Y82" s="41"/>
      <c r="Z82" s="41"/>
      <c r="AA82" s="41"/>
      <c r="AB82" s="450">
        <f>'AVT139(vn-A)'!AZ6</f>
        <v>0</v>
      </c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50">
        <f>'AVT-celny-139+187'!AZ6</f>
        <v>0</v>
      </c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203"/>
      <c r="BP82" s="203"/>
      <c r="BQ82" s="203"/>
      <c r="BR82" s="203"/>
      <c r="BS82" s="203"/>
      <c r="BT82" s="203"/>
      <c r="BU82" s="203"/>
      <c r="BV82" s="203"/>
      <c r="BW82" s="62"/>
      <c r="BX82" s="185"/>
      <c r="BY82" s="35"/>
      <c r="BZ82" s="27"/>
      <c r="CA82" s="27"/>
      <c r="CB82" s="27"/>
      <c r="CC82" s="27"/>
      <c r="CD82" s="27"/>
      <c r="CE82" s="27"/>
      <c r="CF82" s="27"/>
    </row>
    <row r="83" spans="1:84" ht="15" customHeight="1">
      <c r="A83" s="4"/>
      <c r="B83" s="439">
        <f>IF($Q$8=$Q$7,CENY!B165,IF($Q$7=$Q$9,CENY!B172,CENY!B179))</f>
        <v>9255256</v>
      </c>
      <c r="C83" s="48" t="str">
        <f>VLOOKUP(B83,CENY!$B$11:$G$1034,2,FALSE)</f>
        <v>AVANTECH YOU BOKY V SADĚ V139 MM NL400 MM STŘÍBRNÁ</v>
      </c>
      <c r="D83" s="501">
        <f>VLOOKUP(B83,CENY!$B$11:$G$1034,3,FALSE)</f>
        <v>1</v>
      </c>
      <c r="E83" s="63" t="str">
        <f>IF(VLOOKUP(B83,CENY!$B$11:$G$1034,4,FALSE)=0,"",VLOOKUP(B83,CENY!$B$11:$G$1034,4,FALSE))</f>
        <v/>
      </c>
      <c r="F83" s="45" t="str">
        <f t="shared" si="10"/>
        <v/>
      </c>
      <c r="G83" s="59">
        <f>VLOOKUP(B83,CENY!$B$11:$M$1034,12,FALSE)</f>
        <v>700.01</v>
      </c>
      <c r="H83" s="61" t="str">
        <f t="shared" si="0"/>
        <v xml:space="preserve"> CZK</v>
      </c>
      <c r="I83" s="46" t="str">
        <f t="shared" si="1"/>
        <v/>
      </c>
      <c r="J83" s="138"/>
      <c r="K83" s="47">
        <f>VLOOKUP(B83,CENY!$B$11:$M$1034,8,FALSE)</f>
        <v>0</v>
      </c>
      <c r="L83" s="47" t="str">
        <f>VLOOKUP(B83,CENY!$B$11:$M$1034,9,FALSE)</f>
        <v xml:space="preserve"> </v>
      </c>
      <c r="M83" s="55"/>
      <c r="N83" s="38">
        <f t="shared" si="11"/>
        <v>0</v>
      </c>
      <c r="O83" s="39">
        <v>0</v>
      </c>
      <c r="P83" s="41"/>
      <c r="Q83" s="41"/>
      <c r="R83" s="450">
        <f>'AVT139'!AZ7</f>
        <v>0</v>
      </c>
      <c r="S83" s="41"/>
      <c r="T83" s="41"/>
      <c r="U83" s="41"/>
      <c r="V83" s="41"/>
      <c r="W83" s="41"/>
      <c r="X83" s="41"/>
      <c r="Y83" s="41"/>
      <c r="Z83" s="41"/>
      <c r="AA83" s="41"/>
      <c r="AB83" s="450">
        <f>'AVT139(vn-A)'!AZ7</f>
        <v>0</v>
      </c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50">
        <f>'AVT-celny-139+187'!AZ7</f>
        <v>0</v>
      </c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203"/>
      <c r="BP83" s="203"/>
      <c r="BQ83" s="203"/>
      <c r="BR83" s="203"/>
      <c r="BS83" s="203"/>
      <c r="BT83" s="203"/>
      <c r="BU83" s="203"/>
      <c r="BV83" s="203"/>
      <c r="BW83" s="62"/>
      <c r="BX83" s="185"/>
      <c r="BY83" s="35"/>
      <c r="BZ83" s="27"/>
      <c r="CA83" s="27"/>
      <c r="CB83" s="27"/>
      <c r="CC83" s="27"/>
      <c r="CD83" s="27"/>
      <c r="CE83" s="27"/>
      <c r="CF83" s="27"/>
    </row>
    <row r="84" spans="1:84" ht="15" customHeight="1">
      <c r="A84" s="4"/>
      <c r="B84" s="439">
        <f>IF($Q$8=$Q$7,CENY!B166,IF($Q$7=$Q$9,CENY!B173,CENY!B180))</f>
        <v>9255257</v>
      </c>
      <c r="C84" s="48" t="str">
        <f>VLOOKUP(B84,CENY!$B$11:$G$1034,2,FALSE)</f>
        <v>AVANTECH YOU BOKY V SADĚ V139 MM NL450 MM STŘÍBRNÁ</v>
      </c>
      <c r="D84" s="501">
        <f>VLOOKUP(B84,CENY!$B$11:$G$1034,3,FALSE)</f>
        <v>1</v>
      </c>
      <c r="E84" s="63" t="str">
        <f>IF(VLOOKUP(B84,CENY!$B$11:$G$1034,4,FALSE)=0,"",VLOOKUP(B84,CENY!$B$11:$G$1034,4,FALSE))</f>
        <v/>
      </c>
      <c r="F84" s="45" t="str">
        <f t="shared" si="10"/>
        <v/>
      </c>
      <c r="G84" s="59">
        <f>VLOOKUP(B84,CENY!$B$11:$M$1034,12,FALSE)</f>
        <v>708.78</v>
      </c>
      <c r="H84" s="61" t="str">
        <f t="shared" si="0"/>
        <v xml:space="preserve"> CZK</v>
      </c>
      <c r="I84" s="46" t="str">
        <f t="shared" si="1"/>
        <v/>
      </c>
      <c r="J84" s="138"/>
      <c r="K84" s="47">
        <f>VLOOKUP(B84,CENY!$B$11:$M$1034,8,FALSE)</f>
        <v>0</v>
      </c>
      <c r="L84" s="47" t="str">
        <f>VLOOKUP(B84,CENY!$B$11:$M$1034,9,FALSE)</f>
        <v xml:space="preserve"> </v>
      </c>
      <c r="M84" s="55"/>
      <c r="N84" s="38">
        <f t="shared" si="11"/>
        <v>0</v>
      </c>
      <c r="O84" s="39">
        <v>0</v>
      </c>
      <c r="P84" s="41"/>
      <c r="Q84" s="41"/>
      <c r="R84" s="450">
        <f>'AVT139'!AZ8</f>
        <v>0</v>
      </c>
      <c r="S84" s="41"/>
      <c r="T84" s="41"/>
      <c r="U84" s="41"/>
      <c r="V84" s="41"/>
      <c r="W84" s="41"/>
      <c r="X84" s="41"/>
      <c r="Y84" s="41"/>
      <c r="Z84" s="41"/>
      <c r="AA84" s="41"/>
      <c r="AB84" s="450">
        <f>'AVT139(vn-A)'!AZ8</f>
        <v>0</v>
      </c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50">
        <f>'AVT-celny-139+187'!AZ8</f>
        <v>0</v>
      </c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203"/>
      <c r="BP84" s="203"/>
      <c r="BQ84" s="203"/>
      <c r="BR84" s="203"/>
      <c r="BS84" s="203"/>
      <c r="BT84" s="203"/>
      <c r="BU84" s="203"/>
      <c r="BV84" s="203"/>
      <c r="BW84" s="62"/>
      <c r="BX84" s="185"/>
      <c r="BY84" s="35"/>
      <c r="BZ84" s="27"/>
      <c r="CA84" s="27"/>
      <c r="CB84" s="27"/>
      <c r="CC84" s="27"/>
      <c r="CD84" s="27"/>
      <c r="CE84" s="27"/>
      <c r="CF84" s="27"/>
    </row>
    <row r="85" spans="1:84" ht="15" customHeight="1">
      <c r="A85" s="4"/>
      <c r="B85" s="439">
        <f>IF($Q$8=$Q$7,CENY!B167,IF($Q$7=$Q$9,CENY!B174,CENY!B181))</f>
        <v>9255258</v>
      </c>
      <c r="C85" s="48" t="str">
        <f>VLOOKUP(B85,CENY!$B$11:$G$1034,2,FALSE)</f>
        <v>AVANTECH YOU BOKY V SADĚ V139 MM NL500 MM STŘÍBRNÁ</v>
      </c>
      <c r="D85" s="501">
        <f>VLOOKUP(B85,CENY!$B$11:$G$1034,3,FALSE)</f>
        <v>1</v>
      </c>
      <c r="E85" s="63" t="str">
        <f>IF(VLOOKUP(B85,CENY!$B$11:$G$1034,4,FALSE)=0,"",VLOOKUP(B85,CENY!$B$11:$G$1034,4,FALSE))</f>
        <v/>
      </c>
      <c r="F85" s="45" t="str">
        <f t="shared" si="10"/>
        <v/>
      </c>
      <c r="G85" s="59">
        <f>VLOOKUP(B85,CENY!$B$11:$M$1034,12,FALSE)</f>
        <v>717.56</v>
      </c>
      <c r="H85" s="61" t="str">
        <f t="shared" si="0"/>
        <v xml:space="preserve"> CZK</v>
      </c>
      <c r="I85" s="46" t="str">
        <f t="shared" si="1"/>
        <v/>
      </c>
      <c r="J85" s="138"/>
      <c r="K85" s="47">
        <f>VLOOKUP(B85,CENY!$B$11:$M$1034,8,FALSE)</f>
        <v>0</v>
      </c>
      <c r="L85" s="47" t="str">
        <f>VLOOKUP(B85,CENY!$B$11:$M$1034,9,FALSE)</f>
        <v xml:space="preserve"> </v>
      </c>
      <c r="M85" s="55"/>
      <c r="N85" s="38">
        <f t="shared" si="11"/>
        <v>0</v>
      </c>
      <c r="O85" s="39">
        <v>0</v>
      </c>
      <c r="P85" s="41"/>
      <c r="Q85" s="41"/>
      <c r="R85" s="450">
        <f>'AVT139'!AZ9</f>
        <v>0</v>
      </c>
      <c r="S85" s="41"/>
      <c r="T85" s="41"/>
      <c r="U85" s="41"/>
      <c r="V85" s="41"/>
      <c r="W85" s="41"/>
      <c r="X85" s="41"/>
      <c r="Y85" s="41"/>
      <c r="Z85" s="41"/>
      <c r="AA85" s="41"/>
      <c r="AB85" s="450">
        <f>'AVT139(vn-A)'!AZ9</f>
        <v>0</v>
      </c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50">
        <f>'AVT-celny-139+187'!AZ9</f>
        <v>0</v>
      </c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203"/>
      <c r="BP85" s="203"/>
      <c r="BQ85" s="203"/>
      <c r="BR85" s="203"/>
      <c r="BS85" s="203"/>
      <c r="BT85" s="203"/>
      <c r="BU85" s="203"/>
      <c r="BV85" s="203"/>
      <c r="BW85" s="62"/>
      <c r="BX85" s="185"/>
      <c r="BY85" s="35"/>
      <c r="BZ85" s="27"/>
      <c r="CA85" s="27"/>
      <c r="CB85" s="27"/>
      <c r="CC85" s="27"/>
      <c r="CD85" s="27"/>
      <c r="CE85" s="27"/>
      <c r="CF85" s="27"/>
    </row>
    <row r="86" spans="1:84" ht="15" customHeight="1">
      <c r="A86" s="4"/>
      <c r="B86" s="439">
        <f>IF($Q$8=$Q$7,CENY!B168,IF($Q$7=$Q$9,CENY!B175,CENY!B182))</f>
        <v>9255259</v>
      </c>
      <c r="C86" s="48" t="str">
        <f>VLOOKUP(B86,CENY!$B$11:$G$1034,2,FALSE)</f>
        <v>AVANTECH YOU BOKY V SADĚ V139 MM NL550 MM STŘÍBRNÁ</v>
      </c>
      <c r="D86" s="501">
        <f>VLOOKUP(B86,CENY!$B$11:$G$1034,3,FALSE)</f>
        <v>1</v>
      </c>
      <c r="E86" s="63" t="str">
        <f>IF(VLOOKUP(B86,CENY!$B$11:$G$1034,4,FALSE)=0,"",VLOOKUP(B86,CENY!$B$11:$G$1034,4,FALSE))</f>
        <v/>
      </c>
      <c r="F86" s="45" t="str">
        <f t="shared" si="10"/>
        <v/>
      </c>
      <c r="G86" s="59">
        <f>VLOOKUP(B86,CENY!$B$11:$M$1034,12,FALSE)</f>
        <v>726.33</v>
      </c>
      <c r="H86" s="61" t="str">
        <f t="shared" si="0"/>
        <v xml:space="preserve"> CZK</v>
      </c>
      <c r="I86" s="46" t="str">
        <f t="shared" si="1"/>
        <v/>
      </c>
      <c r="J86" s="138"/>
      <c r="K86" s="47">
        <f>VLOOKUP(B86,CENY!$B$11:$M$1034,8,FALSE)</f>
        <v>0</v>
      </c>
      <c r="L86" s="47" t="str">
        <f>VLOOKUP(B86,CENY!$B$11:$M$1034,9,FALSE)</f>
        <v xml:space="preserve"> </v>
      </c>
      <c r="M86" s="55"/>
      <c r="N86" s="38">
        <f t="shared" si="11"/>
        <v>0</v>
      </c>
      <c r="O86" s="39">
        <v>0</v>
      </c>
      <c r="P86" s="41"/>
      <c r="Q86" s="41"/>
      <c r="R86" s="450">
        <f>'AVT139'!AZ10</f>
        <v>0</v>
      </c>
      <c r="S86" s="41"/>
      <c r="T86" s="41"/>
      <c r="U86" s="41"/>
      <c r="V86" s="41"/>
      <c r="W86" s="41"/>
      <c r="X86" s="41"/>
      <c r="Y86" s="41"/>
      <c r="Z86" s="41"/>
      <c r="AA86" s="41"/>
      <c r="AB86" s="450">
        <f>'AVT139(vn-A)'!AZ10</f>
        <v>0</v>
      </c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50">
        <f>'AVT-celny-139+187'!AZ10</f>
        <v>0</v>
      </c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203"/>
      <c r="BP86" s="203"/>
      <c r="BQ86" s="203"/>
      <c r="BR86" s="203"/>
      <c r="BS86" s="203"/>
      <c r="BT86" s="203"/>
      <c r="BU86" s="203"/>
      <c r="BV86" s="203"/>
      <c r="BW86" s="62"/>
      <c r="BX86" s="185"/>
      <c r="BY86" s="35"/>
      <c r="BZ86" s="27"/>
      <c r="CA86" s="27"/>
      <c r="CB86" s="27"/>
      <c r="CC86" s="27"/>
      <c r="CD86" s="27"/>
      <c r="CE86" s="27"/>
      <c r="CF86" s="27"/>
    </row>
    <row r="87" spans="1:84" ht="15" customHeight="1">
      <c r="A87" s="4"/>
      <c r="B87" s="439">
        <f>IF($Q$8=$Q$7,CENY!B169,IF($Q$7=$Q$9,CENY!B176,CENY!B183))</f>
        <v>9255260</v>
      </c>
      <c r="C87" s="48" t="str">
        <f>VLOOKUP(B87,CENY!$B$11:$G$1034,2,FALSE)</f>
        <v>AVANTECH YOU BOKY V SADĚ V139 MM NL600 MM STŘÍBRNÁ</v>
      </c>
      <c r="D87" s="501">
        <f>VLOOKUP(B87,CENY!$B$11:$G$1034,3,FALSE)</f>
        <v>1</v>
      </c>
      <c r="E87" s="63" t="str">
        <f>IF(VLOOKUP(B87,CENY!$B$11:$G$1034,4,FALSE)=0,"",VLOOKUP(B87,CENY!$B$11:$G$1034,4,FALSE))</f>
        <v/>
      </c>
      <c r="F87" s="45" t="str">
        <f t="shared" si="10"/>
        <v/>
      </c>
      <c r="G87" s="59">
        <f>VLOOKUP(B87,CENY!$B$11:$M$1034,12,FALSE)</f>
        <v>739.57</v>
      </c>
      <c r="H87" s="61" t="str">
        <f t="shared" si="0"/>
        <v xml:space="preserve"> CZK</v>
      </c>
      <c r="I87" s="46" t="str">
        <f t="shared" si="1"/>
        <v/>
      </c>
      <c r="J87" s="138"/>
      <c r="K87" s="47">
        <f>VLOOKUP(B87,CENY!$B$11:$M$1034,8,FALSE)</f>
        <v>0</v>
      </c>
      <c r="L87" s="47" t="str">
        <f>VLOOKUP(B87,CENY!$B$11:$M$1034,9,FALSE)</f>
        <v xml:space="preserve"> </v>
      </c>
      <c r="M87" s="55"/>
      <c r="N87" s="38">
        <f t="shared" si="11"/>
        <v>0</v>
      </c>
      <c r="O87" s="39">
        <v>0</v>
      </c>
      <c r="P87" s="41"/>
      <c r="Q87" s="41"/>
      <c r="R87" s="450">
        <f>'AVT139'!AZ11</f>
        <v>0</v>
      </c>
      <c r="S87" s="41"/>
      <c r="T87" s="41"/>
      <c r="U87" s="41"/>
      <c r="V87" s="41"/>
      <c r="W87" s="41"/>
      <c r="X87" s="41"/>
      <c r="Y87" s="41"/>
      <c r="Z87" s="41"/>
      <c r="AA87" s="41"/>
      <c r="AB87" s="450">
        <f>'AVT139(vn-A)'!AZ11</f>
        <v>0</v>
      </c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50">
        <f>'AVT-celny-139+187'!AZ11</f>
        <v>0</v>
      </c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203"/>
      <c r="BP87" s="203"/>
      <c r="BQ87" s="203"/>
      <c r="BR87" s="203"/>
      <c r="BS87" s="203"/>
      <c r="BT87" s="203"/>
      <c r="BU87" s="203"/>
      <c r="BV87" s="203"/>
      <c r="BW87" s="62"/>
      <c r="BX87" s="185"/>
      <c r="BY87" s="35"/>
      <c r="BZ87" s="27"/>
      <c r="CA87" s="27"/>
      <c r="CB87" s="27"/>
      <c r="CC87" s="27"/>
      <c r="CD87" s="27"/>
      <c r="CE87" s="27"/>
      <c r="CF87" s="27"/>
    </row>
    <row r="88" spans="1:84" ht="8.1" customHeight="1">
      <c r="A88" s="4"/>
      <c r="B88" s="439"/>
      <c r="C88" s="48"/>
      <c r="D88" s="44"/>
      <c r="E88" s="63"/>
      <c r="F88" s="45"/>
      <c r="G88" s="59"/>
      <c r="H88" s="61"/>
      <c r="I88" s="46"/>
      <c r="J88" s="138"/>
      <c r="K88" s="47"/>
      <c r="L88" s="47"/>
      <c r="M88" s="55"/>
      <c r="N88" s="38"/>
      <c r="O88" s="39">
        <v>0</v>
      </c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203"/>
      <c r="BP88" s="203"/>
      <c r="BQ88" s="203"/>
      <c r="BR88" s="203"/>
      <c r="BS88" s="203"/>
      <c r="BT88" s="203"/>
      <c r="BU88" s="203"/>
      <c r="BV88" s="203"/>
      <c r="BW88" s="62"/>
      <c r="BX88" s="185"/>
      <c r="BY88" s="35"/>
      <c r="BZ88" s="27"/>
      <c r="CA88" s="27"/>
      <c r="CB88" s="27"/>
      <c r="CC88" s="27"/>
      <c r="CD88" s="27"/>
      <c r="CE88" s="27"/>
      <c r="CF88" s="27"/>
    </row>
    <row r="89" spans="1:84" ht="15" customHeight="1">
      <c r="A89" s="4"/>
      <c r="B89" s="439">
        <f>IF($Q$8=$Q$7,CENY!B184,IF($Q$7=$Q$9,CENY!B198,CENY!B212))</f>
        <v>9255028</v>
      </c>
      <c r="C89" s="48" t="str">
        <f>VLOOKUP(B89,CENY!$B$11:$G$1034,2,FALSE)</f>
        <v>AVANTECH YOU BOK V139 MM NL300 MM STŘÍBRNÝ LEVÝ</v>
      </c>
      <c r="D89" s="488">
        <f>VLOOKUP(B89,CENY!$B$11:$G$1034,3,FALSE)</f>
        <v>20</v>
      </c>
      <c r="E89" s="63" t="str">
        <f>IF(VLOOKUP(B89,CENY!$B$11:$G$1034,4,FALSE)=0,"",VLOOKUP(B89,CENY!$B$11:$G$1034,4,FALSE))</f>
        <v/>
      </c>
      <c r="F89" s="45" t="str">
        <f t="shared" ref="F89:F102" si="12">IF(J89&lt;&gt;"",J89,IF(N89=0,"",N89))</f>
        <v/>
      </c>
      <c r="G89" s="59">
        <f>VLOOKUP(B89,CENY!$B$11:$M$1034,12,FALSE)</f>
        <v>229.12</v>
      </c>
      <c r="H89" s="61" t="str">
        <f t="shared" ref="H89:H151" si="13">IF(G89="","",$H$22)</f>
        <v xml:space="preserve"> CZK</v>
      </c>
      <c r="I89" s="46" t="str">
        <f t="shared" ref="I89:I151" si="14">IF(F89="","",G89*F89)</f>
        <v/>
      </c>
      <c r="J89" s="138"/>
      <c r="K89" s="47">
        <f>VLOOKUP(B89,CENY!$B$11:$M$1034,8,FALSE)</f>
        <v>0</v>
      </c>
      <c r="L89" s="47" t="str">
        <f>VLOOKUP(B89,CENY!$B$11:$M$1034,9,FALSE)</f>
        <v xml:space="preserve"> </v>
      </c>
      <c r="M89" s="55"/>
      <c r="N89" s="38">
        <f t="shared" ref="N89:N104" si="15">SUM(P89:BX89)</f>
        <v>0</v>
      </c>
      <c r="O89" s="39">
        <v>0</v>
      </c>
      <c r="P89" s="41"/>
      <c r="Q89" s="41"/>
      <c r="R89" s="41"/>
      <c r="S89" s="450">
        <f>'AVT139'!BI5</f>
        <v>0</v>
      </c>
      <c r="T89" s="41"/>
      <c r="U89" s="41"/>
      <c r="V89" s="41"/>
      <c r="W89" s="41"/>
      <c r="X89" s="41"/>
      <c r="Y89" s="41"/>
      <c r="Z89" s="41"/>
      <c r="AA89" s="41"/>
      <c r="AB89" s="41"/>
      <c r="AC89" s="450">
        <f>'AVT139(vn-A)'!BI5</f>
        <v>0</v>
      </c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50">
        <f>'AVT-celny-139+187'!BI5</f>
        <v>0</v>
      </c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203"/>
      <c r="BP89" s="203"/>
      <c r="BQ89" s="203"/>
      <c r="BR89" s="203"/>
      <c r="BS89" s="203"/>
      <c r="BT89" s="203"/>
      <c r="BU89" s="203"/>
      <c r="BV89" s="203"/>
      <c r="BW89" s="62"/>
      <c r="BX89" s="185"/>
      <c r="BY89" s="35"/>
      <c r="BZ89" s="27"/>
      <c r="CA89" s="27"/>
      <c r="CB89" s="27"/>
      <c r="CC89" s="27"/>
      <c r="CD89" s="27"/>
      <c r="CE89" s="27"/>
      <c r="CF89" s="27"/>
    </row>
    <row r="90" spans="1:84" ht="15" customHeight="1">
      <c r="A90" s="4"/>
      <c r="B90" s="439">
        <f>IF($Q$8=$Q$7,CENY!B185,IF($Q$7=$Q$9,CENY!B199,CENY!B213))</f>
        <v>9255029</v>
      </c>
      <c r="C90" s="48" t="str">
        <f>VLOOKUP(B90,CENY!$B$11:$G$1034,2,FALSE)</f>
        <v>AVANTECH YOU BOK V139 MM NL300 MM STŘÍBRNÝ PRAVÝ</v>
      </c>
      <c r="D90" s="488">
        <f>VLOOKUP(B90,CENY!$B$11:$G$1034,3,FALSE)</f>
        <v>20</v>
      </c>
      <c r="E90" s="63" t="str">
        <f>IF(VLOOKUP(B90,CENY!$B$11:$G$1034,4,FALSE)=0,"",VLOOKUP(B90,CENY!$B$11:$G$1034,4,FALSE))</f>
        <v/>
      </c>
      <c r="F90" s="45" t="str">
        <f t="shared" si="12"/>
        <v/>
      </c>
      <c r="G90" s="59">
        <f>VLOOKUP(B90,CENY!$B$11:$M$1034,12,FALSE)</f>
        <v>229.12</v>
      </c>
      <c r="H90" s="61" t="str">
        <f t="shared" si="13"/>
        <v xml:space="preserve"> CZK</v>
      </c>
      <c r="I90" s="46" t="str">
        <f t="shared" si="14"/>
        <v/>
      </c>
      <c r="J90" s="138"/>
      <c r="K90" s="47">
        <f>VLOOKUP(B90,CENY!$B$11:$M$1034,8,FALSE)</f>
        <v>0</v>
      </c>
      <c r="L90" s="47" t="str">
        <f>VLOOKUP(B90,CENY!$B$11:$M$1034,9,FALSE)</f>
        <v xml:space="preserve"> </v>
      </c>
      <c r="M90" s="55"/>
      <c r="N90" s="38">
        <f t="shared" si="15"/>
        <v>0</v>
      </c>
      <c r="O90" s="39">
        <v>0</v>
      </c>
      <c r="P90" s="41"/>
      <c r="Q90" s="41"/>
      <c r="R90" s="41"/>
      <c r="S90" s="450">
        <f>'AVT139'!BI6</f>
        <v>0</v>
      </c>
      <c r="T90" s="41"/>
      <c r="U90" s="41"/>
      <c r="V90" s="41"/>
      <c r="W90" s="41"/>
      <c r="X90" s="41"/>
      <c r="Y90" s="41"/>
      <c r="Z90" s="41"/>
      <c r="AA90" s="41"/>
      <c r="AB90" s="41"/>
      <c r="AC90" s="450">
        <f>'AVT139(vn-A)'!BI6</f>
        <v>0</v>
      </c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50">
        <f>'AVT-celny-139+187'!BI6</f>
        <v>0</v>
      </c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203"/>
      <c r="BP90" s="203"/>
      <c r="BQ90" s="203"/>
      <c r="BR90" s="203"/>
      <c r="BS90" s="203"/>
      <c r="BT90" s="203"/>
      <c r="BU90" s="203"/>
      <c r="BV90" s="203"/>
      <c r="BW90" s="62"/>
      <c r="BX90" s="185"/>
      <c r="BY90" s="35"/>
      <c r="BZ90" s="27"/>
      <c r="CA90" s="27"/>
      <c r="CB90" s="27"/>
      <c r="CC90" s="27"/>
      <c r="CD90" s="27"/>
      <c r="CE90" s="27"/>
      <c r="CF90" s="27"/>
    </row>
    <row r="91" spans="1:84" ht="15" customHeight="1">
      <c r="A91" s="4"/>
      <c r="B91" s="439">
        <f>IF($Q$8=$Q$7,CENY!B186,IF($Q$7=$Q$9,CENY!B200,CENY!B214))</f>
        <v>9255030</v>
      </c>
      <c r="C91" s="48" t="str">
        <f>VLOOKUP(B91,CENY!$B$11:$G$1034,2,FALSE)</f>
        <v>AVANTECH YOU BOK V139 MM NL350 MM STŘÍBRNÝ LEVÝ</v>
      </c>
      <c r="D91" s="488">
        <f>VLOOKUP(B91,CENY!$B$11:$G$1034,3,FALSE)</f>
        <v>20</v>
      </c>
      <c r="E91" s="63" t="str">
        <f>IF(VLOOKUP(B91,CENY!$B$11:$G$1034,4,FALSE)=0,"",VLOOKUP(B91,CENY!$B$11:$G$1034,4,FALSE))</f>
        <v/>
      </c>
      <c r="F91" s="45" t="str">
        <f t="shared" si="12"/>
        <v/>
      </c>
      <c r="G91" s="59">
        <f>VLOOKUP(B91,CENY!$B$11:$M$1034,12,FALSE)</f>
        <v>233.33</v>
      </c>
      <c r="H91" s="61" t="str">
        <f t="shared" si="13"/>
        <v xml:space="preserve"> CZK</v>
      </c>
      <c r="I91" s="46" t="str">
        <f t="shared" si="14"/>
        <v/>
      </c>
      <c r="J91" s="138"/>
      <c r="K91" s="47">
        <f>VLOOKUP(B91,CENY!$B$11:$M$1034,8,FALSE)</f>
        <v>0</v>
      </c>
      <c r="L91" s="47" t="str">
        <f>VLOOKUP(B91,CENY!$B$11:$M$1034,9,FALSE)</f>
        <v xml:space="preserve"> </v>
      </c>
      <c r="M91" s="55"/>
      <c r="N91" s="38">
        <f t="shared" si="15"/>
        <v>0</v>
      </c>
      <c r="O91" s="39">
        <v>0</v>
      </c>
      <c r="P91" s="41"/>
      <c r="Q91" s="41"/>
      <c r="R91" s="41"/>
      <c r="S91" s="450">
        <f>'AVT139'!BI7</f>
        <v>0</v>
      </c>
      <c r="T91" s="41"/>
      <c r="U91" s="41"/>
      <c r="V91" s="41"/>
      <c r="W91" s="41"/>
      <c r="X91" s="41"/>
      <c r="Y91" s="41"/>
      <c r="Z91" s="41"/>
      <c r="AA91" s="41"/>
      <c r="AB91" s="41"/>
      <c r="AC91" s="450">
        <f>'AVT139(vn-A)'!BI7</f>
        <v>0</v>
      </c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50">
        <f>'AVT-celny-139+187'!BI7</f>
        <v>0</v>
      </c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203"/>
      <c r="BP91" s="203"/>
      <c r="BQ91" s="203"/>
      <c r="BR91" s="203"/>
      <c r="BS91" s="203"/>
      <c r="BT91" s="203"/>
      <c r="BU91" s="203"/>
      <c r="BV91" s="203"/>
      <c r="BW91" s="62"/>
      <c r="BX91" s="185"/>
      <c r="BY91" s="35"/>
      <c r="BZ91" s="27"/>
      <c r="CA91" s="27"/>
      <c r="CB91" s="27"/>
      <c r="CC91" s="27"/>
      <c r="CD91" s="27"/>
      <c r="CE91" s="27"/>
      <c r="CF91" s="27"/>
    </row>
    <row r="92" spans="1:84" ht="15" customHeight="1">
      <c r="A92" s="4"/>
      <c r="B92" s="439">
        <f>IF($Q$8=$Q$7,CENY!B187,IF($Q$7=$Q$9,CENY!B201,CENY!B215))</f>
        <v>9255031</v>
      </c>
      <c r="C92" s="48" t="str">
        <f>VLOOKUP(B92,CENY!$B$11:$G$1034,2,FALSE)</f>
        <v>AVANTECH YOU BOK V139 MM NL350 MM STŘÍBRNÝ PRAVÝ</v>
      </c>
      <c r="D92" s="488">
        <f>VLOOKUP(B92,CENY!$B$11:$G$1034,3,FALSE)</f>
        <v>20</v>
      </c>
      <c r="E92" s="63" t="str">
        <f>IF(VLOOKUP(B92,CENY!$B$11:$G$1034,4,FALSE)=0,"",VLOOKUP(B92,CENY!$B$11:$G$1034,4,FALSE))</f>
        <v/>
      </c>
      <c r="F92" s="45" t="str">
        <f t="shared" si="12"/>
        <v/>
      </c>
      <c r="G92" s="59">
        <f>VLOOKUP(B92,CENY!$B$11:$M$1034,12,FALSE)</f>
        <v>233.33</v>
      </c>
      <c r="H92" s="61" t="str">
        <f t="shared" si="13"/>
        <v xml:space="preserve"> CZK</v>
      </c>
      <c r="I92" s="46" t="str">
        <f t="shared" si="14"/>
        <v/>
      </c>
      <c r="J92" s="138"/>
      <c r="K92" s="47">
        <f>VLOOKUP(B92,CENY!$B$11:$M$1034,8,FALSE)</f>
        <v>0</v>
      </c>
      <c r="L92" s="47" t="str">
        <f>VLOOKUP(B92,CENY!$B$11:$M$1034,9,FALSE)</f>
        <v xml:space="preserve"> </v>
      </c>
      <c r="M92" s="55"/>
      <c r="N92" s="38">
        <f t="shared" si="15"/>
        <v>0</v>
      </c>
      <c r="O92" s="39">
        <v>0</v>
      </c>
      <c r="P92" s="41"/>
      <c r="Q92" s="41"/>
      <c r="R92" s="41"/>
      <c r="S92" s="450">
        <f>'AVT139'!BI8</f>
        <v>0</v>
      </c>
      <c r="T92" s="41"/>
      <c r="U92" s="41"/>
      <c r="V92" s="41"/>
      <c r="W92" s="41"/>
      <c r="X92" s="41"/>
      <c r="Y92" s="41"/>
      <c r="Z92" s="41"/>
      <c r="AA92" s="41"/>
      <c r="AB92" s="41"/>
      <c r="AC92" s="450">
        <f>'AVT139(vn-A)'!BI8</f>
        <v>0</v>
      </c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50">
        <f>'AVT-celny-139+187'!BI8</f>
        <v>0</v>
      </c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203"/>
      <c r="BP92" s="203"/>
      <c r="BQ92" s="203"/>
      <c r="BR92" s="203"/>
      <c r="BS92" s="203"/>
      <c r="BT92" s="203"/>
      <c r="BU92" s="203"/>
      <c r="BV92" s="203"/>
      <c r="BW92" s="62"/>
      <c r="BX92" s="185"/>
      <c r="BY92" s="35"/>
      <c r="BZ92" s="27"/>
      <c r="CA92" s="27"/>
      <c r="CB92" s="27"/>
      <c r="CC92" s="27"/>
      <c r="CD92" s="27"/>
      <c r="CE92" s="27"/>
      <c r="CF92" s="27"/>
    </row>
    <row r="93" spans="1:84" ht="15" customHeight="1">
      <c r="A93" s="4"/>
      <c r="B93" s="439">
        <f>IF($Q$8=$Q$7,CENY!B188,IF($Q$7=$Q$9,CENY!B202,CENY!B216))</f>
        <v>9255032</v>
      </c>
      <c r="C93" s="48" t="str">
        <f>VLOOKUP(B93,CENY!$B$11:$G$1034,2,FALSE)</f>
        <v>AVANTECH YOU BOK V139 MM NL400 MM STŘÍBRNÝ LEVÝ</v>
      </c>
      <c r="D93" s="488">
        <f>VLOOKUP(B93,CENY!$B$11:$G$1034,3,FALSE)</f>
        <v>20</v>
      </c>
      <c r="E93" s="63" t="str">
        <f>IF(VLOOKUP(B93,CENY!$B$11:$G$1034,4,FALSE)=0,"",VLOOKUP(B93,CENY!$B$11:$G$1034,4,FALSE))</f>
        <v/>
      </c>
      <c r="F93" s="45" t="str">
        <f t="shared" si="12"/>
        <v/>
      </c>
      <c r="G93" s="59">
        <f>VLOOKUP(B93,CENY!$B$11:$M$1034,12,FALSE)</f>
        <v>237.55</v>
      </c>
      <c r="H93" s="61" t="str">
        <f t="shared" si="13"/>
        <v xml:space="preserve"> CZK</v>
      </c>
      <c r="I93" s="46" t="str">
        <f t="shared" si="14"/>
        <v/>
      </c>
      <c r="J93" s="138"/>
      <c r="K93" s="47">
        <f>VLOOKUP(B93,CENY!$B$11:$M$1034,8,FALSE)</f>
        <v>0</v>
      </c>
      <c r="L93" s="47" t="str">
        <f>VLOOKUP(B93,CENY!$B$11:$M$1034,9,FALSE)</f>
        <v xml:space="preserve"> </v>
      </c>
      <c r="M93" s="55"/>
      <c r="N93" s="38">
        <f t="shared" si="15"/>
        <v>0</v>
      </c>
      <c r="O93" s="39">
        <v>0</v>
      </c>
      <c r="P93" s="41"/>
      <c r="Q93" s="41"/>
      <c r="R93" s="41"/>
      <c r="S93" s="450">
        <f>'AVT139'!BI9</f>
        <v>0</v>
      </c>
      <c r="T93" s="41"/>
      <c r="U93" s="41"/>
      <c r="V93" s="41"/>
      <c r="W93" s="41"/>
      <c r="X93" s="41"/>
      <c r="Y93" s="41"/>
      <c r="Z93" s="41"/>
      <c r="AA93" s="41"/>
      <c r="AB93" s="41"/>
      <c r="AC93" s="450">
        <f>'AVT139(vn-A)'!BI9</f>
        <v>0</v>
      </c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50">
        <f>'AVT-celny-139+187'!BI9</f>
        <v>0</v>
      </c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203"/>
      <c r="BP93" s="203"/>
      <c r="BQ93" s="203"/>
      <c r="BR93" s="203"/>
      <c r="BS93" s="203"/>
      <c r="BT93" s="203"/>
      <c r="BU93" s="203"/>
      <c r="BV93" s="203"/>
      <c r="BW93" s="62"/>
      <c r="BX93" s="185"/>
      <c r="BY93" s="35"/>
      <c r="BZ93" s="27"/>
      <c r="CA93" s="27"/>
      <c r="CB93" s="27"/>
      <c r="CC93" s="27"/>
      <c r="CD93" s="27"/>
      <c r="CE93" s="27"/>
      <c r="CF93" s="27"/>
    </row>
    <row r="94" spans="1:84" ht="15" customHeight="1">
      <c r="A94" s="4"/>
      <c r="B94" s="439">
        <f>IF($Q$8=$Q$7,CENY!B189,IF($Q$7=$Q$9,CENY!B203,CENY!B217))</f>
        <v>9255033</v>
      </c>
      <c r="C94" s="48" t="str">
        <f>VLOOKUP(B94,CENY!$B$11:$G$1034,2,FALSE)</f>
        <v>AVANTECH YOU BOK V139 MM NL400 MM STŘÍBRNÝ PRAVÝ</v>
      </c>
      <c r="D94" s="488">
        <f>VLOOKUP(B94,CENY!$B$11:$G$1034,3,FALSE)</f>
        <v>20</v>
      </c>
      <c r="E94" s="63" t="str">
        <f>IF(VLOOKUP(B94,CENY!$B$11:$G$1034,4,FALSE)=0,"",VLOOKUP(B94,CENY!$B$11:$G$1034,4,FALSE))</f>
        <v/>
      </c>
      <c r="F94" s="45" t="str">
        <f t="shared" si="12"/>
        <v/>
      </c>
      <c r="G94" s="59">
        <f>VLOOKUP(B94,CENY!$B$11:$M$1034,12,FALSE)</f>
        <v>237.55</v>
      </c>
      <c r="H94" s="61" t="str">
        <f t="shared" si="13"/>
        <v xml:space="preserve"> CZK</v>
      </c>
      <c r="I94" s="46" t="str">
        <f t="shared" si="14"/>
        <v/>
      </c>
      <c r="J94" s="138"/>
      <c r="K94" s="47">
        <f>VLOOKUP(B94,CENY!$B$11:$M$1034,8,FALSE)</f>
        <v>0</v>
      </c>
      <c r="L94" s="47" t="str">
        <f>VLOOKUP(B94,CENY!$B$11:$M$1034,9,FALSE)</f>
        <v xml:space="preserve"> </v>
      </c>
      <c r="M94" s="55"/>
      <c r="N94" s="38">
        <f t="shared" si="15"/>
        <v>0</v>
      </c>
      <c r="O94" s="39">
        <v>0</v>
      </c>
      <c r="P94" s="41"/>
      <c r="Q94" s="41"/>
      <c r="R94" s="41"/>
      <c r="S94" s="450">
        <f>'AVT139'!BI10</f>
        <v>0</v>
      </c>
      <c r="T94" s="41"/>
      <c r="U94" s="41"/>
      <c r="V94" s="41"/>
      <c r="W94" s="41"/>
      <c r="X94" s="41"/>
      <c r="Y94" s="41"/>
      <c r="Z94" s="41"/>
      <c r="AA94" s="41"/>
      <c r="AB94" s="41"/>
      <c r="AC94" s="450">
        <f>'AVT139(vn-A)'!BI10</f>
        <v>0</v>
      </c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50">
        <f>'AVT-celny-139+187'!BI10</f>
        <v>0</v>
      </c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203"/>
      <c r="BP94" s="203"/>
      <c r="BQ94" s="203"/>
      <c r="BR94" s="203"/>
      <c r="BS94" s="203"/>
      <c r="BT94" s="203"/>
      <c r="BU94" s="203"/>
      <c r="BV94" s="203"/>
      <c r="BW94" s="62"/>
      <c r="BX94" s="185"/>
      <c r="BY94" s="35"/>
      <c r="BZ94" s="27"/>
      <c r="CA94" s="27"/>
      <c r="CB94" s="27"/>
      <c r="CC94" s="27"/>
      <c r="CD94" s="27"/>
      <c r="CE94" s="27"/>
      <c r="CF94" s="27"/>
    </row>
    <row r="95" spans="1:84" ht="15" customHeight="1">
      <c r="A95" s="4"/>
      <c r="B95" s="439">
        <f>IF($Q$8=$Q$7,CENY!B190,IF($Q$7=$Q$9,CENY!B204,CENY!B218))</f>
        <v>9255034</v>
      </c>
      <c r="C95" s="48" t="str">
        <f>VLOOKUP(B95,CENY!$B$11:$G$1034,2,FALSE)</f>
        <v>AVANTECH YOU BOK V139 MM NL450 MM STŘÍBRNÝ LEVÝ</v>
      </c>
      <c r="D95" s="488">
        <f>VLOOKUP(B95,CENY!$B$11:$G$1034,3,FALSE)</f>
        <v>20</v>
      </c>
      <c r="E95" s="63" t="str">
        <f>IF(VLOOKUP(B95,CENY!$B$11:$G$1034,4,FALSE)=0,"",VLOOKUP(B95,CENY!$B$11:$G$1034,4,FALSE))</f>
        <v/>
      </c>
      <c r="F95" s="45" t="str">
        <f t="shared" si="12"/>
        <v/>
      </c>
      <c r="G95" s="59">
        <f>VLOOKUP(B95,CENY!$B$11:$M$1034,12,FALSE)</f>
        <v>241.77</v>
      </c>
      <c r="H95" s="61" t="str">
        <f t="shared" si="13"/>
        <v xml:space="preserve"> CZK</v>
      </c>
      <c r="I95" s="46" t="str">
        <f t="shared" si="14"/>
        <v/>
      </c>
      <c r="J95" s="138"/>
      <c r="K95" s="47">
        <f>VLOOKUP(B95,CENY!$B$11:$M$1034,8,FALSE)</f>
        <v>0</v>
      </c>
      <c r="L95" s="47" t="str">
        <f>VLOOKUP(B95,CENY!$B$11:$M$1034,9,FALSE)</f>
        <v xml:space="preserve"> </v>
      </c>
      <c r="M95" s="55"/>
      <c r="N95" s="38">
        <f t="shared" si="15"/>
        <v>0</v>
      </c>
      <c r="O95" s="39">
        <v>0</v>
      </c>
      <c r="P95" s="41"/>
      <c r="Q95" s="41"/>
      <c r="R95" s="41"/>
      <c r="S95" s="450">
        <f>'AVT139'!BI11</f>
        <v>0</v>
      </c>
      <c r="T95" s="41"/>
      <c r="U95" s="41"/>
      <c r="V95" s="41"/>
      <c r="W95" s="41"/>
      <c r="X95" s="41"/>
      <c r="Y95" s="41"/>
      <c r="Z95" s="41"/>
      <c r="AA95" s="41"/>
      <c r="AB95" s="41"/>
      <c r="AC95" s="450">
        <f>'AVT139(vn-A)'!BI11</f>
        <v>0</v>
      </c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50">
        <f>'AVT-celny-139+187'!BI11</f>
        <v>0</v>
      </c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203"/>
      <c r="BP95" s="203"/>
      <c r="BQ95" s="203"/>
      <c r="BR95" s="203"/>
      <c r="BS95" s="203"/>
      <c r="BT95" s="203"/>
      <c r="BU95" s="203"/>
      <c r="BV95" s="203"/>
      <c r="BW95" s="62"/>
      <c r="BX95" s="185"/>
      <c r="BY95" s="35"/>
      <c r="BZ95" s="27"/>
      <c r="CA95" s="27"/>
      <c r="CB95" s="27"/>
      <c r="CC95" s="27"/>
      <c r="CD95" s="27"/>
      <c r="CE95" s="27"/>
      <c r="CF95" s="27"/>
    </row>
    <row r="96" spans="1:84" ht="15" customHeight="1">
      <c r="A96" s="4"/>
      <c r="B96" s="439">
        <f>IF($Q$8=$Q$7,CENY!B191,IF($Q$7=$Q$9,CENY!B205,CENY!B219))</f>
        <v>9255035</v>
      </c>
      <c r="C96" s="48" t="str">
        <f>VLOOKUP(B96,CENY!$B$11:$G$1034,2,FALSE)</f>
        <v>AVANTECH YOU BOK V139 MM NL450 MM STŘÍBRNÝ PRAVÝ</v>
      </c>
      <c r="D96" s="488">
        <f>VLOOKUP(B96,CENY!$B$11:$G$1034,3,FALSE)</f>
        <v>20</v>
      </c>
      <c r="E96" s="63" t="str">
        <f>IF(VLOOKUP(B96,CENY!$B$11:$G$1034,4,FALSE)=0,"",VLOOKUP(B96,CENY!$B$11:$G$1034,4,FALSE))</f>
        <v/>
      </c>
      <c r="F96" s="45" t="str">
        <f t="shared" si="12"/>
        <v/>
      </c>
      <c r="G96" s="59">
        <f>VLOOKUP(B96,CENY!$B$11:$M$1034,12,FALSE)</f>
        <v>241.77</v>
      </c>
      <c r="H96" s="61" t="str">
        <f t="shared" si="13"/>
        <v xml:space="preserve"> CZK</v>
      </c>
      <c r="I96" s="46" t="str">
        <f t="shared" si="14"/>
        <v/>
      </c>
      <c r="J96" s="138"/>
      <c r="K96" s="47">
        <f>VLOOKUP(B96,CENY!$B$11:$M$1034,8,FALSE)</f>
        <v>0</v>
      </c>
      <c r="L96" s="47" t="str">
        <f>VLOOKUP(B96,CENY!$B$11:$M$1034,9,FALSE)</f>
        <v xml:space="preserve"> </v>
      </c>
      <c r="M96" s="55"/>
      <c r="N96" s="38">
        <f t="shared" si="15"/>
        <v>0</v>
      </c>
      <c r="O96" s="39">
        <v>0</v>
      </c>
      <c r="P96" s="41"/>
      <c r="Q96" s="41"/>
      <c r="R96" s="41"/>
      <c r="S96" s="450">
        <f>'AVT139'!BI12</f>
        <v>0</v>
      </c>
      <c r="T96" s="41"/>
      <c r="U96" s="41"/>
      <c r="V96" s="41"/>
      <c r="W96" s="41"/>
      <c r="X96" s="41"/>
      <c r="Y96" s="41"/>
      <c r="Z96" s="41"/>
      <c r="AA96" s="41"/>
      <c r="AB96" s="41"/>
      <c r="AC96" s="450">
        <f>'AVT139(vn-A)'!BI12</f>
        <v>0</v>
      </c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50">
        <f>'AVT-celny-139+187'!BI12</f>
        <v>0</v>
      </c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203"/>
      <c r="BP96" s="203"/>
      <c r="BQ96" s="203"/>
      <c r="BR96" s="203"/>
      <c r="BS96" s="203"/>
      <c r="BT96" s="203"/>
      <c r="BU96" s="203"/>
      <c r="BV96" s="203"/>
      <c r="BW96" s="62"/>
      <c r="BX96" s="185"/>
      <c r="BY96" s="35"/>
      <c r="BZ96" s="27"/>
      <c r="CA96" s="27"/>
      <c r="CB96" s="27"/>
      <c r="CC96" s="27"/>
      <c r="CD96" s="27"/>
      <c r="CE96" s="27"/>
      <c r="CF96" s="27"/>
    </row>
    <row r="97" spans="1:84" ht="15" customHeight="1">
      <c r="A97" s="4"/>
      <c r="B97" s="439">
        <f>IF($Q$8=$Q$7,CENY!B192,IF($Q$7=$Q$9,CENY!B206,CENY!B220))</f>
        <v>9255036</v>
      </c>
      <c r="C97" s="48" t="str">
        <f>VLOOKUP(B97,CENY!$B$11:$G$1034,2,FALSE)</f>
        <v>AVANTECH YOU BOK V139 MM NL500 MM STŘÍBRNÝ LEVÝ</v>
      </c>
      <c r="D97" s="488">
        <f>VLOOKUP(B97,CENY!$B$11:$G$1034,3,FALSE)</f>
        <v>20</v>
      </c>
      <c r="E97" s="63" t="str">
        <f>IF(VLOOKUP(B97,CENY!$B$11:$G$1034,4,FALSE)=0,"",VLOOKUP(B97,CENY!$B$11:$G$1034,4,FALSE))</f>
        <v/>
      </c>
      <c r="F97" s="45" t="str">
        <f t="shared" si="12"/>
        <v/>
      </c>
      <c r="G97" s="59">
        <f>VLOOKUP(B97,CENY!$B$11:$M$1034,12,FALSE)</f>
        <v>245.98</v>
      </c>
      <c r="H97" s="61" t="str">
        <f t="shared" si="13"/>
        <v xml:space="preserve"> CZK</v>
      </c>
      <c r="I97" s="46" t="str">
        <f t="shared" si="14"/>
        <v/>
      </c>
      <c r="J97" s="138"/>
      <c r="K97" s="47">
        <f>VLOOKUP(B97,CENY!$B$11:$M$1034,8,FALSE)</f>
        <v>0</v>
      </c>
      <c r="L97" s="47" t="str">
        <f>VLOOKUP(B97,CENY!$B$11:$M$1034,9,FALSE)</f>
        <v xml:space="preserve"> </v>
      </c>
      <c r="M97" s="55"/>
      <c r="N97" s="38">
        <f t="shared" si="15"/>
        <v>0</v>
      </c>
      <c r="O97" s="39">
        <v>0</v>
      </c>
      <c r="P97" s="41"/>
      <c r="Q97" s="41"/>
      <c r="R97" s="41"/>
      <c r="S97" s="450">
        <f>'AVT139'!BI13</f>
        <v>0</v>
      </c>
      <c r="T97" s="41"/>
      <c r="U97" s="41"/>
      <c r="V97" s="41"/>
      <c r="W97" s="41"/>
      <c r="X97" s="41"/>
      <c r="Y97" s="41"/>
      <c r="Z97" s="41"/>
      <c r="AA97" s="41"/>
      <c r="AB97" s="41"/>
      <c r="AC97" s="450">
        <f>'AVT139(vn-A)'!BI13</f>
        <v>0</v>
      </c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50">
        <f>'AVT-celny-139+187'!BI13</f>
        <v>0</v>
      </c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203"/>
      <c r="BP97" s="203"/>
      <c r="BQ97" s="203"/>
      <c r="BR97" s="203"/>
      <c r="BS97" s="203"/>
      <c r="BT97" s="203"/>
      <c r="BU97" s="203"/>
      <c r="BV97" s="203"/>
      <c r="BW97" s="62"/>
      <c r="BX97" s="185"/>
      <c r="BY97" s="35"/>
      <c r="BZ97" s="27"/>
      <c r="CA97" s="27"/>
      <c r="CB97" s="27"/>
      <c r="CC97" s="27"/>
      <c r="CD97" s="27"/>
      <c r="CE97" s="27"/>
      <c r="CF97" s="27"/>
    </row>
    <row r="98" spans="1:84" ht="15" customHeight="1">
      <c r="A98" s="4"/>
      <c r="B98" s="439">
        <f>IF($Q$8=$Q$7,CENY!B193,IF($Q$7=$Q$9,CENY!B207,CENY!B221))</f>
        <v>9255037</v>
      </c>
      <c r="C98" s="48" t="str">
        <f>VLOOKUP(B98,CENY!$B$11:$G$1034,2,FALSE)</f>
        <v>AVANTECH YOU BOK V139 MM NL500 MM STŘÍBRNÝ PRAVÝ</v>
      </c>
      <c r="D98" s="488">
        <f>VLOOKUP(B98,CENY!$B$11:$G$1034,3,FALSE)</f>
        <v>20</v>
      </c>
      <c r="E98" s="63" t="str">
        <f>IF(VLOOKUP(B98,CENY!$B$11:$G$1034,4,FALSE)=0,"",VLOOKUP(B98,CENY!$B$11:$G$1034,4,FALSE))</f>
        <v/>
      </c>
      <c r="F98" s="45" t="str">
        <f t="shared" si="12"/>
        <v/>
      </c>
      <c r="G98" s="59">
        <f>VLOOKUP(B98,CENY!$B$11:$M$1034,12,FALSE)</f>
        <v>245.98</v>
      </c>
      <c r="H98" s="61" t="str">
        <f t="shared" si="13"/>
        <v xml:space="preserve"> CZK</v>
      </c>
      <c r="I98" s="46" t="str">
        <f t="shared" si="14"/>
        <v/>
      </c>
      <c r="J98" s="138"/>
      <c r="K98" s="47">
        <f>VLOOKUP(B98,CENY!$B$11:$M$1034,8,FALSE)</f>
        <v>0</v>
      </c>
      <c r="L98" s="47" t="str">
        <f>VLOOKUP(B98,CENY!$B$11:$M$1034,9,FALSE)</f>
        <v xml:space="preserve"> </v>
      </c>
      <c r="M98" s="55"/>
      <c r="N98" s="38">
        <f t="shared" si="15"/>
        <v>0</v>
      </c>
      <c r="O98" s="39">
        <v>0</v>
      </c>
      <c r="P98" s="41"/>
      <c r="Q98" s="41"/>
      <c r="R98" s="41"/>
      <c r="S98" s="450">
        <f>'AVT139'!BI14</f>
        <v>0</v>
      </c>
      <c r="T98" s="41"/>
      <c r="U98" s="41"/>
      <c r="V98" s="41"/>
      <c r="W98" s="41"/>
      <c r="X98" s="41"/>
      <c r="Y98" s="41"/>
      <c r="Z98" s="41"/>
      <c r="AA98" s="41"/>
      <c r="AB98" s="41"/>
      <c r="AC98" s="450">
        <f>'AVT139(vn-A)'!BI14</f>
        <v>0</v>
      </c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50">
        <f>'AVT-celny-139+187'!BI14</f>
        <v>0</v>
      </c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203"/>
      <c r="BP98" s="203"/>
      <c r="BQ98" s="203"/>
      <c r="BR98" s="203"/>
      <c r="BS98" s="203"/>
      <c r="BT98" s="203"/>
      <c r="BU98" s="203"/>
      <c r="BV98" s="203"/>
      <c r="BW98" s="62"/>
      <c r="BX98" s="185"/>
      <c r="BY98" s="35"/>
      <c r="BZ98" s="27"/>
      <c r="CA98" s="27"/>
      <c r="CB98" s="27"/>
      <c r="CC98" s="27"/>
      <c r="CD98" s="27"/>
      <c r="CE98" s="27"/>
      <c r="CF98" s="27"/>
    </row>
    <row r="99" spans="1:84" ht="15" customHeight="1">
      <c r="A99" s="4"/>
      <c r="B99" s="439">
        <f>IF($Q$8=$Q$7,CENY!B194,IF($Q$7=$Q$9,CENY!B208,CENY!B222))</f>
        <v>9255038</v>
      </c>
      <c r="C99" s="48" t="str">
        <f>VLOOKUP(B99,CENY!$B$11:$G$1034,2,FALSE)</f>
        <v>AVANTECH YOU BOK V139 MM NL550 MM STŘÍBRNÝ LEVÝ</v>
      </c>
      <c r="D99" s="488">
        <f>VLOOKUP(B99,CENY!$B$11:$G$1034,3,FALSE)</f>
        <v>20</v>
      </c>
      <c r="E99" s="63" t="str">
        <f>IF(VLOOKUP(B99,CENY!$B$11:$G$1034,4,FALSE)=0,"",VLOOKUP(B99,CENY!$B$11:$G$1034,4,FALSE))</f>
        <v/>
      </c>
      <c r="F99" s="45" t="str">
        <f t="shared" si="12"/>
        <v/>
      </c>
      <c r="G99" s="59">
        <f>VLOOKUP(B99,CENY!$B$11:$M$1034,12,FALSE)</f>
        <v>250.2</v>
      </c>
      <c r="H99" s="61" t="str">
        <f t="shared" si="13"/>
        <v xml:space="preserve"> CZK</v>
      </c>
      <c r="I99" s="46" t="str">
        <f t="shared" si="14"/>
        <v/>
      </c>
      <c r="J99" s="138"/>
      <c r="K99" s="47">
        <f>VLOOKUP(B99,CENY!$B$11:$M$1034,8,FALSE)</f>
        <v>0</v>
      </c>
      <c r="L99" s="47" t="str">
        <f>VLOOKUP(B99,CENY!$B$11:$M$1034,9,FALSE)</f>
        <v xml:space="preserve"> </v>
      </c>
      <c r="M99" s="55"/>
      <c r="N99" s="38">
        <f t="shared" si="15"/>
        <v>0</v>
      </c>
      <c r="O99" s="39">
        <v>0</v>
      </c>
      <c r="P99" s="41"/>
      <c r="Q99" s="41"/>
      <c r="R99" s="41"/>
      <c r="S99" s="450">
        <f>'AVT139'!BI15</f>
        <v>0</v>
      </c>
      <c r="T99" s="41"/>
      <c r="U99" s="41"/>
      <c r="V99" s="41"/>
      <c r="W99" s="41"/>
      <c r="X99" s="41"/>
      <c r="Y99" s="41"/>
      <c r="Z99" s="41"/>
      <c r="AA99" s="41"/>
      <c r="AB99" s="41"/>
      <c r="AC99" s="450">
        <f>'AVT139(vn-A)'!BI15</f>
        <v>0</v>
      </c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50">
        <f>'AVT-celny-139+187'!BI15</f>
        <v>0</v>
      </c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203"/>
      <c r="BP99" s="203"/>
      <c r="BQ99" s="203"/>
      <c r="BR99" s="203"/>
      <c r="BS99" s="203"/>
      <c r="BT99" s="203"/>
      <c r="BU99" s="203"/>
      <c r="BV99" s="203"/>
      <c r="BW99" s="62"/>
      <c r="BX99" s="185"/>
      <c r="BY99" s="35"/>
      <c r="BZ99" s="27"/>
      <c r="CA99" s="27"/>
      <c r="CB99" s="27"/>
      <c r="CC99" s="27"/>
      <c r="CD99" s="27"/>
      <c r="CE99" s="27"/>
      <c r="CF99" s="27"/>
    </row>
    <row r="100" spans="1:84" ht="15" customHeight="1">
      <c r="A100" s="4"/>
      <c r="B100" s="439">
        <f>IF($Q$8=$Q$7,CENY!B195,IF($Q$7=$Q$9,CENY!B209,CENY!B223))</f>
        <v>9255039</v>
      </c>
      <c r="C100" s="48" t="str">
        <f>VLOOKUP(B100,CENY!$B$11:$G$1034,2,FALSE)</f>
        <v>AVANTECH YOU BOK V139 MM NL550 MM STŘÍBRNÝ PRAVÝ</v>
      </c>
      <c r="D100" s="488">
        <f>VLOOKUP(B100,CENY!$B$11:$G$1034,3,FALSE)</f>
        <v>20</v>
      </c>
      <c r="E100" s="63" t="str">
        <f>IF(VLOOKUP(B100,CENY!$B$11:$G$1034,4,FALSE)=0,"",VLOOKUP(B100,CENY!$B$11:$G$1034,4,FALSE))</f>
        <v/>
      </c>
      <c r="F100" s="45" t="str">
        <f t="shared" si="12"/>
        <v/>
      </c>
      <c r="G100" s="59">
        <f>VLOOKUP(B100,CENY!$B$11:$M$1034,12,FALSE)</f>
        <v>250.2</v>
      </c>
      <c r="H100" s="61" t="str">
        <f t="shared" si="13"/>
        <v xml:space="preserve"> CZK</v>
      </c>
      <c r="I100" s="46" t="str">
        <f t="shared" si="14"/>
        <v/>
      </c>
      <c r="J100" s="138"/>
      <c r="K100" s="47">
        <f>VLOOKUP(B100,CENY!$B$11:$M$1034,8,FALSE)</f>
        <v>0</v>
      </c>
      <c r="L100" s="47" t="str">
        <f>VLOOKUP(B100,CENY!$B$11:$M$1034,9,FALSE)</f>
        <v xml:space="preserve"> </v>
      </c>
      <c r="M100" s="55"/>
      <c r="N100" s="38">
        <f t="shared" si="15"/>
        <v>0</v>
      </c>
      <c r="O100" s="39">
        <v>0</v>
      </c>
      <c r="P100" s="41"/>
      <c r="Q100" s="41"/>
      <c r="R100" s="41"/>
      <c r="S100" s="450">
        <f>'AVT139'!BI16</f>
        <v>0</v>
      </c>
      <c r="T100" s="41"/>
      <c r="U100" s="41"/>
      <c r="V100" s="41"/>
      <c r="W100" s="41"/>
      <c r="X100" s="41"/>
      <c r="Y100" s="41"/>
      <c r="Z100" s="41"/>
      <c r="AA100" s="41"/>
      <c r="AB100" s="41"/>
      <c r="AC100" s="450">
        <f>'AVT139(vn-A)'!BI16</f>
        <v>0</v>
      </c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50">
        <f>'AVT-celny-139+187'!BI16</f>
        <v>0</v>
      </c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203"/>
      <c r="BP100" s="203"/>
      <c r="BQ100" s="203"/>
      <c r="BR100" s="203"/>
      <c r="BS100" s="203"/>
      <c r="BT100" s="203"/>
      <c r="BU100" s="203"/>
      <c r="BV100" s="203"/>
      <c r="BW100" s="62"/>
      <c r="BX100" s="185"/>
      <c r="BY100" s="35"/>
      <c r="BZ100" s="27"/>
      <c r="CA100" s="27"/>
      <c r="CB100" s="27"/>
      <c r="CC100" s="27"/>
      <c r="CD100" s="27"/>
      <c r="CE100" s="27"/>
      <c r="CF100" s="27"/>
    </row>
    <row r="101" spans="1:84" ht="15" customHeight="1">
      <c r="A101" s="4"/>
      <c r="B101" s="439">
        <f>IF($Q$8=$Q$7,CENY!B196,IF($Q$7=$Q$9,CENY!B210,CENY!B224))</f>
        <v>9255040</v>
      </c>
      <c r="C101" s="48" t="str">
        <f>VLOOKUP(B101,CENY!$B$11:$G$1034,2,FALSE)</f>
        <v>AVANTECH YOU BOK V139 MM NL600 MM STŘÍBRNÝ LEVÝ</v>
      </c>
      <c r="D101" s="488">
        <f>VLOOKUP(B101,CENY!$B$11:$G$1034,3,FALSE)</f>
        <v>20</v>
      </c>
      <c r="E101" s="63" t="str">
        <f>IF(VLOOKUP(B101,CENY!$B$11:$G$1034,4,FALSE)=0,"",VLOOKUP(B101,CENY!$B$11:$G$1034,4,FALSE))</f>
        <v/>
      </c>
      <c r="F101" s="45" t="str">
        <f t="shared" si="12"/>
        <v/>
      </c>
      <c r="G101" s="59">
        <f>VLOOKUP(B101,CENY!$B$11:$M$1034,12,FALSE)</f>
        <v>256.56</v>
      </c>
      <c r="H101" s="61" t="str">
        <f t="shared" si="13"/>
        <v xml:space="preserve"> CZK</v>
      </c>
      <c r="I101" s="46" t="str">
        <f t="shared" si="14"/>
        <v/>
      </c>
      <c r="J101" s="138"/>
      <c r="K101" s="47">
        <f>VLOOKUP(B101,CENY!$B$11:$M$1034,8,FALSE)</f>
        <v>0</v>
      </c>
      <c r="L101" s="47" t="str">
        <f>VLOOKUP(B101,CENY!$B$11:$M$1034,9,FALSE)</f>
        <v xml:space="preserve"> </v>
      </c>
      <c r="M101" s="55"/>
      <c r="N101" s="38">
        <f t="shared" si="15"/>
        <v>0</v>
      </c>
      <c r="O101" s="39">
        <v>0</v>
      </c>
      <c r="P101" s="41"/>
      <c r="Q101" s="41"/>
      <c r="R101" s="41"/>
      <c r="S101" s="450">
        <f>'AVT139'!BI17</f>
        <v>0</v>
      </c>
      <c r="T101" s="41"/>
      <c r="U101" s="41"/>
      <c r="V101" s="41"/>
      <c r="W101" s="41"/>
      <c r="X101" s="41"/>
      <c r="Y101" s="41"/>
      <c r="Z101" s="41"/>
      <c r="AA101" s="41"/>
      <c r="AB101" s="41"/>
      <c r="AC101" s="450">
        <f>'AVT139(vn-A)'!BI17</f>
        <v>0</v>
      </c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50">
        <f>'AVT-celny-139+187'!BI17</f>
        <v>0</v>
      </c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203"/>
      <c r="BP101" s="203"/>
      <c r="BQ101" s="203"/>
      <c r="BR101" s="203"/>
      <c r="BS101" s="203"/>
      <c r="BT101" s="203"/>
      <c r="BU101" s="203"/>
      <c r="BV101" s="203"/>
      <c r="BW101" s="62"/>
      <c r="BX101" s="185"/>
      <c r="BY101" s="35"/>
      <c r="BZ101" s="27"/>
      <c r="CA101" s="27"/>
      <c r="CB101" s="27"/>
      <c r="CC101" s="27"/>
      <c r="CD101" s="27"/>
      <c r="CE101" s="27"/>
      <c r="CF101" s="27"/>
    </row>
    <row r="102" spans="1:84" ht="15" customHeight="1">
      <c r="A102" s="4"/>
      <c r="B102" s="439">
        <f>IF($Q$8=$Q$7,CENY!B197,IF($Q$7=$Q$9,CENY!B211,CENY!B225))</f>
        <v>9255041</v>
      </c>
      <c r="C102" s="48" t="str">
        <f>VLOOKUP(B102,CENY!$B$11:$G$1034,2,FALSE)</f>
        <v>AVANTECH YOU BOK V139 MM NL600 MM STŘÍBRNÝ PRAVÝ</v>
      </c>
      <c r="D102" s="488">
        <f>VLOOKUP(B102,CENY!$B$11:$G$1034,3,FALSE)</f>
        <v>20</v>
      </c>
      <c r="E102" s="63" t="str">
        <f>IF(VLOOKUP(B102,CENY!$B$11:$G$1034,4,FALSE)=0,"",VLOOKUP(B102,CENY!$B$11:$G$1034,4,FALSE))</f>
        <v/>
      </c>
      <c r="F102" s="45" t="str">
        <f t="shared" si="12"/>
        <v/>
      </c>
      <c r="G102" s="59">
        <f>VLOOKUP(B102,CENY!$B$11:$M$1034,12,FALSE)</f>
        <v>256.56</v>
      </c>
      <c r="H102" s="61" t="str">
        <f t="shared" si="13"/>
        <v xml:space="preserve"> CZK</v>
      </c>
      <c r="I102" s="46" t="str">
        <f t="shared" si="14"/>
        <v/>
      </c>
      <c r="J102" s="138"/>
      <c r="K102" s="47">
        <f>VLOOKUP(B102,CENY!$B$11:$M$1034,8,FALSE)</f>
        <v>0</v>
      </c>
      <c r="L102" s="47" t="str">
        <f>VLOOKUP(B102,CENY!$B$11:$M$1034,9,FALSE)</f>
        <v xml:space="preserve"> </v>
      </c>
      <c r="M102" s="55"/>
      <c r="N102" s="38">
        <f t="shared" si="15"/>
        <v>0</v>
      </c>
      <c r="O102" s="39">
        <v>0</v>
      </c>
      <c r="P102" s="41"/>
      <c r="Q102" s="41"/>
      <c r="R102" s="41"/>
      <c r="S102" s="450">
        <f>'AVT139'!BI18</f>
        <v>0</v>
      </c>
      <c r="T102" s="41"/>
      <c r="U102" s="41"/>
      <c r="V102" s="41"/>
      <c r="W102" s="41"/>
      <c r="X102" s="41"/>
      <c r="Y102" s="41"/>
      <c r="Z102" s="41"/>
      <c r="AA102" s="41"/>
      <c r="AB102" s="41"/>
      <c r="AC102" s="450">
        <f>'AVT139(vn-A)'!BI18</f>
        <v>0</v>
      </c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50">
        <f>'AVT-celny-139+187'!BI18</f>
        <v>0</v>
      </c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203"/>
      <c r="BP102" s="203"/>
      <c r="BQ102" s="203"/>
      <c r="BR102" s="203"/>
      <c r="BS102" s="203"/>
      <c r="BT102" s="203"/>
      <c r="BU102" s="203"/>
      <c r="BV102" s="203"/>
      <c r="BW102" s="62"/>
      <c r="BX102" s="185"/>
      <c r="BY102" s="35"/>
      <c r="BZ102" s="27"/>
      <c r="CA102" s="27"/>
      <c r="CB102" s="27"/>
      <c r="CC102" s="27"/>
      <c r="CD102" s="27"/>
      <c r="CE102" s="27"/>
      <c r="CF102" s="27"/>
    </row>
    <row r="103" spans="1:84" ht="15" customHeight="1">
      <c r="A103" s="4"/>
      <c r="B103" s="439">
        <f>CENY!B226</f>
        <v>9257884</v>
      </c>
      <c r="C103" s="48" t="str">
        <f>VLOOKUP(B103,CENY!$B$11:$G$1034,2,FALSE)</f>
        <v>AVANTECH YOU PŘÍCHYTKA ČELA V139 MM K NAŠROUBOVÁNÍ</v>
      </c>
      <c r="D103" s="488">
        <f>VLOOKUP(B103,CENY!$B$11:$G$1034,3,FALSE)</f>
        <v>200</v>
      </c>
      <c r="E103" s="63" t="str">
        <f>IF(VLOOKUP(B103,CENY!$B$11:$G$1034,4,FALSE)=0,"",VLOOKUP(B103,CENY!$B$11:$G$1034,4,FALSE))</f>
        <v/>
      </c>
      <c r="F103" s="45" t="str">
        <f>IF(J103&lt;&gt;"",J103,IF(N103=0,"",IF(B103=B104,"",N103)))</f>
        <v/>
      </c>
      <c r="G103" s="59">
        <f>VLOOKUP(B103,CENY!$B$11:$M$1034,12,FALSE)</f>
        <v>35.43</v>
      </c>
      <c r="H103" s="61" t="str">
        <f>IF(G103="","",$H$22)</f>
        <v xml:space="preserve"> CZK</v>
      </c>
      <c r="I103" s="46" t="str">
        <f>IF(F103="","",G103*F103)</f>
        <v/>
      </c>
      <c r="J103" s="138"/>
      <c r="K103" s="47">
        <f>VLOOKUP(B103,CENY!$B$11:$M$1034,8,FALSE)</f>
        <v>0</v>
      </c>
      <c r="L103" s="47" t="str">
        <f>VLOOKUP(B103,CENY!$B$11:$M$1034,9,FALSE)</f>
        <v xml:space="preserve"> </v>
      </c>
      <c r="M103" s="55"/>
      <c r="N103" s="38">
        <f>SUM(P103:BX103)</f>
        <v>0</v>
      </c>
      <c r="O103" s="39">
        <v>0</v>
      </c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50">
        <f>'AVT139(vn-A)'!BI20</f>
        <v>0</v>
      </c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203"/>
      <c r="BP103" s="203"/>
      <c r="BQ103" s="203"/>
      <c r="BR103" s="203"/>
      <c r="BS103" s="203"/>
      <c r="BT103" s="203"/>
      <c r="BU103" s="203"/>
      <c r="BV103" s="203"/>
      <c r="BW103" s="62"/>
      <c r="BX103" s="185"/>
      <c r="BY103" s="35"/>
      <c r="BZ103" s="27"/>
      <c r="CA103" s="27"/>
      <c r="CB103" s="27"/>
      <c r="CC103" s="27"/>
      <c r="CD103" s="27"/>
      <c r="CE103" s="27"/>
      <c r="CF103" s="27"/>
    </row>
    <row r="104" spans="1:84" ht="15" customHeight="1">
      <c r="A104" s="4"/>
      <c r="B104" s="439">
        <f>IF($T$7=$T$8,CENY!B226,CENY!B227)</f>
        <v>9257884</v>
      </c>
      <c r="C104" s="48" t="str">
        <f>VLOOKUP(B104,CENY!$B$11:$G$1034,2,FALSE)</f>
        <v>AVANTECH YOU PŘÍCHYTKA ČELA V139 MM K NAŠROUBOVÁNÍ</v>
      </c>
      <c r="D104" s="488">
        <f>VLOOKUP(B104,CENY!$B$11:$G$1034,3,FALSE)</f>
        <v>200</v>
      </c>
      <c r="E104" s="63" t="str">
        <f>IF(VLOOKUP(B104,CENY!$B$11:$G$1034,4,FALSE)=0,"",VLOOKUP(B104,CENY!$B$11:$G$1034,4,FALSE))</f>
        <v/>
      </c>
      <c r="F104" s="45" t="str">
        <f>IF(J104&lt;&gt;"",J104,IF(N104=0,"",IF(B103=B104,N104+N103,N104)))</f>
        <v/>
      </c>
      <c r="G104" s="59">
        <f>VLOOKUP(B104,CENY!$B$11:$M$1034,12,FALSE)</f>
        <v>35.43</v>
      </c>
      <c r="H104" s="61" t="str">
        <f t="shared" si="13"/>
        <v xml:space="preserve"> CZK</v>
      </c>
      <c r="I104" s="46" t="str">
        <f t="shared" si="14"/>
        <v/>
      </c>
      <c r="J104" s="138"/>
      <c r="K104" s="47">
        <f>VLOOKUP(B104,CENY!$B$11:$M$1034,8,FALSE)</f>
        <v>0</v>
      </c>
      <c r="L104" s="47" t="str">
        <f>VLOOKUP(B104,CENY!$B$11:$M$1034,9,FALSE)</f>
        <v xml:space="preserve"> </v>
      </c>
      <c r="M104" s="55"/>
      <c r="N104" s="38">
        <f t="shared" si="15"/>
        <v>0</v>
      </c>
      <c r="O104" s="39">
        <v>0</v>
      </c>
      <c r="P104" s="41"/>
      <c r="Q104" s="41"/>
      <c r="R104" s="450">
        <f>'AVT139'!AZ68</f>
        <v>0</v>
      </c>
      <c r="S104" s="450">
        <f>'AVT139'!BI20</f>
        <v>0</v>
      </c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50">
        <f>'AVT-celny-139+187'!AZ50</f>
        <v>0</v>
      </c>
      <c r="AQ104" s="450">
        <f>'AVT-celny-139+187'!BI35</f>
        <v>0</v>
      </c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203"/>
      <c r="BP104" s="203"/>
      <c r="BQ104" s="203"/>
      <c r="BR104" s="203"/>
      <c r="BS104" s="203"/>
      <c r="BT104" s="203"/>
      <c r="BU104" s="203"/>
      <c r="BV104" s="203"/>
      <c r="BW104" s="62"/>
      <c r="BX104" s="185"/>
      <c r="BY104" s="35"/>
      <c r="BZ104" s="27"/>
      <c r="CA104" s="27"/>
      <c r="CB104" s="27"/>
      <c r="CC104" s="27"/>
      <c r="CD104" s="27"/>
      <c r="CE104" s="27"/>
      <c r="CF104" s="27"/>
    </row>
    <row r="105" spans="1:84" ht="8.1" customHeight="1">
      <c r="A105" s="4"/>
      <c r="B105" s="439"/>
      <c r="C105" s="48"/>
      <c r="D105" s="44"/>
      <c r="E105" s="63"/>
      <c r="F105" s="45"/>
      <c r="G105" s="59"/>
      <c r="H105" s="61"/>
      <c r="I105" s="46"/>
      <c r="J105" s="138"/>
      <c r="K105" s="47"/>
      <c r="L105" s="47"/>
      <c r="M105" s="55"/>
      <c r="N105" s="38"/>
      <c r="O105" s="39">
        <v>0</v>
      </c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203"/>
      <c r="BP105" s="203"/>
      <c r="BQ105" s="203"/>
      <c r="BR105" s="203"/>
      <c r="BS105" s="203"/>
      <c r="BT105" s="203"/>
      <c r="BU105" s="203"/>
      <c r="BV105" s="203"/>
      <c r="BW105" s="62"/>
      <c r="BX105" s="185"/>
      <c r="BY105" s="35"/>
      <c r="BZ105" s="27"/>
      <c r="CA105" s="27"/>
      <c r="CB105" s="27"/>
      <c r="CC105" s="27"/>
      <c r="CD105" s="27"/>
      <c r="CE105" s="27"/>
      <c r="CF105" s="27"/>
    </row>
    <row r="106" spans="1:84" ht="15" customHeight="1">
      <c r="A106" s="4"/>
      <c r="B106" s="439">
        <f>IF($Q$8=$Q$7,CENY!B229,IF($Q$7=$Q$9,CENY!B238,CENY!B247))</f>
        <v>9255262</v>
      </c>
      <c r="C106" s="48" t="str">
        <f>VLOOKUP(B106,CENY!$B$11:$G$1034,2,FALSE)</f>
        <v>AVANTECH YOU BOKY V SADĚ V187 MM NL270 MM STŘÍBRNÁ</v>
      </c>
      <c r="D106" s="501">
        <f>VLOOKUP(B106,CENY!$B$11:$G$1034,3,FALSE)</f>
        <v>1</v>
      </c>
      <c r="E106" s="63" t="str">
        <f>IF(VLOOKUP(B106,CENY!$B$11:$G$1034,4,FALSE)=0,"",VLOOKUP(B106,CENY!$B$11:$G$1034,4,FALSE))</f>
        <v/>
      </c>
      <c r="F106" s="45" t="str">
        <f t="shared" ref="F106:F114" si="16">IF(J106&lt;&gt;"",J106,IF(N106=0,"",N106))</f>
        <v/>
      </c>
      <c r="G106" s="59">
        <f>VLOOKUP(B106,CENY!$B$11:$M$1034,12,FALSE)</f>
        <v>847.2</v>
      </c>
      <c r="H106" s="61" t="str">
        <f t="shared" si="13"/>
        <v xml:space="preserve"> CZK</v>
      </c>
      <c r="I106" s="46" t="str">
        <f t="shared" si="14"/>
        <v/>
      </c>
      <c r="J106" s="138"/>
      <c r="K106" s="47">
        <f>VLOOKUP(B106,CENY!$B$11:$M$1034,8,FALSE)</f>
        <v>0</v>
      </c>
      <c r="L106" s="47" t="str">
        <f>VLOOKUP(B106,CENY!$B$11:$M$1034,9,FALSE)</f>
        <v xml:space="preserve"> </v>
      </c>
      <c r="M106" s="55"/>
      <c r="N106" s="38">
        <f t="shared" ref="N106:N114" si="17">SUM(P106:BX106)</f>
        <v>0</v>
      </c>
      <c r="O106" s="39">
        <v>0</v>
      </c>
      <c r="P106" s="41"/>
      <c r="Q106" s="41"/>
      <c r="R106" s="41"/>
      <c r="S106" s="41"/>
      <c r="T106" s="450">
        <f>'AVT187'!AZ5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50">
        <f>'AVT187(vn-A)'!AZ5</f>
        <v>0</v>
      </c>
      <c r="AE106" s="41"/>
      <c r="AF106" s="41"/>
      <c r="AG106" s="41"/>
      <c r="AH106" s="450">
        <f>'AVT187(vn-S)'!AZ5</f>
        <v>0</v>
      </c>
      <c r="AI106" s="41"/>
      <c r="AJ106" s="41"/>
      <c r="AK106" s="41"/>
      <c r="AL106" s="41"/>
      <c r="AM106" s="41"/>
      <c r="AN106" s="450">
        <f>'AVT-celny-101+187'!AZ15</f>
        <v>0</v>
      </c>
      <c r="AO106" s="41"/>
      <c r="AP106" s="41"/>
      <c r="AQ106" s="41"/>
      <c r="AR106" s="450">
        <f>'AVT-celny-2x187'!AZ5</f>
        <v>0</v>
      </c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203"/>
      <c r="BP106" s="203"/>
      <c r="BQ106" s="203"/>
      <c r="BR106" s="203"/>
      <c r="BS106" s="203"/>
      <c r="BT106" s="203"/>
      <c r="BU106" s="203"/>
      <c r="BV106" s="203"/>
      <c r="BW106" s="62"/>
      <c r="BX106" s="185"/>
      <c r="BY106" s="35"/>
      <c r="BZ106" s="27"/>
      <c r="CA106" s="27"/>
      <c r="CB106" s="27"/>
      <c r="CC106" s="27"/>
      <c r="CD106" s="27"/>
      <c r="CE106" s="27"/>
      <c r="CF106" s="27"/>
    </row>
    <row r="107" spans="1:84" ht="15" customHeight="1">
      <c r="A107" s="4"/>
      <c r="B107" s="439">
        <f>IF($Q$8=$Q$7,CENY!B230,IF($Q$7=$Q$9,CENY!B239,CENY!B248))</f>
        <v>9255263</v>
      </c>
      <c r="C107" s="48" t="str">
        <f>VLOOKUP(B107,CENY!$B$11:$G$1034,2,FALSE)</f>
        <v>AVANTECH YOU BOKY V SADĚ V187 MM NL300 MM STŘÍBRNÁ</v>
      </c>
      <c r="D107" s="501">
        <f>VLOOKUP(B107,CENY!$B$11:$G$1034,3,FALSE)</f>
        <v>1</v>
      </c>
      <c r="E107" s="63" t="str">
        <f>IF(VLOOKUP(B107,CENY!$B$11:$G$1034,4,FALSE)=0,"",VLOOKUP(B107,CENY!$B$11:$G$1034,4,FALSE))</f>
        <v/>
      </c>
      <c r="F107" s="45" t="str">
        <f t="shared" si="16"/>
        <v/>
      </c>
      <c r="G107" s="59">
        <f>VLOOKUP(B107,CENY!$B$11:$M$1034,12,FALSE)</f>
        <v>853.97</v>
      </c>
      <c r="H107" s="61" t="str">
        <f t="shared" si="13"/>
        <v xml:space="preserve"> CZK</v>
      </c>
      <c r="I107" s="46" t="str">
        <f t="shared" si="14"/>
        <v/>
      </c>
      <c r="J107" s="138"/>
      <c r="K107" s="47">
        <f>VLOOKUP(B107,CENY!$B$11:$M$1034,8,FALSE)</f>
        <v>0</v>
      </c>
      <c r="L107" s="47" t="str">
        <f>VLOOKUP(B107,CENY!$B$11:$M$1034,9,FALSE)</f>
        <v xml:space="preserve"> </v>
      </c>
      <c r="M107" s="55"/>
      <c r="N107" s="38">
        <f t="shared" si="17"/>
        <v>0</v>
      </c>
      <c r="O107" s="39">
        <v>0</v>
      </c>
      <c r="P107" s="41"/>
      <c r="Q107" s="41"/>
      <c r="R107" s="41"/>
      <c r="S107" s="41"/>
      <c r="T107" s="450">
        <f>'AVT187'!AZ6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50">
        <f>'AVT187(vn-A)'!AZ6</f>
        <v>0</v>
      </c>
      <c r="AE107" s="41"/>
      <c r="AF107" s="41"/>
      <c r="AG107" s="41"/>
      <c r="AH107" s="450">
        <f>'AVT187(vn-S)'!AZ6</f>
        <v>0</v>
      </c>
      <c r="AI107" s="41"/>
      <c r="AJ107" s="41"/>
      <c r="AK107" s="41"/>
      <c r="AL107" s="41"/>
      <c r="AM107" s="41"/>
      <c r="AN107" s="450">
        <f>'AVT-celny-101+187'!AZ16</f>
        <v>0</v>
      </c>
      <c r="AO107" s="41"/>
      <c r="AP107" s="450">
        <f>'AVT-celny-139+187'!AZ13</f>
        <v>0</v>
      </c>
      <c r="AQ107" s="41"/>
      <c r="AR107" s="450">
        <f>'AVT-celny-2x187'!AZ6</f>
        <v>0</v>
      </c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203"/>
      <c r="BP107" s="203"/>
      <c r="BQ107" s="203"/>
      <c r="BR107" s="203"/>
      <c r="BS107" s="203"/>
      <c r="BT107" s="203"/>
      <c r="BU107" s="203"/>
      <c r="BV107" s="203"/>
      <c r="BW107" s="62"/>
      <c r="BX107" s="185"/>
      <c r="BY107" s="35"/>
      <c r="BZ107" s="27"/>
      <c r="CA107" s="27"/>
      <c r="CB107" s="27"/>
      <c r="CC107" s="27"/>
      <c r="CD107" s="27"/>
      <c r="CE107" s="27"/>
      <c r="CF107" s="27"/>
    </row>
    <row r="108" spans="1:84" ht="15" customHeight="1">
      <c r="A108" s="4"/>
      <c r="B108" s="439">
        <f>IF($Q$8=$Q$7,CENY!B231,IF($Q$7=$Q$9,CENY!B240,CENY!B249))</f>
        <v>9255264</v>
      </c>
      <c r="C108" s="48" t="str">
        <f>VLOOKUP(B108,CENY!$B$11:$G$1034,2,FALSE)</f>
        <v>AVANTECH YOU BOKY V SADĚ V187 MM NL350 MM STŘÍBRNÁ</v>
      </c>
      <c r="D108" s="501">
        <f>VLOOKUP(B108,CENY!$B$11:$G$1034,3,FALSE)</f>
        <v>1</v>
      </c>
      <c r="E108" s="63" t="str">
        <f>IF(VLOOKUP(B108,CENY!$B$11:$G$1034,4,FALSE)=0,"",VLOOKUP(B108,CENY!$B$11:$G$1034,4,FALSE))</f>
        <v/>
      </c>
      <c r="F108" s="45" t="str">
        <f t="shared" si="16"/>
        <v/>
      </c>
      <c r="G108" s="59">
        <f>VLOOKUP(B108,CENY!$B$11:$M$1034,12,FALSE)</f>
        <v>865.25</v>
      </c>
      <c r="H108" s="61" t="str">
        <f t="shared" si="13"/>
        <v xml:space="preserve"> CZK</v>
      </c>
      <c r="I108" s="46" t="str">
        <f t="shared" si="14"/>
        <v/>
      </c>
      <c r="J108" s="138"/>
      <c r="K108" s="47">
        <f>VLOOKUP(B108,CENY!$B$11:$M$1034,8,FALSE)</f>
        <v>0</v>
      </c>
      <c r="L108" s="47" t="str">
        <f>VLOOKUP(B108,CENY!$B$11:$M$1034,9,FALSE)</f>
        <v xml:space="preserve"> </v>
      </c>
      <c r="M108" s="55"/>
      <c r="N108" s="38">
        <f t="shared" si="17"/>
        <v>0</v>
      </c>
      <c r="O108" s="39">
        <v>0</v>
      </c>
      <c r="P108" s="41"/>
      <c r="Q108" s="41"/>
      <c r="R108" s="41"/>
      <c r="S108" s="41"/>
      <c r="T108" s="450">
        <f>'AVT187'!AZ7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50">
        <f>'AVT187(vn-A)'!AZ7</f>
        <v>0</v>
      </c>
      <c r="AE108" s="41"/>
      <c r="AF108" s="41"/>
      <c r="AG108" s="41"/>
      <c r="AH108" s="450">
        <f>'AVT187(vn-S)'!AZ7</f>
        <v>0</v>
      </c>
      <c r="AI108" s="41"/>
      <c r="AJ108" s="41"/>
      <c r="AK108" s="41"/>
      <c r="AL108" s="41"/>
      <c r="AM108" s="41"/>
      <c r="AN108" s="450">
        <f>'AVT-celny-101+187'!AZ17</f>
        <v>0</v>
      </c>
      <c r="AO108" s="41"/>
      <c r="AP108" s="450">
        <f>'AVT-celny-139+187'!AZ14</f>
        <v>0</v>
      </c>
      <c r="AQ108" s="41"/>
      <c r="AR108" s="450">
        <f>'AVT-celny-2x187'!AZ7</f>
        <v>0</v>
      </c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203"/>
      <c r="BP108" s="203"/>
      <c r="BQ108" s="203"/>
      <c r="BR108" s="203"/>
      <c r="BS108" s="203"/>
      <c r="BT108" s="203"/>
      <c r="BU108" s="203"/>
      <c r="BV108" s="203"/>
      <c r="BW108" s="62"/>
      <c r="BX108" s="185"/>
      <c r="BY108" s="35"/>
      <c r="BZ108" s="27"/>
      <c r="CA108" s="27"/>
      <c r="CB108" s="27"/>
      <c r="CC108" s="27"/>
      <c r="CD108" s="27"/>
      <c r="CE108" s="27"/>
      <c r="CF108" s="27"/>
    </row>
    <row r="109" spans="1:84" ht="15" customHeight="1">
      <c r="A109" s="4"/>
      <c r="B109" s="439">
        <f>IF($Q$8=$Q$7,CENY!B232,IF($Q$7=$Q$9,CENY!B241,CENY!B250))</f>
        <v>9255265</v>
      </c>
      <c r="C109" s="48" t="str">
        <f>VLOOKUP(B109,CENY!$B$11:$G$1034,2,FALSE)</f>
        <v>AVANTECH YOU BOKY V SADĚ V187 MM NL400 MM STŘÍBRNÁ</v>
      </c>
      <c r="D109" s="501">
        <f>VLOOKUP(B109,CENY!$B$11:$G$1034,3,FALSE)</f>
        <v>1</v>
      </c>
      <c r="E109" s="63" t="str">
        <f>IF(VLOOKUP(B109,CENY!$B$11:$G$1034,4,FALSE)=0,"",VLOOKUP(B109,CENY!$B$11:$G$1034,4,FALSE))</f>
        <v/>
      </c>
      <c r="F109" s="45" t="str">
        <f t="shared" si="16"/>
        <v/>
      </c>
      <c r="G109" s="59">
        <f>VLOOKUP(B109,CENY!$B$11:$M$1034,12,FALSE)</f>
        <v>876.53</v>
      </c>
      <c r="H109" s="61" t="str">
        <f t="shared" si="13"/>
        <v xml:space="preserve"> CZK</v>
      </c>
      <c r="I109" s="46" t="str">
        <f t="shared" si="14"/>
        <v/>
      </c>
      <c r="J109" s="138"/>
      <c r="K109" s="47">
        <f>VLOOKUP(B109,CENY!$B$11:$M$1034,8,FALSE)</f>
        <v>0</v>
      </c>
      <c r="L109" s="47" t="str">
        <f>VLOOKUP(B109,CENY!$B$11:$M$1034,9,FALSE)</f>
        <v xml:space="preserve"> </v>
      </c>
      <c r="M109" s="55"/>
      <c r="N109" s="38">
        <f t="shared" si="17"/>
        <v>0</v>
      </c>
      <c r="O109" s="39">
        <v>0</v>
      </c>
      <c r="P109" s="41"/>
      <c r="Q109" s="41"/>
      <c r="R109" s="41"/>
      <c r="S109" s="41"/>
      <c r="T109" s="450">
        <f>'AVT187'!AZ8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50">
        <f>'AVT187(vn-A)'!AZ8</f>
        <v>0</v>
      </c>
      <c r="AE109" s="41"/>
      <c r="AF109" s="41"/>
      <c r="AG109" s="41"/>
      <c r="AH109" s="450">
        <f>'AVT187(vn-S)'!AZ8</f>
        <v>0</v>
      </c>
      <c r="AI109" s="41"/>
      <c r="AJ109" s="41"/>
      <c r="AK109" s="41"/>
      <c r="AL109" s="41"/>
      <c r="AM109" s="41"/>
      <c r="AN109" s="450">
        <f>'AVT-celny-101+187'!AZ18</f>
        <v>0</v>
      </c>
      <c r="AO109" s="41"/>
      <c r="AP109" s="450">
        <f>'AVT-celny-139+187'!AZ15</f>
        <v>0</v>
      </c>
      <c r="AQ109" s="41"/>
      <c r="AR109" s="450">
        <f>'AVT-celny-2x187'!AZ8</f>
        <v>0</v>
      </c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203"/>
      <c r="BP109" s="203"/>
      <c r="BQ109" s="203"/>
      <c r="BR109" s="203"/>
      <c r="BS109" s="203"/>
      <c r="BT109" s="203"/>
      <c r="BU109" s="203"/>
      <c r="BV109" s="203"/>
      <c r="BW109" s="62"/>
      <c r="BX109" s="185"/>
      <c r="BY109" s="35"/>
      <c r="BZ109" s="27"/>
      <c r="CA109" s="27"/>
      <c r="CB109" s="27"/>
      <c r="CC109" s="27"/>
      <c r="CD109" s="27"/>
      <c r="CE109" s="27"/>
      <c r="CF109" s="27"/>
    </row>
    <row r="110" spans="1:84" ht="15" customHeight="1">
      <c r="A110" s="4"/>
      <c r="B110" s="439">
        <f>IF($Q$8=$Q$7,CENY!B233,IF($Q$7=$Q$9,CENY!B242,CENY!B251))</f>
        <v>9255266</v>
      </c>
      <c r="C110" s="48" t="str">
        <f>VLOOKUP(B110,CENY!$B$11:$G$1034,2,FALSE)</f>
        <v>AVANTECH YOU BOKY V SADĚ V187 MM NL450 MM STŘÍBRNÁ</v>
      </c>
      <c r="D110" s="501">
        <f>VLOOKUP(B110,CENY!$B$11:$G$1034,3,FALSE)</f>
        <v>1</v>
      </c>
      <c r="E110" s="63" t="str">
        <f>IF(VLOOKUP(B110,CENY!$B$11:$G$1034,4,FALSE)=0,"",VLOOKUP(B110,CENY!$B$11:$G$1034,4,FALSE))</f>
        <v/>
      </c>
      <c r="F110" s="45" t="str">
        <f t="shared" si="16"/>
        <v/>
      </c>
      <c r="G110" s="59">
        <f>VLOOKUP(B110,CENY!$B$11:$M$1034,12,FALSE)</f>
        <v>887.81</v>
      </c>
      <c r="H110" s="61" t="str">
        <f t="shared" si="13"/>
        <v xml:space="preserve"> CZK</v>
      </c>
      <c r="I110" s="46" t="str">
        <f t="shared" si="14"/>
        <v/>
      </c>
      <c r="J110" s="138"/>
      <c r="K110" s="47">
        <f>VLOOKUP(B110,CENY!$B$11:$M$1034,8,FALSE)</f>
        <v>0</v>
      </c>
      <c r="L110" s="47" t="str">
        <f>VLOOKUP(B110,CENY!$B$11:$M$1034,9,FALSE)</f>
        <v xml:space="preserve"> </v>
      </c>
      <c r="M110" s="55"/>
      <c r="N110" s="38">
        <f t="shared" si="17"/>
        <v>0</v>
      </c>
      <c r="O110" s="39">
        <v>0</v>
      </c>
      <c r="P110" s="41"/>
      <c r="Q110" s="41"/>
      <c r="R110" s="41"/>
      <c r="S110" s="41"/>
      <c r="T110" s="450">
        <f>'AVT187'!AZ9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50">
        <f>'AVT187(vn-A)'!AZ9</f>
        <v>0</v>
      </c>
      <c r="AE110" s="41"/>
      <c r="AF110" s="41"/>
      <c r="AG110" s="41"/>
      <c r="AH110" s="450">
        <f>'AVT187(vn-S)'!AZ9</f>
        <v>0</v>
      </c>
      <c r="AI110" s="41"/>
      <c r="AJ110" s="41"/>
      <c r="AK110" s="41"/>
      <c r="AL110" s="41"/>
      <c r="AM110" s="41"/>
      <c r="AN110" s="450">
        <f>'AVT-celny-101+187'!AZ19</f>
        <v>0</v>
      </c>
      <c r="AO110" s="41"/>
      <c r="AP110" s="450">
        <f>'AVT-celny-139+187'!AZ16</f>
        <v>0</v>
      </c>
      <c r="AQ110" s="41"/>
      <c r="AR110" s="450">
        <f>'AVT-celny-2x187'!AZ9</f>
        <v>0</v>
      </c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203"/>
      <c r="BP110" s="203"/>
      <c r="BQ110" s="203"/>
      <c r="BR110" s="203"/>
      <c r="BS110" s="203"/>
      <c r="BT110" s="203"/>
      <c r="BU110" s="203"/>
      <c r="BV110" s="203"/>
      <c r="BW110" s="62"/>
      <c r="BX110" s="185"/>
      <c r="BY110" s="35"/>
      <c r="BZ110" s="27"/>
      <c r="CA110" s="27"/>
      <c r="CB110" s="27"/>
      <c r="CC110" s="27"/>
      <c r="CD110" s="27"/>
      <c r="CE110" s="27"/>
      <c r="CF110" s="27"/>
    </row>
    <row r="111" spans="1:84" ht="15" customHeight="1">
      <c r="A111" s="4"/>
      <c r="B111" s="439">
        <f>IF($Q$8=$Q$7,CENY!B234,IF($Q$7=$Q$9,CENY!B243,CENY!B252))</f>
        <v>9255267</v>
      </c>
      <c r="C111" s="48" t="str">
        <f>VLOOKUP(B111,CENY!$B$11:$G$1034,2,FALSE)</f>
        <v>AVANTECH YOU BOKY V SADĚ V187 MM NL500 MM STŘÍBRNÁ</v>
      </c>
      <c r="D111" s="501">
        <f>VLOOKUP(B111,CENY!$B$11:$G$1034,3,FALSE)</f>
        <v>1</v>
      </c>
      <c r="E111" s="63" t="str">
        <f>IF(VLOOKUP(B111,CENY!$B$11:$G$1034,4,FALSE)=0,"",VLOOKUP(B111,CENY!$B$11:$G$1034,4,FALSE))</f>
        <v/>
      </c>
      <c r="F111" s="45" t="str">
        <f t="shared" si="16"/>
        <v/>
      </c>
      <c r="G111" s="59">
        <f>VLOOKUP(B111,CENY!$B$11:$M$1034,12,FALSE)</f>
        <v>899.09</v>
      </c>
      <c r="H111" s="61" t="str">
        <f t="shared" si="13"/>
        <v xml:space="preserve"> CZK</v>
      </c>
      <c r="I111" s="46" t="str">
        <f t="shared" si="14"/>
        <v/>
      </c>
      <c r="J111" s="138"/>
      <c r="K111" s="47">
        <f>VLOOKUP(B111,CENY!$B$11:$M$1034,8,FALSE)</f>
        <v>0</v>
      </c>
      <c r="L111" s="47" t="str">
        <f>VLOOKUP(B111,CENY!$B$11:$M$1034,9,FALSE)</f>
        <v xml:space="preserve"> </v>
      </c>
      <c r="M111" s="55"/>
      <c r="N111" s="38">
        <f t="shared" si="17"/>
        <v>0</v>
      </c>
      <c r="O111" s="39">
        <v>0</v>
      </c>
      <c r="P111" s="41"/>
      <c r="Q111" s="41"/>
      <c r="R111" s="41"/>
      <c r="S111" s="41"/>
      <c r="T111" s="450">
        <f>'AVT187'!AZ10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50">
        <f>'AVT187(vn-A)'!AZ10</f>
        <v>0</v>
      </c>
      <c r="AE111" s="41"/>
      <c r="AF111" s="41"/>
      <c r="AG111" s="41"/>
      <c r="AH111" s="450">
        <f>'AVT187(vn-S)'!AZ10</f>
        <v>0</v>
      </c>
      <c r="AI111" s="41"/>
      <c r="AJ111" s="41"/>
      <c r="AK111" s="41"/>
      <c r="AL111" s="41"/>
      <c r="AM111" s="41"/>
      <c r="AN111" s="450">
        <f>'AVT-celny-101+187'!AZ20</f>
        <v>0</v>
      </c>
      <c r="AO111" s="41"/>
      <c r="AP111" s="450">
        <f>'AVT-celny-139+187'!AZ17</f>
        <v>0</v>
      </c>
      <c r="AQ111" s="41"/>
      <c r="AR111" s="450">
        <f>'AVT-celny-2x187'!AZ10</f>
        <v>0</v>
      </c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203"/>
      <c r="BP111" s="203"/>
      <c r="BQ111" s="203"/>
      <c r="BR111" s="203"/>
      <c r="BS111" s="203"/>
      <c r="BT111" s="203"/>
      <c r="BU111" s="203"/>
      <c r="BV111" s="203"/>
      <c r="BW111" s="62"/>
      <c r="BX111" s="185"/>
      <c r="BY111" s="35"/>
      <c r="BZ111" s="27"/>
      <c r="CA111" s="27"/>
      <c r="CB111" s="27"/>
      <c r="CC111" s="27"/>
      <c r="CD111" s="27"/>
      <c r="CE111" s="27"/>
      <c r="CF111" s="27"/>
    </row>
    <row r="112" spans="1:84" ht="15" customHeight="1">
      <c r="A112" s="4"/>
      <c r="B112" s="439">
        <f>IF($Q$8=$Q$7,CENY!B235,IF($Q$7=$Q$9,CENY!B244,CENY!B253))</f>
        <v>9255268</v>
      </c>
      <c r="C112" s="48" t="str">
        <f>VLOOKUP(B112,CENY!$B$11:$G$1034,2,FALSE)</f>
        <v>AVANTECH YOU BOKY V SADĚ V187 MM NL550 MM STŘÍBRNÁ</v>
      </c>
      <c r="D112" s="501">
        <f>VLOOKUP(B112,CENY!$B$11:$G$1034,3,FALSE)</f>
        <v>1</v>
      </c>
      <c r="E112" s="63" t="str">
        <f>IF(VLOOKUP(B112,CENY!$B$11:$G$1034,4,FALSE)=0,"",VLOOKUP(B112,CENY!$B$11:$G$1034,4,FALSE))</f>
        <v/>
      </c>
      <c r="F112" s="45" t="str">
        <f t="shared" si="16"/>
        <v/>
      </c>
      <c r="G112" s="59">
        <f>VLOOKUP(B112,CENY!$B$11:$M$1034,12,FALSE)</f>
        <v>910.37</v>
      </c>
      <c r="H112" s="61" t="str">
        <f t="shared" si="13"/>
        <v xml:space="preserve"> CZK</v>
      </c>
      <c r="I112" s="46" t="str">
        <f t="shared" si="14"/>
        <v/>
      </c>
      <c r="J112" s="138"/>
      <c r="K112" s="47">
        <f>VLOOKUP(B112,CENY!$B$11:$M$1034,8,FALSE)</f>
        <v>0</v>
      </c>
      <c r="L112" s="47" t="str">
        <f>VLOOKUP(B112,CENY!$B$11:$M$1034,9,FALSE)</f>
        <v xml:space="preserve"> </v>
      </c>
      <c r="M112" s="55"/>
      <c r="N112" s="38">
        <f t="shared" si="17"/>
        <v>0</v>
      </c>
      <c r="O112" s="39">
        <v>0</v>
      </c>
      <c r="P112" s="41"/>
      <c r="Q112" s="41"/>
      <c r="R112" s="41"/>
      <c r="S112" s="41"/>
      <c r="T112" s="450">
        <f>'AVT187'!AZ11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50">
        <f>'AVT187(vn-A)'!AZ11</f>
        <v>0</v>
      </c>
      <c r="AE112" s="41"/>
      <c r="AF112" s="41"/>
      <c r="AG112" s="41"/>
      <c r="AH112" s="450">
        <f>'AVT187(vn-S)'!AZ11</f>
        <v>0</v>
      </c>
      <c r="AI112" s="41"/>
      <c r="AJ112" s="41"/>
      <c r="AK112" s="41"/>
      <c r="AL112" s="41"/>
      <c r="AM112" s="41"/>
      <c r="AN112" s="450">
        <f>'AVT-celny-101+187'!AZ21</f>
        <v>0</v>
      </c>
      <c r="AO112" s="41"/>
      <c r="AP112" s="450">
        <f>'AVT-celny-139+187'!AZ18</f>
        <v>0</v>
      </c>
      <c r="AQ112" s="41"/>
      <c r="AR112" s="450">
        <f>'AVT-celny-2x187'!AZ11</f>
        <v>0</v>
      </c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203"/>
      <c r="BP112" s="203"/>
      <c r="BQ112" s="203"/>
      <c r="BR112" s="203"/>
      <c r="BS112" s="203"/>
      <c r="BT112" s="203"/>
      <c r="BU112" s="203"/>
      <c r="BV112" s="203"/>
      <c r="BW112" s="62"/>
      <c r="BX112" s="185"/>
      <c r="BY112" s="35"/>
      <c r="BZ112" s="27"/>
      <c r="CA112" s="27"/>
      <c r="CB112" s="27"/>
      <c r="CC112" s="27"/>
      <c r="CD112" s="27"/>
      <c r="CE112" s="27"/>
      <c r="CF112" s="27"/>
    </row>
    <row r="113" spans="1:84" ht="15" customHeight="1">
      <c r="A113" s="4"/>
      <c r="B113" s="439">
        <f>IF($Q$8=$Q$7,CENY!B236,IF($Q$7=$Q$9,CENY!B245,CENY!B254))</f>
        <v>9255269</v>
      </c>
      <c r="C113" s="48" t="str">
        <f>VLOOKUP(B113,CENY!$B$11:$G$1034,2,FALSE)</f>
        <v>AVANTECH YOU BOKY V SADĚ V187 MM NL600 MM STŘÍBRNÁ</v>
      </c>
      <c r="D113" s="501">
        <f>VLOOKUP(B113,CENY!$B$11:$G$1034,3,FALSE)</f>
        <v>1</v>
      </c>
      <c r="E113" s="63" t="str">
        <f>IF(VLOOKUP(B113,CENY!$B$11:$G$1034,4,FALSE)=0,"",VLOOKUP(B113,CENY!$B$11:$G$1034,4,FALSE))</f>
        <v/>
      </c>
      <c r="F113" s="45" t="str">
        <f t="shared" si="16"/>
        <v/>
      </c>
      <c r="G113" s="59">
        <f>VLOOKUP(B113,CENY!$B$11:$M$1034,12,FALSE)</f>
        <v>927.39</v>
      </c>
      <c r="H113" s="61" t="str">
        <f t="shared" si="13"/>
        <v xml:space="preserve"> CZK</v>
      </c>
      <c r="I113" s="46" t="str">
        <f t="shared" si="14"/>
        <v/>
      </c>
      <c r="J113" s="138"/>
      <c r="K113" s="47">
        <f>VLOOKUP(B113,CENY!$B$11:$M$1034,8,FALSE)</f>
        <v>0</v>
      </c>
      <c r="L113" s="47" t="str">
        <f>VLOOKUP(B113,CENY!$B$11:$M$1034,9,FALSE)</f>
        <v xml:space="preserve"> </v>
      </c>
      <c r="M113" s="55"/>
      <c r="N113" s="38">
        <f t="shared" si="17"/>
        <v>0</v>
      </c>
      <c r="O113" s="39">
        <v>0</v>
      </c>
      <c r="P113" s="41"/>
      <c r="Q113" s="41"/>
      <c r="R113" s="41"/>
      <c r="S113" s="41"/>
      <c r="T113" s="450">
        <f>'AVT187'!AZ12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50">
        <f>'AVT187(vn-A)'!AZ12</f>
        <v>0</v>
      </c>
      <c r="AE113" s="41"/>
      <c r="AF113" s="41"/>
      <c r="AG113" s="41"/>
      <c r="AH113" s="450">
        <f>'AVT187(vn-S)'!AZ12</f>
        <v>0</v>
      </c>
      <c r="AI113" s="41"/>
      <c r="AJ113" s="41"/>
      <c r="AK113" s="41"/>
      <c r="AL113" s="41"/>
      <c r="AM113" s="41"/>
      <c r="AN113" s="450">
        <f>'AVT-celny-101+187'!AZ22</f>
        <v>0</v>
      </c>
      <c r="AO113" s="41"/>
      <c r="AP113" s="450">
        <f>'AVT-celny-139+187'!AZ19</f>
        <v>0</v>
      </c>
      <c r="AQ113" s="41"/>
      <c r="AR113" s="450">
        <f>'AVT-celny-2x187'!AZ12</f>
        <v>0</v>
      </c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203"/>
      <c r="BP113" s="203"/>
      <c r="BQ113" s="203"/>
      <c r="BR113" s="203"/>
      <c r="BS113" s="203"/>
      <c r="BT113" s="203"/>
      <c r="BU113" s="203"/>
      <c r="BV113" s="203"/>
      <c r="BW113" s="62"/>
      <c r="BX113" s="185"/>
      <c r="BY113" s="35"/>
      <c r="BZ113" s="27"/>
      <c r="CA113" s="27"/>
      <c r="CB113" s="27"/>
      <c r="CC113" s="27"/>
      <c r="CD113" s="27"/>
      <c r="CE113" s="27"/>
      <c r="CF113" s="27"/>
    </row>
    <row r="114" spans="1:84" ht="15" customHeight="1">
      <c r="A114" s="4"/>
      <c r="B114" s="439">
        <f>IF($Q$8=$Q$7,CENY!B237,IF($Q$7=$Q$9,CENY!B246,CENY!B255))</f>
        <v>9255270</v>
      </c>
      <c r="C114" s="48" t="str">
        <f>VLOOKUP(B114,CENY!$B$11:$G$1034,2,FALSE)</f>
        <v>AVANTECH YOU BOKY V SADĚ V187 MM NL650 MM STŘÍBRNÁ</v>
      </c>
      <c r="D114" s="501">
        <f>VLOOKUP(B114,CENY!$B$11:$G$1034,3,FALSE)</f>
        <v>1</v>
      </c>
      <c r="E114" s="63" t="str">
        <f>IF(VLOOKUP(B114,CENY!$B$11:$G$1034,4,FALSE)=0,"",VLOOKUP(B114,CENY!$B$11:$G$1034,4,FALSE))</f>
        <v/>
      </c>
      <c r="F114" s="45" t="str">
        <f t="shared" si="16"/>
        <v/>
      </c>
      <c r="G114" s="59">
        <f>VLOOKUP(B114,CENY!$B$11:$M$1034,12,FALSE)</f>
        <v>950.52</v>
      </c>
      <c r="H114" s="61" t="str">
        <f t="shared" si="13"/>
        <v xml:space="preserve"> CZK</v>
      </c>
      <c r="I114" s="46" t="str">
        <f t="shared" si="14"/>
        <v/>
      </c>
      <c r="J114" s="138"/>
      <c r="K114" s="47">
        <f>VLOOKUP(B114,CENY!$B$11:$M$1034,8,FALSE)</f>
        <v>0</v>
      </c>
      <c r="L114" s="47" t="str">
        <f>VLOOKUP(B114,CENY!$B$11:$M$1034,9,FALSE)</f>
        <v xml:space="preserve"> </v>
      </c>
      <c r="M114" s="55"/>
      <c r="N114" s="38">
        <f t="shared" si="17"/>
        <v>0</v>
      </c>
      <c r="O114" s="39">
        <v>0</v>
      </c>
      <c r="P114" s="41"/>
      <c r="Q114" s="41"/>
      <c r="R114" s="41"/>
      <c r="S114" s="41"/>
      <c r="T114" s="450">
        <f>'AVT187'!AZ13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50">
        <f>'AVT187(vn-A)'!AZ13</f>
        <v>0</v>
      </c>
      <c r="AE114" s="41"/>
      <c r="AF114" s="41"/>
      <c r="AG114" s="41"/>
      <c r="AH114" s="450">
        <f>'AVT187(vn-S)'!AZ13</f>
        <v>0</v>
      </c>
      <c r="AI114" s="41"/>
      <c r="AJ114" s="41"/>
      <c r="AK114" s="41"/>
      <c r="AL114" s="41"/>
      <c r="AM114" s="41"/>
      <c r="AN114" s="450">
        <f>'AVT-celny-101+187'!AZ23</f>
        <v>0</v>
      </c>
      <c r="AO114" s="41"/>
      <c r="AP114" s="41"/>
      <c r="AQ114" s="41"/>
      <c r="AR114" s="450">
        <f>'AVT-celny-2x187'!AZ13</f>
        <v>0</v>
      </c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203"/>
      <c r="BP114" s="203"/>
      <c r="BQ114" s="203"/>
      <c r="BR114" s="203"/>
      <c r="BS114" s="203"/>
      <c r="BT114" s="203"/>
      <c r="BU114" s="203"/>
      <c r="BV114" s="203"/>
      <c r="BW114" s="62"/>
      <c r="BX114" s="185"/>
      <c r="BY114" s="35"/>
      <c r="BZ114" s="27"/>
      <c r="CA114" s="27"/>
      <c r="CB114" s="27"/>
      <c r="CC114" s="27"/>
      <c r="CD114" s="27"/>
      <c r="CE114" s="27"/>
      <c r="CF114" s="27"/>
    </row>
    <row r="115" spans="1:84" ht="8.1" customHeight="1">
      <c r="A115" s="4"/>
      <c r="B115" s="439"/>
      <c r="C115" s="48"/>
      <c r="D115" s="44"/>
      <c r="E115" s="63"/>
      <c r="F115" s="45"/>
      <c r="G115" s="59"/>
      <c r="H115" s="61"/>
      <c r="I115" s="46"/>
      <c r="J115" s="138"/>
      <c r="K115" s="47"/>
      <c r="L115" s="47"/>
      <c r="M115" s="55"/>
      <c r="N115" s="38"/>
      <c r="O115" s="39">
        <v>0</v>
      </c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203"/>
      <c r="BP115" s="203"/>
      <c r="BQ115" s="203"/>
      <c r="BR115" s="203"/>
      <c r="BS115" s="203"/>
      <c r="BT115" s="203"/>
      <c r="BU115" s="203"/>
      <c r="BV115" s="203"/>
      <c r="BW115" s="62"/>
      <c r="BX115" s="185"/>
      <c r="BY115" s="35"/>
      <c r="BZ115" s="27"/>
      <c r="CA115" s="27"/>
      <c r="CB115" s="27"/>
      <c r="CC115" s="27"/>
      <c r="CD115" s="27"/>
      <c r="CE115" s="27"/>
      <c r="CF115" s="27"/>
    </row>
    <row r="116" spans="1:84" ht="15" customHeight="1">
      <c r="A116" s="4"/>
      <c r="B116" s="439">
        <f>IF($Q$8=$Q$7,CENY!B256,IF($Q$7=$Q$9,CENY!B274,CENY!B292))</f>
        <v>9255044</v>
      </c>
      <c r="C116" s="48" t="str">
        <f>VLOOKUP(B116,CENY!$B$11:$G$1034,2,FALSE)</f>
        <v>AVANTECH YOU BOK V187 MM NL270 MM STŘÍBRNÝ LEVÝ</v>
      </c>
      <c r="D116" s="488">
        <f>VLOOKUP(B116,CENY!$B$11:$G$1034,3,FALSE)</f>
        <v>10</v>
      </c>
      <c r="E116" s="63" t="str">
        <f>IF(VLOOKUP(B116,CENY!$B$11:$G$1034,4,FALSE)=0,"",VLOOKUP(B116,CENY!$B$11:$G$1034,4,FALSE))</f>
        <v/>
      </c>
      <c r="F116" s="45" t="str">
        <f t="shared" ref="F116:F133" si="18">IF(J116&lt;&gt;"",J116,IF(N116=0,"",N116))</f>
        <v/>
      </c>
      <c r="G116" s="59">
        <f>VLOOKUP(B116,CENY!$B$11:$M$1034,12,FALSE)</f>
        <v>293.88</v>
      </c>
      <c r="H116" s="61" t="str">
        <f t="shared" si="13"/>
        <v xml:space="preserve"> CZK</v>
      </c>
      <c r="I116" s="46" t="str">
        <f t="shared" si="14"/>
        <v/>
      </c>
      <c r="J116" s="138"/>
      <c r="K116" s="47">
        <f>VLOOKUP(B116,CENY!$B$11:$M$1034,8,FALSE)</f>
        <v>0</v>
      </c>
      <c r="L116" s="47" t="str">
        <f>VLOOKUP(B116,CENY!$B$11:$M$1034,9,FALSE)</f>
        <v xml:space="preserve"> </v>
      </c>
      <c r="M116" s="55"/>
      <c r="N116" s="38">
        <f t="shared" ref="N116:N135" si="19">SUM(P116:BX116)</f>
        <v>0</v>
      </c>
      <c r="O116" s="39">
        <v>0</v>
      </c>
      <c r="P116" s="41"/>
      <c r="Q116" s="41"/>
      <c r="R116" s="41"/>
      <c r="S116" s="41"/>
      <c r="T116" s="41"/>
      <c r="U116" s="450">
        <f>'AVT187'!BI5</f>
        <v>0</v>
      </c>
      <c r="V116" s="41"/>
      <c r="W116" s="41"/>
      <c r="X116" s="41"/>
      <c r="Y116" s="41"/>
      <c r="Z116" s="41"/>
      <c r="AA116" s="41"/>
      <c r="AB116" s="41"/>
      <c r="AC116" s="41"/>
      <c r="AD116" s="41"/>
      <c r="AE116" s="450">
        <f>'AVT187(vn-A)'!BI5</f>
        <v>0</v>
      </c>
      <c r="AF116" s="41"/>
      <c r="AG116" s="41"/>
      <c r="AH116" s="41"/>
      <c r="AI116" s="450">
        <f>'AVT187(vn-S)'!BI5</f>
        <v>0</v>
      </c>
      <c r="AJ116" s="41"/>
      <c r="AK116" s="41"/>
      <c r="AL116" s="41"/>
      <c r="AM116" s="41"/>
      <c r="AN116" s="41"/>
      <c r="AO116" s="450">
        <f>'AVT-celny-101+187'!BI24</f>
        <v>0</v>
      </c>
      <c r="AP116" s="41"/>
      <c r="AQ116" s="41"/>
      <c r="AR116" s="41"/>
      <c r="AS116" s="450">
        <f>'AVT-celny-2x187'!BI5</f>
        <v>0</v>
      </c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203"/>
      <c r="BP116" s="203"/>
      <c r="BQ116" s="203"/>
      <c r="BR116" s="203"/>
      <c r="BS116" s="203"/>
      <c r="BT116" s="203"/>
      <c r="BU116" s="203"/>
      <c r="BV116" s="203"/>
      <c r="BW116" s="62"/>
      <c r="BX116" s="185"/>
      <c r="BY116" s="35"/>
      <c r="BZ116" s="27"/>
      <c r="CA116" s="27"/>
      <c r="CB116" s="27"/>
      <c r="CC116" s="27"/>
      <c r="CD116" s="27"/>
      <c r="CE116" s="27"/>
      <c r="CF116" s="27"/>
    </row>
    <row r="117" spans="1:84" ht="15" customHeight="1">
      <c r="A117" s="4"/>
      <c r="B117" s="439">
        <f>IF($Q$8=$Q$7,CENY!B257,IF($Q$7=$Q$9,CENY!B275,CENY!B293))</f>
        <v>9255045</v>
      </c>
      <c r="C117" s="48" t="str">
        <f>VLOOKUP(B117,CENY!$B$11:$G$1034,2,FALSE)</f>
        <v>AVANTECH YOU BOK V187 MM NL270 MM STŘÍBRNÝ PRAVÝ</v>
      </c>
      <c r="D117" s="488">
        <f>VLOOKUP(B117,CENY!$B$11:$G$1034,3,FALSE)</f>
        <v>10</v>
      </c>
      <c r="E117" s="63" t="str">
        <f>IF(VLOOKUP(B117,CENY!$B$11:$G$1034,4,FALSE)=0,"",VLOOKUP(B117,CENY!$B$11:$G$1034,4,FALSE))</f>
        <v/>
      </c>
      <c r="F117" s="45" t="str">
        <f t="shared" si="18"/>
        <v/>
      </c>
      <c r="G117" s="59">
        <f>VLOOKUP(B117,CENY!$B$11:$M$1034,12,FALSE)</f>
        <v>293.88</v>
      </c>
      <c r="H117" s="61" t="str">
        <f t="shared" si="13"/>
        <v xml:space="preserve"> CZK</v>
      </c>
      <c r="I117" s="46" t="str">
        <f t="shared" si="14"/>
        <v/>
      </c>
      <c r="J117" s="138"/>
      <c r="K117" s="47">
        <f>VLOOKUP(B117,CENY!$B$11:$M$1034,8,FALSE)</f>
        <v>0</v>
      </c>
      <c r="L117" s="47" t="str">
        <f>VLOOKUP(B117,CENY!$B$11:$M$1034,9,FALSE)</f>
        <v xml:space="preserve"> </v>
      </c>
      <c r="M117" s="55"/>
      <c r="N117" s="38">
        <f t="shared" si="19"/>
        <v>0</v>
      </c>
      <c r="O117" s="39">
        <v>0</v>
      </c>
      <c r="P117" s="41"/>
      <c r="Q117" s="41"/>
      <c r="R117" s="41"/>
      <c r="S117" s="41"/>
      <c r="T117" s="41"/>
      <c r="U117" s="450">
        <f>'AVT187'!BI6</f>
        <v>0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50">
        <f>'AVT187(vn-A)'!BI6</f>
        <v>0</v>
      </c>
      <c r="AF117" s="41"/>
      <c r="AG117" s="41"/>
      <c r="AH117" s="41"/>
      <c r="AI117" s="450">
        <f>'AVT187(vn-S)'!BI6</f>
        <v>0</v>
      </c>
      <c r="AJ117" s="41"/>
      <c r="AK117" s="41"/>
      <c r="AL117" s="41"/>
      <c r="AM117" s="41"/>
      <c r="AN117" s="41"/>
      <c r="AO117" s="450">
        <f>'AVT-celny-101+187'!BI25</f>
        <v>0</v>
      </c>
      <c r="AP117" s="41"/>
      <c r="AQ117" s="41"/>
      <c r="AR117" s="41"/>
      <c r="AS117" s="450">
        <f>'AVT-celny-2x187'!BI6</f>
        <v>0</v>
      </c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203"/>
      <c r="BP117" s="203"/>
      <c r="BQ117" s="203"/>
      <c r="BR117" s="203"/>
      <c r="BS117" s="203"/>
      <c r="BT117" s="203"/>
      <c r="BU117" s="203"/>
      <c r="BV117" s="203"/>
      <c r="BW117" s="62"/>
      <c r="BX117" s="185"/>
      <c r="BY117" s="35"/>
      <c r="BZ117" s="27"/>
      <c r="CA117" s="27"/>
      <c r="CB117" s="27"/>
      <c r="CC117" s="27"/>
      <c r="CD117" s="27"/>
      <c r="CE117" s="27"/>
      <c r="CF117" s="27"/>
    </row>
    <row r="118" spans="1:84" ht="15" customHeight="1">
      <c r="A118" s="4"/>
      <c r="B118" s="439">
        <f>IF($Q$8=$Q$7,CENY!B258,IF($Q$7=$Q$9,CENY!B276,CENY!B294))</f>
        <v>9255046</v>
      </c>
      <c r="C118" s="48" t="str">
        <f>VLOOKUP(B118,CENY!$B$11:$G$1034,2,FALSE)</f>
        <v>AVANTECH YOU BOK V187 MM NL300 MM STŘÍBRNÝ LEVÝ</v>
      </c>
      <c r="D118" s="488">
        <f>VLOOKUP(B118,CENY!$B$11:$G$1034,3,FALSE)</f>
        <v>10</v>
      </c>
      <c r="E118" s="63" t="str">
        <f>IF(VLOOKUP(B118,CENY!$B$11:$G$1034,4,FALSE)=0,"",VLOOKUP(B118,CENY!$B$11:$G$1034,4,FALSE))</f>
        <v/>
      </c>
      <c r="F118" s="45" t="str">
        <f t="shared" si="18"/>
        <v/>
      </c>
      <c r="G118" s="59">
        <f>VLOOKUP(B118,CENY!$B$11:$M$1034,12,FALSE)</f>
        <v>297.16000000000003</v>
      </c>
      <c r="H118" s="61" t="str">
        <f t="shared" si="13"/>
        <v xml:space="preserve"> CZK</v>
      </c>
      <c r="I118" s="46" t="str">
        <f t="shared" si="14"/>
        <v/>
      </c>
      <c r="J118" s="138"/>
      <c r="K118" s="47">
        <f>VLOOKUP(B118,CENY!$B$11:$M$1034,8,FALSE)</f>
        <v>0</v>
      </c>
      <c r="L118" s="47" t="str">
        <f>VLOOKUP(B118,CENY!$B$11:$M$1034,9,FALSE)</f>
        <v xml:space="preserve"> </v>
      </c>
      <c r="M118" s="55"/>
      <c r="N118" s="38">
        <f t="shared" si="19"/>
        <v>0</v>
      </c>
      <c r="O118" s="39">
        <v>0</v>
      </c>
      <c r="P118" s="41"/>
      <c r="Q118" s="41"/>
      <c r="R118" s="41"/>
      <c r="S118" s="41"/>
      <c r="T118" s="41"/>
      <c r="U118" s="450">
        <f>'AVT187'!BI7</f>
        <v>0</v>
      </c>
      <c r="V118" s="41"/>
      <c r="W118" s="41"/>
      <c r="X118" s="41"/>
      <c r="Y118" s="41"/>
      <c r="Z118" s="41"/>
      <c r="AA118" s="41"/>
      <c r="AB118" s="41"/>
      <c r="AC118" s="41"/>
      <c r="AD118" s="41"/>
      <c r="AE118" s="450">
        <f>'AVT187(vn-A)'!BI7</f>
        <v>0</v>
      </c>
      <c r="AF118" s="41"/>
      <c r="AG118" s="41"/>
      <c r="AH118" s="41"/>
      <c r="AI118" s="450">
        <f>'AVT187(vn-S)'!BI7</f>
        <v>0</v>
      </c>
      <c r="AJ118" s="41"/>
      <c r="AK118" s="41"/>
      <c r="AL118" s="41"/>
      <c r="AM118" s="41"/>
      <c r="AN118" s="41"/>
      <c r="AO118" s="450">
        <f>'AVT-celny-101+187'!BI26</f>
        <v>0</v>
      </c>
      <c r="AP118" s="41"/>
      <c r="AQ118" s="450">
        <f>'AVT-celny-139+187'!BI20</f>
        <v>0</v>
      </c>
      <c r="AR118" s="41"/>
      <c r="AS118" s="450">
        <f>'AVT-celny-2x187'!BI7</f>
        <v>0</v>
      </c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203"/>
      <c r="BP118" s="203"/>
      <c r="BQ118" s="203"/>
      <c r="BR118" s="203"/>
      <c r="BS118" s="203"/>
      <c r="BT118" s="203"/>
      <c r="BU118" s="203"/>
      <c r="BV118" s="203"/>
      <c r="BW118" s="62"/>
      <c r="BX118" s="185"/>
      <c r="BY118" s="35"/>
      <c r="BZ118" s="27"/>
      <c r="CA118" s="27"/>
      <c r="CB118" s="27"/>
      <c r="CC118" s="27"/>
      <c r="CD118" s="27"/>
      <c r="CE118" s="27"/>
      <c r="CF118" s="27"/>
    </row>
    <row r="119" spans="1:84" ht="15" customHeight="1">
      <c r="A119" s="4"/>
      <c r="B119" s="439">
        <f>IF($Q$8=$Q$7,CENY!B259,IF($Q$7=$Q$9,CENY!B277,CENY!B295))</f>
        <v>9255047</v>
      </c>
      <c r="C119" s="48" t="str">
        <f>VLOOKUP(B119,CENY!$B$11:$G$1034,2,FALSE)</f>
        <v>AVANTECH YOU BOK V187 MM NL300 MM STŘÍBRNÝ PRAVÝ</v>
      </c>
      <c r="D119" s="488">
        <f>VLOOKUP(B119,CENY!$B$11:$G$1034,3,FALSE)</f>
        <v>10</v>
      </c>
      <c r="E119" s="63" t="str">
        <f>IF(VLOOKUP(B119,CENY!$B$11:$G$1034,4,FALSE)=0,"",VLOOKUP(B119,CENY!$B$11:$G$1034,4,FALSE))</f>
        <v/>
      </c>
      <c r="F119" s="45" t="str">
        <f t="shared" si="18"/>
        <v/>
      </c>
      <c r="G119" s="59">
        <f>VLOOKUP(B119,CENY!$B$11:$M$1034,12,FALSE)</f>
        <v>297.16000000000003</v>
      </c>
      <c r="H119" s="61" t="str">
        <f t="shared" si="13"/>
        <v xml:space="preserve"> CZK</v>
      </c>
      <c r="I119" s="46" t="str">
        <f t="shared" si="14"/>
        <v/>
      </c>
      <c r="J119" s="138"/>
      <c r="K119" s="47">
        <f>VLOOKUP(B119,CENY!$B$11:$M$1034,8,FALSE)</f>
        <v>0</v>
      </c>
      <c r="L119" s="47" t="str">
        <f>VLOOKUP(B119,CENY!$B$11:$M$1034,9,FALSE)</f>
        <v xml:space="preserve"> </v>
      </c>
      <c r="M119" s="55"/>
      <c r="N119" s="38">
        <f t="shared" si="19"/>
        <v>0</v>
      </c>
      <c r="O119" s="39">
        <v>0</v>
      </c>
      <c r="P119" s="41"/>
      <c r="Q119" s="41"/>
      <c r="R119" s="41"/>
      <c r="S119" s="41"/>
      <c r="T119" s="41"/>
      <c r="U119" s="450">
        <f>'AVT187'!BI8</f>
        <v>0</v>
      </c>
      <c r="V119" s="41"/>
      <c r="W119" s="41"/>
      <c r="X119" s="41"/>
      <c r="Y119" s="41"/>
      <c r="Z119" s="41"/>
      <c r="AA119" s="41"/>
      <c r="AB119" s="41"/>
      <c r="AC119" s="41"/>
      <c r="AD119" s="41"/>
      <c r="AE119" s="450">
        <f>'AVT187(vn-A)'!BI8</f>
        <v>0</v>
      </c>
      <c r="AF119" s="41"/>
      <c r="AG119" s="41"/>
      <c r="AH119" s="41"/>
      <c r="AI119" s="450">
        <f>'AVT187(vn-S)'!BI8</f>
        <v>0</v>
      </c>
      <c r="AJ119" s="41"/>
      <c r="AK119" s="41"/>
      <c r="AL119" s="41"/>
      <c r="AM119" s="41"/>
      <c r="AN119" s="41"/>
      <c r="AO119" s="450">
        <f>'AVT-celny-101+187'!BI27</f>
        <v>0</v>
      </c>
      <c r="AP119" s="41"/>
      <c r="AQ119" s="450">
        <f>'AVT-celny-139+187'!BI21</f>
        <v>0</v>
      </c>
      <c r="AR119" s="41"/>
      <c r="AS119" s="450">
        <f>'AVT-celny-2x187'!BI8</f>
        <v>0</v>
      </c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203"/>
      <c r="BP119" s="203"/>
      <c r="BQ119" s="203"/>
      <c r="BR119" s="203"/>
      <c r="BS119" s="203"/>
      <c r="BT119" s="203"/>
      <c r="BU119" s="203"/>
      <c r="BV119" s="203"/>
      <c r="BW119" s="62"/>
      <c r="BX119" s="185"/>
      <c r="BY119" s="35"/>
      <c r="BZ119" s="27"/>
      <c r="CA119" s="27"/>
      <c r="CB119" s="27"/>
      <c r="CC119" s="27"/>
      <c r="CD119" s="27"/>
      <c r="CE119" s="27"/>
      <c r="CF119" s="27"/>
    </row>
    <row r="120" spans="1:84" ht="15" customHeight="1">
      <c r="A120" s="4"/>
      <c r="B120" s="439">
        <f>IF($Q$8=$Q$7,CENY!B260,IF($Q$7=$Q$9,CENY!B278,CENY!B296))</f>
        <v>9255048</v>
      </c>
      <c r="C120" s="48" t="str">
        <f>VLOOKUP(B120,CENY!$B$11:$G$1034,2,FALSE)</f>
        <v>AVANTECH YOU BOK V187 MM NL350 MM STŘÍBRNÝ LEVÝ</v>
      </c>
      <c r="D120" s="488">
        <f>VLOOKUP(B120,CENY!$B$11:$G$1034,3,FALSE)</f>
        <v>10</v>
      </c>
      <c r="E120" s="63" t="str">
        <f>IF(VLOOKUP(B120,CENY!$B$11:$G$1034,4,FALSE)=0,"",VLOOKUP(B120,CENY!$B$11:$G$1034,4,FALSE))</f>
        <v/>
      </c>
      <c r="F120" s="45" t="str">
        <f t="shared" si="18"/>
        <v/>
      </c>
      <c r="G120" s="59">
        <f>VLOOKUP(B120,CENY!$B$11:$M$1034,12,FALSE)</f>
        <v>302.63</v>
      </c>
      <c r="H120" s="61" t="str">
        <f t="shared" si="13"/>
        <v xml:space="preserve"> CZK</v>
      </c>
      <c r="I120" s="46" t="str">
        <f t="shared" si="14"/>
        <v/>
      </c>
      <c r="J120" s="138"/>
      <c r="K120" s="47">
        <f>VLOOKUP(B120,CENY!$B$11:$M$1034,8,FALSE)</f>
        <v>0</v>
      </c>
      <c r="L120" s="47" t="str">
        <f>VLOOKUP(B120,CENY!$B$11:$M$1034,9,FALSE)</f>
        <v xml:space="preserve"> </v>
      </c>
      <c r="M120" s="55"/>
      <c r="N120" s="38">
        <f t="shared" si="19"/>
        <v>0</v>
      </c>
      <c r="O120" s="39">
        <v>0</v>
      </c>
      <c r="P120" s="41"/>
      <c r="Q120" s="41"/>
      <c r="R120" s="41"/>
      <c r="S120" s="41"/>
      <c r="T120" s="41"/>
      <c r="U120" s="450">
        <f>'AVT187'!BI9</f>
        <v>0</v>
      </c>
      <c r="V120" s="41"/>
      <c r="W120" s="41"/>
      <c r="X120" s="41"/>
      <c r="Y120" s="41"/>
      <c r="Z120" s="41"/>
      <c r="AA120" s="41"/>
      <c r="AB120" s="41"/>
      <c r="AC120" s="41"/>
      <c r="AD120" s="41"/>
      <c r="AE120" s="450">
        <f>'AVT187(vn-A)'!BI9</f>
        <v>0</v>
      </c>
      <c r="AF120" s="41"/>
      <c r="AG120" s="41"/>
      <c r="AH120" s="41"/>
      <c r="AI120" s="450">
        <f>'AVT187(vn-S)'!BI9</f>
        <v>0</v>
      </c>
      <c r="AJ120" s="41"/>
      <c r="AK120" s="41"/>
      <c r="AL120" s="41"/>
      <c r="AM120" s="41"/>
      <c r="AN120" s="41"/>
      <c r="AO120" s="450">
        <f>'AVT-celny-101+187'!BI28</f>
        <v>0</v>
      </c>
      <c r="AP120" s="41"/>
      <c r="AQ120" s="450">
        <f>'AVT-celny-139+187'!BI22</f>
        <v>0</v>
      </c>
      <c r="AR120" s="41"/>
      <c r="AS120" s="450">
        <f>'AVT-celny-2x187'!BI9</f>
        <v>0</v>
      </c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203"/>
      <c r="BP120" s="203"/>
      <c r="BQ120" s="203"/>
      <c r="BR120" s="203"/>
      <c r="BS120" s="203"/>
      <c r="BT120" s="203"/>
      <c r="BU120" s="203"/>
      <c r="BV120" s="203"/>
      <c r="BW120" s="62"/>
      <c r="BX120" s="185"/>
      <c r="BY120" s="35"/>
      <c r="BZ120" s="27"/>
      <c r="CA120" s="27"/>
      <c r="CB120" s="27"/>
      <c r="CC120" s="27"/>
      <c r="CD120" s="27"/>
      <c r="CE120" s="27"/>
      <c r="CF120" s="27"/>
    </row>
    <row r="121" spans="1:84" ht="15" customHeight="1">
      <c r="A121" s="4"/>
      <c r="B121" s="439">
        <f>IF($Q$8=$Q$7,CENY!B261,IF($Q$7=$Q$9,CENY!B279,CENY!B297))</f>
        <v>9255049</v>
      </c>
      <c r="C121" s="48" t="str">
        <f>VLOOKUP(B121,CENY!$B$11:$G$1034,2,FALSE)</f>
        <v>AVANTECH YOU BOK V187 MM NL350 MM STŘÍBRNÝ PRAVÝ</v>
      </c>
      <c r="D121" s="488">
        <f>VLOOKUP(B121,CENY!$B$11:$G$1034,3,FALSE)</f>
        <v>10</v>
      </c>
      <c r="E121" s="63" t="str">
        <f>IF(VLOOKUP(B121,CENY!$B$11:$G$1034,4,FALSE)=0,"",VLOOKUP(B121,CENY!$B$11:$G$1034,4,FALSE))</f>
        <v/>
      </c>
      <c r="F121" s="45" t="str">
        <f t="shared" si="18"/>
        <v/>
      </c>
      <c r="G121" s="59">
        <f>VLOOKUP(B121,CENY!$B$11:$M$1034,12,FALSE)</f>
        <v>302.63</v>
      </c>
      <c r="H121" s="61" t="str">
        <f t="shared" si="13"/>
        <v xml:space="preserve"> CZK</v>
      </c>
      <c r="I121" s="46" t="str">
        <f t="shared" si="14"/>
        <v/>
      </c>
      <c r="J121" s="138"/>
      <c r="K121" s="47">
        <f>VLOOKUP(B121,CENY!$B$11:$M$1034,8,FALSE)</f>
        <v>0</v>
      </c>
      <c r="L121" s="47" t="str">
        <f>VLOOKUP(B121,CENY!$B$11:$M$1034,9,FALSE)</f>
        <v xml:space="preserve"> </v>
      </c>
      <c r="M121" s="55"/>
      <c r="N121" s="38">
        <f t="shared" si="19"/>
        <v>0</v>
      </c>
      <c r="O121" s="39">
        <v>0</v>
      </c>
      <c r="P121" s="41"/>
      <c r="Q121" s="41"/>
      <c r="R121" s="41"/>
      <c r="S121" s="41"/>
      <c r="T121" s="41"/>
      <c r="U121" s="450">
        <f>'AVT187'!BI10</f>
        <v>0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50">
        <f>'AVT187(vn-A)'!BI10</f>
        <v>0</v>
      </c>
      <c r="AF121" s="41"/>
      <c r="AG121" s="41"/>
      <c r="AH121" s="41"/>
      <c r="AI121" s="450">
        <f>'AVT187(vn-S)'!BI10</f>
        <v>0</v>
      </c>
      <c r="AJ121" s="41"/>
      <c r="AK121" s="41"/>
      <c r="AL121" s="41"/>
      <c r="AM121" s="41"/>
      <c r="AN121" s="41"/>
      <c r="AO121" s="450">
        <f>'AVT-celny-101+187'!BI29</f>
        <v>0</v>
      </c>
      <c r="AP121" s="41"/>
      <c r="AQ121" s="450">
        <f>'AVT-celny-139+187'!BI23</f>
        <v>0</v>
      </c>
      <c r="AR121" s="41"/>
      <c r="AS121" s="450">
        <f>'AVT-celny-2x187'!BI10</f>
        <v>0</v>
      </c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203"/>
      <c r="BP121" s="203"/>
      <c r="BQ121" s="203"/>
      <c r="BR121" s="203"/>
      <c r="BS121" s="203"/>
      <c r="BT121" s="203"/>
      <c r="BU121" s="203"/>
      <c r="BV121" s="203"/>
      <c r="BW121" s="62"/>
      <c r="BX121" s="185"/>
      <c r="BY121" s="35"/>
      <c r="BZ121" s="27"/>
      <c r="CA121" s="27"/>
      <c r="CB121" s="27"/>
      <c r="CC121" s="27"/>
      <c r="CD121" s="27"/>
      <c r="CE121" s="27"/>
      <c r="CF121" s="27"/>
    </row>
    <row r="122" spans="1:84" ht="15" customHeight="1">
      <c r="A122" s="4"/>
      <c r="B122" s="439">
        <f>IF($Q$8=$Q$7,CENY!B262,IF($Q$7=$Q$9,CENY!B280,CENY!B298))</f>
        <v>9255050</v>
      </c>
      <c r="C122" s="48" t="str">
        <f>VLOOKUP(B122,CENY!$B$11:$G$1034,2,FALSE)</f>
        <v>AVANTECH YOU BOK V187 MM NL400 MM STŘÍBRNÝ LEVÝ</v>
      </c>
      <c r="D122" s="488">
        <f>VLOOKUP(B122,CENY!$B$11:$G$1034,3,FALSE)</f>
        <v>10</v>
      </c>
      <c r="E122" s="63" t="str">
        <f>IF(VLOOKUP(B122,CENY!$B$11:$G$1034,4,FALSE)=0,"",VLOOKUP(B122,CENY!$B$11:$G$1034,4,FALSE))</f>
        <v/>
      </c>
      <c r="F122" s="45" t="str">
        <f t="shared" si="18"/>
        <v/>
      </c>
      <c r="G122" s="59">
        <f>VLOOKUP(B122,CENY!$B$11:$M$1034,12,FALSE)</f>
        <v>308.10000000000002</v>
      </c>
      <c r="H122" s="61" t="str">
        <f t="shared" si="13"/>
        <v xml:space="preserve"> CZK</v>
      </c>
      <c r="I122" s="46" t="str">
        <f t="shared" si="14"/>
        <v/>
      </c>
      <c r="J122" s="138"/>
      <c r="K122" s="47">
        <f>VLOOKUP(B122,CENY!$B$11:$M$1034,8,FALSE)</f>
        <v>0</v>
      </c>
      <c r="L122" s="47" t="str">
        <f>VLOOKUP(B122,CENY!$B$11:$M$1034,9,FALSE)</f>
        <v xml:space="preserve"> </v>
      </c>
      <c r="M122" s="55"/>
      <c r="N122" s="38">
        <f t="shared" si="19"/>
        <v>0</v>
      </c>
      <c r="O122" s="39">
        <v>0</v>
      </c>
      <c r="P122" s="41"/>
      <c r="Q122" s="41"/>
      <c r="R122" s="41"/>
      <c r="S122" s="41"/>
      <c r="T122" s="41"/>
      <c r="U122" s="450">
        <f>'AVT187'!BI11</f>
        <v>0</v>
      </c>
      <c r="V122" s="41"/>
      <c r="W122" s="41"/>
      <c r="X122" s="41"/>
      <c r="Y122" s="41"/>
      <c r="Z122" s="41"/>
      <c r="AA122" s="41"/>
      <c r="AB122" s="41"/>
      <c r="AC122" s="41"/>
      <c r="AD122" s="41"/>
      <c r="AE122" s="450">
        <f>'AVT187(vn-A)'!BI11</f>
        <v>0</v>
      </c>
      <c r="AF122" s="41"/>
      <c r="AG122" s="41"/>
      <c r="AH122" s="41"/>
      <c r="AI122" s="450">
        <f>'AVT187(vn-S)'!BI11</f>
        <v>0</v>
      </c>
      <c r="AJ122" s="41"/>
      <c r="AK122" s="41"/>
      <c r="AL122" s="41"/>
      <c r="AM122" s="41"/>
      <c r="AN122" s="41"/>
      <c r="AO122" s="450">
        <f>'AVT-celny-101+187'!BI30</f>
        <v>0</v>
      </c>
      <c r="AP122" s="41"/>
      <c r="AQ122" s="450">
        <f>'AVT-celny-139+187'!BI24</f>
        <v>0</v>
      </c>
      <c r="AR122" s="41"/>
      <c r="AS122" s="450">
        <f>'AVT-celny-2x187'!BI11</f>
        <v>0</v>
      </c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203"/>
      <c r="BP122" s="203"/>
      <c r="BQ122" s="203"/>
      <c r="BR122" s="203"/>
      <c r="BS122" s="203"/>
      <c r="BT122" s="203"/>
      <c r="BU122" s="203"/>
      <c r="BV122" s="203"/>
      <c r="BW122" s="62"/>
      <c r="BX122" s="185"/>
      <c r="BY122" s="35"/>
      <c r="BZ122" s="27"/>
      <c r="CA122" s="27"/>
      <c r="CB122" s="27"/>
      <c r="CC122" s="27"/>
      <c r="CD122" s="27"/>
      <c r="CE122" s="27"/>
      <c r="CF122" s="27"/>
    </row>
    <row r="123" spans="1:84" ht="15" customHeight="1">
      <c r="A123" s="4"/>
      <c r="B123" s="439">
        <f>IF($Q$8=$Q$7,CENY!B263,IF($Q$7=$Q$9,CENY!B281,CENY!B299))</f>
        <v>9255051</v>
      </c>
      <c r="C123" s="48" t="str">
        <f>VLOOKUP(B123,CENY!$B$11:$G$1034,2,FALSE)</f>
        <v>AVANTECH YOU BOK V187 MM NL400 MM STŘÍBRNÝ PRAVÝ</v>
      </c>
      <c r="D123" s="488">
        <f>VLOOKUP(B123,CENY!$B$11:$G$1034,3,FALSE)</f>
        <v>10</v>
      </c>
      <c r="E123" s="63" t="str">
        <f>IF(VLOOKUP(B123,CENY!$B$11:$G$1034,4,FALSE)=0,"",VLOOKUP(B123,CENY!$B$11:$G$1034,4,FALSE))</f>
        <v/>
      </c>
      <c r="F123" s="45" t="str">
        <f t="shared" si="18"/>
        <v/>
      </c>
      <c r="G123" s="59">
        <f>VLOOKUP(B123,CENY!$B$11:$M$1034,12,FALSE)</f>
        <v>308.10000000000002</v>
      </c>
      <c r="H123" s="61" t="str">
        <f t="shared" si="13"/>
        <v xml:space="preserve"> CZK</v>
      </c>
      <c r="I123" s="46" t="str">
        <f t="shared" si="14"/>
        <v/>
      </c>
      <c r="J123" s="138"/>
      <c r="K123" s="47">
        <f>VLOOKUP(B123,CENY!$B$11:$M$1034,8,FALSE)</f>
        <v>0</v>
      </c>
      <c r="L123" s="47" t="str">
        <f>VLOOKUP(B123,CENY!$B$11:$M$1034,9,FALSE)</f>
        <v xml:space="preserve"> </v>
      </c>
      <c r="M123" s="55"/>
      <c r="N123" s="38">
        <f t="shared" si="19"/>
        <v>0</v>
      </c>
      <c r="O123" s="39">
        <v>0</v>
      </c>
      <c r="P123" s="41"/>
      <c r="Q123" s="41"/>
      <c r="R123" s="41"/>
      <c r="S123" s="41"/>
      <c r="T123" s="41"/>
      <c r="U123" s="450">
        <f>'AVT187'!BI12</f>
        <v>0</v>
      </c>
      <c r="V123" s="41"/>
      <c r="W123" s="41"/>
      <c r="X123" s="41"/>
      <c r="Y123" s="41"/>
      <c r="Z123" s="41"/>
      <c r="AA123" s="41"/>
      <c r="AB123" s="41"/>
      <c r="AC123" s="41"/>
      <c r="AD123" s="41"/>
      <c r="AE123" s="450">
        <f>'AVT187(vn-A)'!BI12</f>
        <v>0</v>
      </c>
      <c r="AF123" s="41"/>
      <c r="AG123" s="41"/>
      <c r="AH123" s="41"/>
      <c r="AI123" s="450">
        <f>'AVT187(vn-S)'!BI12</f>
        <v>0</v>
      </c>
      <c r="AJ123" s="41"/>
      <c r="AK123" s="41"/>
      <c r="AL123" s="41"/>
      <c r="AM123" s="41"/>
      <c r="AN123" s="41"/>
      <c r="AO123" s="450">
        <f>'AVT-celny-101+187'!BI31</f>
        <v>0</v>
      </c>
      <c r="AP123" s="41"/>
      <c r="AQ123" s="450">
        <f>'AVT-celny-139+187'!BI25</f>
        <v>0</v>
      </c>
      <c r="AR123" s="41"/>
      <c r="AS123" s="450">
        <f>'AVT-celny-2x187'!BI12</f>
        <v>0</v>
      </c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203"/>
      <c r="BP123" s="203"/>
      <c r="BQ123" s="203"/>
      <c r="BR123" s="203"/>
      <c r="BS123" s="203"/>
      <c r="BT123" s="203"/>
      <c r="BU123" s="203"/>
      <c r="BV123" s="203"/>
      <c r="BW123" s="62"/>
      <c r="BX123" s="185"/>
      <c r="BY123" s="35"/>
      <c r="BZ123" s="27"/>
      <c r="CA123" s="27"/>
      <c r="CB123" s="27"/>
      <c r="CC123" s="27"/>
      <c r="CD123" s="27"/>
      <c r="CE123" s="27"/>
      <c r="CF123" s="27"/>
    </row>
    <row r="124" spans="1:84" ht="15" customHeight="1">
      <c r="A124" s="4"/>
      <c r="B124" s="439">
        <f>IF($Q$8=$Q$7,CENY!B264,IF($Q$7=$Q$9,CENY!B282,CENY!B300))</f>
        <v>9255052</v>
      </c>
      <c r="C124" s="48" t="str">
        <f>VLOOKUP(B124,CENY!$B$11:$G$1034,2,FALSE)</f>
        <v>AVANTECH YOU BOK V187 MM NL450 MM STŘÍBRNÝ LEVÝ</v>
      </c>
      <c r="D124" s="488">
        <f>VLOOKUP(B124,CENY!$B$11:$G$1034,3,FALSE)</f>
        <v>10</v>
      </c>
      <c r="E124" s="63" t="str">
        <f>IF(VLOOKUP(B124,CENY!$B$11:$G$1034,4,FALSE)=0,"",VLOOKUP(B124,CENY!$B$11:$G$1034,4,FALSE))</f>
        <v/>
      </c>
      <c r="F124" s="45" t="str">
        <f t="shared" si="18"/>
        <v/>
      </c>
      <c r="G124" s="59">
        <f>VLOOKUP(B124,CENY!$B$11:$M$1034,12,FALSE)</f>
        <v>313.57</v>
      </c>
      <c r="H124" s="61" t="str">
        <f t="shared" si="13"/>
        <v xml:space="preserve"> CZK</v>
      </c>
      <c r="I124" s="46" t="str">
        <f t="shared" si="14"/>
        <v/>
      </c>
      <c r="J124" s="138"/>
      <c r="K124" s="47">
        <f>VLOOKUP(B124,CENY!$B$11:$M$1034,8,FALSE)</f>
        <v>0</v>
      </c>
      <c r="L124" s="47" t="str">
        <f>VLOOKUP(B124,CENY!$B$11:$M$1034,9,FALSE)</f>
        <v xml:space="preserve"> </v>
      </c>
      <c r="M124" s="55"/>
      <c r="N124" s="38">
        <f t="shared" si="19"/>
        <v>0</v>
      </c>
      <c r="O124" s="39">
        <v>0</v>
      </c>
      <c r="P124" s="41"/>
      <c r="Q124" s="41"/>
      <c r="R124" s="41"/>
      <c r="S124" s="41"/>
      <c r="T124" s="41"/>
      <c r="U124" s="450">
        <f>'AVT187'!BI13</f>
        <v>0</v>
      </c>
      <c r="V124" s="41"/>
      <c r="W124" s="41"/>
      <c r="X124" s="41"/>
      <c r="Y124" s="41"/>
      <c r="Z124" s="41"/>
      <c r="AA124" s="41"/>
      <c r="AB124" s="41"/>
      <c r="AC124" s="41"/>
      <c r="AD124" s="41"/>
      <c r="AE124" s="450">
        <f>'AVT187(vn-A)'!BI13</f>
        <v>0</v>
      </c>
      <c r="AF124" s="41"/>
      <c r="AG124" s="41"/>
      <c r="AH124" s="41"/>
      <c r="AI124" s="450">
        <f>'AVT187(vn-S)'!BI13</f>
        <v>0</v>
      </c>
      <c r="AJ124" s="41"/>
      <c r="AK124" s="41"/>
      <c r="AL124" s="41"/>
      <c r="AM124" s="41"/>
      <c r="AN124" s="41"/>
      <c r="AO124" s="450">
        <f>'AVT-celny-101+187'!BI32</f>
        <v>0</v>
      </c>
      <c r="AP124" s="41"/>
      <c r="AQ124" s="450">
        <f>'AVT-celny-139+187'!BI26</f>
        <v>0</v>
      </c>
      <c r="AR124" s="41"/>
      <c r="AS124" s="450">
        <f>'AVT-celny-2x187'!BI13</f>
        <v>0</v>
      </c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203"/>
      <c r="BP124" s="203"/>
      <c r="BQ124" s="203"/>
      <c r="BR124" s="203"/>
      <c r="BS124" s="203"/>
      <c r="BT124" s="203"/>
      <c r="BU124" s="203"/>
      <c r="BV124" s="203"/>
      <c r="BW124" s="62"/>
      <c r="BX124" s="185"/>
      <c r="BY124" s="35"/>
      <c r="BZ124" s="27"/>
      <c r="CA124" s="27"/>
      <c r="CB124" s="27"/>
      <c r="CC124" s="27"/>
      <c r="CD124" s="27"/>
      <c r="CE124" s="27"/>
      <c r="CF124" s="27"/>
    </row>
    <row r="125" spans="1:84" ht="15" customHeight="1">
      <c r="A125" s="4"/>
      <c r="B125" s="439">
        <f>IF($Q$8=$Q$7,CENY!B265,IF($Q$7=$Q$9,CENY!B283,CENY!B301))</f>
        <v>9255053</v>
      </c>
      <c r="C125" s="48" t="str">
        <f>VLOOKUP(B125,CENY!$B$11:$G$1034,2,FALSE)</f>
        <v>AVANTECH YOU BOK V187 MM NL450 MM STŘÍBRNÝ PRAVÝ</v>
      </c>
      <c r="D125" s="488">
        <f>VLOOKUP(B125,CENY!$B$11:$G$1034,3,FALSE)</f>
        <v>10</v>
      </c>
      <c r="E125" s="63" t="str">
        <f>IF(VLOOKUP(B125,CENY!$B$11:$G$1034,4,FALSE)=0,"",VLOOKUP(B125,CENY!$B$11:$G$1034,4,FALSE))</f>
        <v/>
      </c>
      <c r="F125" s="45" t="str">
        <f t="shared" si="18"/>
        <v/>
      </c>
      <c r="G125" s="59">
        <f>VLOOKUP(B125,CENY!$B$11:$M$1034,12,FALSE)</f>
        <v>313.57</v>
      </c>
      <c r="H125" s="61" t="str">
        <f t="shared" si="13"/>
        <v xml:space="preserve"> CZK</v>
      </c>
      <c r="I125" s="46" t="str">
        <f t="shared" si="14"/>
        <v/>
      </c>
      <c r="J125" s="138"/>
      <c r="K125" s="47">
        <f>VLOOKUP(B125,CENY!$B$11:$M$1034,8,FALSE)</f>
        <v>0</v>
      </c>
      <c r="L125" s="47" t="str">
        <f>VLOOKUP(B125,CENY!$B$11:$M$1034,9,FALSE)</f>
        <v xml:space="preserve"> </v>
      </c>
      <c r="M125" s="55"/>
      <c r="N125" s="38">
        <f t="shared" si="19"/>
        <v>0</v>
      </c>
      <c r="O125" s="39">
        <v>0</v>
      </c>
      <c r="P125" s="41"/>
      <c r="Q125" s="41"/>
      <c r="R125" s="41"/>
      <c r="S125" s="41"/>
      <c r="T125" s="41"/>
      <c r="U125" s="450">
        <f>'AVT187'!BI14</f>
        <v>0</v>
      </c>
      <c r="V125" s="41"/>
      <c r="W125" s="41"/>
      <c r="X125" s="41"/>
      <c r="Y125" s="41"/>
      <c r="Z125" s="41"/>
      <c r="AA125" s="41"/>
      <c r="AB125" s="41"/>
      <c r="AC125" s="41"/>
      <c r="AD125" s="41"/>
      <c r="AE125" s="450">
        <f>'AVT187(vn-A)'!BI14</f>
        <v>0</v>
      </c>
      <c r="AF125" s="41"/>
      <c r="AG125" s="41"/>
      <c r="AH125" s="41"/>
      <c r="AI125" s="450">
        <f>'AVT187(vn-S)'!BI14</f>
        <v>0</v>
      </c>
      <c r="AJ125" s="41"/>
      <c r="AK125" s="41"/>
      <c r="AL125" s="41"/>
      <c r="AM125" s="41"/>
      <c r="AN125" s="41"/>
      <c r="AO125" s="450">
        <f>'AVT-celny-101+187'!BI33</f>
        <v>0</v>
      </c>
      <c r="AP125" s="41"/>
      <c r="AQ125" s="450">
        <f>'AVT-celny-139+187'!BI27</f>
        <v>0</v>
      </c>
      <c r="AR125" s="41"/>
      <c r="AS125" s="450">
        <f>'AVT-celny-2x187'!BI14</f>
        <v>0</v>
      </c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203"/>
      <c r="BP125" s="203"/>
      <c r="BQ125" s="203"/>
      <c r="BR125" s="203"/>
      <c r="BS125" s="203"/>
      <c r="BT125" s="203"/>
      <c r="BU125" s="203"/>
      <c r="BV125" s="203"/>
      <c r="BW125" s="62"/>
      <c r="BX125" s="185"/>
      <c r="BY125" s="35"/>
      <c r="BZ125" s="27"/>
      <c r="CA125" s="27"/>
      <c r="CB125" s="27"/>
      <c r="CC125" s="27"/>
      <c r="CD125" s="27"/>
      <c r="CE125" s="27"/>
      <c r="CF125" s="27"/>
    </row>
    <row r="126" spans="1:84" ht="15" customHeight="1">
      <c r="A126" s="4"/>
      <c r="B126" s="439">
        <f>IF($Q$8=$Q$7,CENY!B266,IF($Q$7=$Q$9,CENY!B284,CENY!B302))</f>
        <v>9255054</v>
      </c>
      <c r="C126" s="48" t="str">
        <f>VLOOKUP(B126,CENY!$B$11:$G$1034,2,FALSE)</f>
        <v>AVANTECH YOU BOK V187 MM NL500 MM STŘÍBRNÝ LEVÝ</v>
      </c>
      <c r="D126" s="488">
        <f>VLOOKUP(B126,CENY!$B$11:$G$1034,3,FALSE)</f>
        <v>10</v>
      </c>
      <c r="E126" s="63" t="str">
        <f>IF(VLOOKUP(B126,CENY!$B$11:$G$1034,4,FALSE)=0,"",VLOOKUP(B126,CENY!$B$11:$G$1034,4,FALSE))</f>
        <v/>
      </c>
      <c r="F126" s="45" t="str">
        <f t="shared" si="18"/>
        <v/>
      </c>
      <c r="G126" s="59">
        <f>VLOOKUP(B126,CENY!$B$11:$M$1034,12,FALSE)</f>
        <v>319.02999999999997</v>
      </c>
      <c r="H126" s="61" t="str">
        <f t="shared" si="13"/>
        <v xml:space="preserve"> CZK</v>
      </c>
      <c r="I126" s="46" t="str">
        <f t="shared" si="14"/>
        <v/>
      </c>
      <c r="J126" s="138"/>
      <c r="K126" s="47">
        <f>VLOOKUP(B126,CENY!$B$11:$M$1034,8,FALSE)</f>
        <v>0</v>
      </c>
      <c r="L126" s="47" t="str">
        <f>VLOOKUP(B126,CENY!$B$11:$M$1034,9,FALSE)</f>
        <v xml:space="preserve"> </v>
      </c>
      <c r="M126" s="55"/>
      <c r="N126" s="38">
        <f t="shared" si="19"/>
        <v>0</v>
      </c>
      <c r="O126" s="39">
        <v>0</v>
      </c>
      <c r="P126" s="41"/>
      <c r="Q126" s="41"/>
      <c r="R126" s="41"/>
      <c r="S126" s="41"/>
      <c r="T126" s="41"/>
      <c r="U126" s="450">
        <f>'AVT187'!BI15</f>
        <v>0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50">
        <f>'AVT187(vn-A)'!BI15</f>
        <v>0</v>
      </c>
      <c r="AF126" s="41"/>
      <c r="AG126" s="41"/>
      <c r="AH126" s="41"/>
      <c r="AI126" s="450">
        <f>'AVT187(vn-S)'!BI15</f>
        <v>0</v>
      </c>
      <c r="AJ126" s="41"/>
      <c r="AK126" s="41"/>
      <c r="AL126" s="41"/>
      <c r="AM126" s="41"/>
      <c r="AN126" s="41"/>
      <c r="AO126" s="450">
        <f>'AVT-celny-101+187'!BI34</f>
        <v>0</v>
      </c>
      <c r="AP126" s="41"/>
      <c r="AQ126" s="450">
        <f>'AVT-celny-139+187'!BI28</f>
        <v>0</v>
      </c>
      <c r="AR126" s="41"/>
      <c r="AS126" s="450">
        <f>'AVT-celny-2x187'!BI15</f>
        <v>0</v>
      </c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203"/>
      <c r="BP126" s="203"/>
      <c r="BQ126" s="203"/>
      <c r="BR126" s="203"/>
      <c r="BS126" s="203"/>
      <c r="BT126" s="203"/>
      <c r="BU126" s="203"/>
      <c r="BV126" s="203"/>
      <c r="BW126" s="62"/>
      <c r="BX126" s="185"/>
      <c r="BY126" s="35"/>
      <c r="BZ126" s="27"/>
      <c r="CA126" s="27"/>
      <c r="CB126" s="27"/>
      <c r="CC126" s="27"/>
      <c r="CD126" s="27"/>
      <c r="CE126" s="27"/>
      <c r="CF126" s="27"/>
    </row>
    <row r="127" spans="1:84" ht="15" customHeight="1">
      <c r="A127" s="4"/>
      <c r="B127" s="439">
        <f>IF($Q$8=$Q$7,CENY!B267,IF($Q$7=$Q$9,CENY!B285,CENY!B303))</f>
        <v>9255055</v>
      </c>
      <c r="C127" s="48" t="str">
        <f>VLOOKUP(B127,CENY!$B$11:$G$1034,2,FALSE)</f>
        <v>AVANTECH YOU BOK V187 MM NL500 MM STŘÍBRNÝ PRAVÝ</v>
      </c>
      <c r="D127" s="488">
        <f>VLOOKUP(B127,CENY!$B$11:$G$1034,3,FALSE)</f>
        <v>10</v>
      </c>
      <c r="E127" s="63" t="str">
        <f>IF(VLOOKUP(B127,CENY!$B$11:$G$1034,4,FALSE)=0,"",VLOOKUP(B127,CENY!$B$11:$G$1034,4,FALSE))</f>
        <v/>
      </c>
      <c r="F127" s="45" t="str">
        <f t="shared" si="18"/>
        <v/>
      </c>
      <c r="G127" s="59">
        <f>VLOOKUP(B127,CENY!$B$11:$M$1034,12,FALSE)</f>
        <v>319.02999999999997</v>
      </c>
      <c r="H127" s="61" t="str">
        <f t="shared" si="13"/>
        <v xml:space="preserve"> CZK</v>
      </c>
      <c r="I127" s="46" t="str">
        <f t="shared" si="14"/>
        <v/>
      </c>
      <c r="J127" s="138"/>
      <c r="K127" s="47">
        <f>VLOOKUP(B127,CENY!$B$11:$M$1034,8,FALSE)</f>
        <v>0</v>
      </c>
      <c r="L127" s="47" t="str">
        <f>VLOOKUP(B127,CENY!$B$11:$M$1034,9,FALSE)</f>
        <v xml:space="preserve"> </v>
      </c>
      <c r="M127" s="55"/>
      <c r="N127" s="38">
        <f t="shared" si="19"/>
        <v>0</v>
      </c>
      <c r="O127" s="39">
        <v>0</v>
      </c>
      <c r="P127" s="41"/>
      <c r="Q127" s="41"/>
      <c r="R127" s="41"/>
      <c r="S127" s="41"/>
      <c r="T127" s="41"/>
      <c r="U127" s="450">
        <f>'AVT187'!BI16</f>
        <v>0</v>
      </c>
      <c r="V127" s="41"/>
      <c r="W127" s="41"/>
      <c r="X127" s="41"/>
      <c r="Y127" s="41"/>
      <c r="Z127" s="41"/>
      <c r="AA127" s="41"/>
      <c r="AB127" s="41"/>
      <c r="AC127" s="41"/>
      <c r="AD127" s="41"/>
      <c r="AE127" s="450">
        <f>'AVT187(vn-A)'!BI16</f>
        <v>0</v>
      </c>
      <c r="AF127" s="41"/>
      <c r="AG127" s="41"/>
      <c r="AH127" s="41"/>
      <c r="AI127" s="450">
        <f>'AVT187(vn-S)'!BI16</f>
        <v>0</v>
      </c>
      <c r="AJ127" s="41"/>
      <c r="AK127" s="41"/>
      <c r="AL127" s="41"/>
      <c r="AM127" s="41"/>
      <c r="AN127" s="41"/>
      <c r="AO127" s="450">
        <f>'AVT-celny-101+187'!BI35</f>
        <v>0</v>
      </c>
      <c r="AP127" s="41"/>
      <c r="AQ127" s="450">
        <f>'AVT-celny-139+187'!BI29</f>
        <v>0</v>
      </c>
      <c r="AR127" s="41"/>
      <c r="AS127" s="450">
        <f>'AVT-celny-2x187'!BI16</f>
        <v>0</v>
      </c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203"/>
      <c r="BP127" s="203"/>
      <c r="BQ127" s="203"/>
      <c r="BR127" s="203"/>
      <c r="BS127" s="203"/>
      <c r="BT127" s="203"/>
      <c r="BU127" s="203"/>
      <c r="BV127" s="203"/>
      <c r="BW127" s="62"/>
      <c r="BX127" s="185"/>
      <c r="BY127" s="35"/>
      <c r="BZ127" s="27"/>
      <c r="CA127" s="27"/>
      <c r="CB127" s="27"/>
      <c r="CC127" s="27"/>
      <c r="CD127" s="27"/>
      <c r="CE127" s="27"/>
      <c r="CF127" s="27"/>
    </row>
    <row r="128" spans="1:84" ht="15" customHeight="1">
      <c r="A128" s="4"/>
      <c r="B128" s="439">
        <f>IF($Q$8=$Q$7,CENY!B268,IF($Q$7=$Q$9,CENY!B286,CENY!B304))</f>
        <v>9255056</v>
      </c>
      <c r="C128" s="48" t="str">
        <f>VLOOKUP(B128,CENY!$B$11:$G$1034,2,FALSE)</f>
        <v>AVANTECH YOU BOK V187 MM NL550 MM STŘÍBRNÝ LEVÝ</v>
      </c>
      <c r="D128" s="488">
        <f>VLOOKUP(B128,CENY!$B$11:$G$1034,3,FALSE)</f>
        <v>10</v>
      </c>
      <c r="E128" s="63" t="str">
        <f>IF(VLOOKUP(B128,CENY!$B$11:$G$1034,4,FALSE)=0,"",VLOOKUP(B128,CENY!$B$11:$G$1034,4,FALSE))</f>
        <v/>
      </c>
      <c r="F128" s="45" t="str">
        <f t="shared" si="18"/>
        <v/>
      </c>
      <c r="G128" s="59">
        <f>VLOOKUP(B128,CENY!$B$11:$M$1034,12,FALSE)</f>
        <v>324.5</v>
      </c>
      <c r="H128" s="61" t="str">
        <f t="shared" si="13"/>
        <v xml:space="preserve"> CZK</v>
      </c>
      <c r="I128" s="46" t="str">
        <f t="shared" si="14"/>
        <v/>
      </c>
      <c r="J128" s="138"/>
      <c r="K128" s="47">
        <f>VLOOKUP(B128,CENY!$B$11:$M$1034,8,FALSE)</f>
        <v>0</v>
      </c>
      <c r="L128" s="47" t="str">
        <f>VLOOKUP(B128,CENY!$B$11:$M$1034,9,FALSE)</f>
        <v xml:space="preserve"> </v>
      </c>
      <c r="M128" s="55"/>
      <c r="N128" s="38">
        <f t="shared" si="19"/>
        <v>0</v>
      </c>
      <c r="O128" s="39">
        <v>0</v>
      </c>
      <c r="P128" s="41"/>
      <c r="Q128" s="41"/>
      <c r="R128" s="41"/>
      <c r="S128" s="41"/>
      <c r="T128" s="41"/>
      <c r="U128" s="450">
        <f>'AVT187'!BI17</f>
        <v>0</v>
      </c>
      <c r="V128" s="41"/>
      <c r="W128" s="41"/>
      <c r="X128" s="41"/>
      <c r="Y128" s="41"/>
      <c r="Z128" s="41"/>
      <c r="AA128" s="41"/>
      <c r="AB128" s="41"/>
      <c r="AC128" s="41"/>
      <c r="AD128" s="41"/>
      <c r="AE128" s="450">
        <f>'AVT187(vn-A)'!BI17</f>
        <v>0</v>
      </c>
      <c r="AF128" s="41"/>
      <c r="AG128" s="41"/>
      <c r="AH128" s="41"/>
      <c r="AI128" s="450">
        <f>'AVT187(vn-S)'!BI17</f>
        <v>0</v>
      </c>
      <c r="AJ128" s="41"/>
      <c r="AK128" s="41"/>
      <c r="AL128" s="41"/>
      <c r="AM128" s="41"/>
      <c r="AN128" s="41"/>
      <c r="AO128" s="450">
        <f>'AVT-celny-101+187'!BI36</f>
        <v>0</v>
      </c>
      <c r="AP128" s="41"/>
      <c r="AQ128" s="450">
        <f>'AVT-celny-139+187'!BI30</f>
        <v>0</v>
      </c>
      <c r="AR128" s="41"/>
      <c r="AS128" s="450">
        <f>'AVT-celny-2x187'!BI17</f>
        <v>0</v>
      </c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203"/>
      <c r="BP128" s="203"/>
      <c r="BQ128" s="203"/>
      <c r="BR128" s="203"/>
      <c r="BS128" s="203"/>
      <c r="BT128" s="203"/>
      <c r="BU128" s="203"/>
      <c r="BV128" s="203"/>
      <c r="BW128" s="62"/>
      <c r="BX128" s="185"/>
      <c r="BY128" s="35"/>
      <c r="BZ128" s="27"/>
      <c r="CA128" s="27"/>
      <c r="CB128" s="27"/>
      <c r="CC128" s="27"/>
      <c r="CD128" s="27"/>
      <c r="CE128" s="27"/>
      <c r="CF128" s="27"/>
    </row>
    <row r="129" spans="1:84" ht="15" customHeight="1">
      <c r="A129" s="4"/>
      <c r="B129" s="439">
        <f>IF($Q$8=$Q$7,CENY!B269,IF($Q$7=$Q$9,CENY!B287,CENY!B305))</f>
        <v>9255057</v>
      </c>
      <c r="C129" s="48" t="str">
        <f>VLOOKUP(B129,CENY!$B$11:$G$1034,2,FALSE)</f>
        <v>AVANTECH YOU BOK V187 MM NL550 MM STŘÍBRNÝ PRAVÝ</v>
      </c>
      <c r="D129" s="488">
        <f>VLOOKUP(B129,CENY!$B$11:$G$1034,3,FALSE)</f>
        <v>10</v>
      </c>
      <c r="E129" s="63" t="str">
        <f>IF(VLOOKUP(B129,CENY!$B$11:$G$1034,4,FALSE)=0,"",VLOOKUP(B129,CENY!$B$11:$G$1034,4,FALSE))</f>
        <v/>
      </c>
      <c r="F129" s="45" t="str">
        <f t="shared" si="18"/>
        <v/>
      </c>
      <c r="G129" s="59">
        <f>VLOOKUP(B129,CENY!$B$11:$M$1034,12,FALSE)</f>
        <v>324.5</v>
      </c>
      <c r="H129" s="61" t="str">
        <f t="shared" si="13"/>
        <v xml:space="preserve"> CZK</v>
      </c>
      <c r="I129" s="46" t="str">
        <f t="shared" si="14"/>
        <v/>
      </c>
      <c r="J129" s="138"/>
      <c r="K129" s="47">
        <f>VLOOKUP(B129,CENY!$B$11:$M$1034,8,FALSE)</f>
        <v>0</v>
      </c>
      <c r="L129" s="47" t="str">
        <f>VLOOKUP(B129,CENY!$B$11:$M$1034,9,FALSE)</f>
        <v xml:space="preserve"> </v>
      </c>
      <c r="M129" s="55"/>
      <c r="N129" s="38">
        <f t="shared" si="19"/>
        <v>0</v>
      </c>
      <c r="O129" s="39">
        <v>0</v>
      </c>
      <c r="P129" s="41"/>
      <c r="Q129" s="41"/>
      <c r="R129" s="41"/>
      <c r="S129" s="41"/>
      <c r="T129" s="41"/>
      <c r="U129" s="450">
        <f>'AVT187'!BI18</f>
        <v>0</v>
      </c>
      <c r="V129" s="41"/>
      <c r="W129" s="41"/>
      <c r="X129" s="41"/>
      <c r="Y129" s="41"/>
      <c r="Z129" s="41"/>
      <c r="AA129" s="41"/>
      <c r="AB129" s="41"/>
      <c r="AC129" s="41"/>
      <c r="AD129" s="41"/>
      <c r="AE129" s="450">
        <f>'AVT187(vn-A)'!BI18</f>
        <v>0</v>
      </c>
      <c r="AF129" s="41"/>
      <c r="AG129" s="41"/>
      <c r="AH129" s="41"/>
      <c r="AI129" s="450">
        <f>'AVT187(vn-S)'!BI18</f>
        <v>0</v>
      </c>
      <c r="AJ129" s="41"/>
      <c r="AK129" s="41"/>
      <c r="AL129" s="41"/>
      <c r="AM129" s="41"/>
      <c r="AN129" s="41"/>
      <c r="AO129" s="450">
        <f>'AVT-celny-101+187'!BI37</f>
        <v>0</v>
      </c>
      <c r="AP129" s="41"/>
      <c r="AQ129" s="450">
        <f>'AVT-celny-139+187'!BI31</f>
        <v>0</v>
      </c>
      <c r="AR129" s="41"/>
      <c r="AS129" s="450">
        <f>'AVT-celny-2x187'!BI18</f>
        <v>0</v>
      </c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203"/>
      <c r="BP129" s="203"/>
      <c r="BQ129" s="203"/>
      <c r="BR129" s="203"/>
      <c r="BS129" s="203"/>
      <c r="BT129" s="203"/>
      <c r="BU129" s="203"/>
      <c r="BV129" s="203"/>
      <c r="BW129" s="62"/>
      <c r="BX129" s="185"/>
      <c r="BY129" s="35"/>
      <c r="BZ129" s="27"/>
      <c r="CA129" s="27"/>
      <c r="CB129" s="27"/>
      <c r="CC129" s="27"/>
      <c r="CD129" s="27"/>
      <c r="CE129" s="27"/>
      <c r="CF129" s="27"/>
    </row>
    <row r="130" spans="1:84" ht="15" customHeight="1">
      <c r="A130" s="4"/>
      <c r="B130" s="439">
        <f>IF($Q$8=$Q$7,CENY!B270,IF($Q$7=$Q$9,CENY!B288,CENY!B306))</f>
        <v>9255058</v>
      </c>
      <c r="C130" s="48" t="str">
        <f>VLOOKUP(B130,CENY!$B$11:$G$1034,2,FALSE)</f>
        <v>AVANTECH YOU BOK V187 MM NL600 MM STŘÍBRNÝ LEVÝ</v>
      </c>
      <c r="D130" s="488">
        <f>VLOOKUP(B130,CENY!$B$11:$G$1034,3,FALSE)</f>
        <v>10</v>
      </c>
      <c r="E130" s="63" t="str">
        <f>IF(VLOOKUP(B130,CENY!$B$11:$G$1034,4,FALSE)=0,"",VLOOKUP(B130,CENY!$B$11:$G$1034,4,FALSE))</f>
        <v/>
      </c>
      <c r="F130" s="45" t="str">
        <f t="shared" si="18"/>
        <v/>
      </c>
      <c r="G130" s="59">
        <f>VLOOKUP(B130,CENY!$B$11:$M$1034,12,FALSE)</f>
        <v>332.75</v>
      </c>
      <c r="H130" s="61" t="str">
        <f t="shared" si="13"/>
        <v xml:space="preserve"> CZK</v>
      </c>
      <c r="I130" s="46" t="str">
        <f t="shared" si="14"/>
        <v/>
      </c>
      <c r="J130" s="138"/>
      <c r="K130" s="47">
        <f>VLOOKUP(B130,CENY!$B$11:$M$1034,8,FALSE)</f>
        <v>0</v>
      </c>
      <c r="L130" s="47" t="str">
        <f>VLOOKUP(B130,CENY!$B$11:$M$1034,9,FALSE)</f>
        <v xml:space="preserve"> </v>
      </c>
      <c r="M130" s="55"/>
      <c r="N130" s="38">
        <f t="shared" si="19"/>
        <v>0</v>
      </c>
      <c r="O130" s="39">
        <v>0</v>
      </c>
      <c r="P130" s="41"/>
      <c r="Q130" s="41"/>
      <c r="R130" s="41"/>
      <c r="S130" s="41"/>
      <c r="T130" s="41"/>
      <c r="U130" s="450">
        <f>'AVT187'!BI19</f>
        <v>0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50">
        <f>'AVT187(vn-A)'!BI19</f>
        <v>0</v>
      </c>
      <c r="AF130" s="41"/>
      <c r="AG130" s="41"/>
      <c r="AH130" s="41"/>
      <c r="AI130" s="450">
        <f>'AVT187(vn-S)'!BI19</f>
        <v>0</v>
      </c>
      <c r="AJ130" s="41"/>
      <c r="AK130" s="41"/>
      <c r="AL130" s="41"/>
      <c r="AM130" s="41"/>
      <c r="AN130" s="41"/>
      <c r="AO130" s="450">
        <f>'AVT-celny-101+187'!BI38</f>
        <v>0</v>
      </c>
      <c r="AP130" s="41"/>
      <c r="AQ130" s="450">
        <f>'AVT-celny-139+187'!BI32</f>
        <v>0</v>
      </c>
      <c r="AR130" s="41"/>
      <c r="AS130" s="450">
        <f>'AVT-celny-2x187'!BI19</f>
        <v>0</v>
      </c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203"/>
      <c r="BP130" s="203"/>
      <c r="BQ130" s="203"/>
      <c r="BR130" s="203"/>
      <c r="BS130" s="203"/>
      <c r="BT130" s="203"/>
      <c r="BU130" s="203"/>
      <c r="BV130" s="203"/>
      <c r="BW130" s="62"/>
      <c r="BX130" s="185"/>
      <c r="BY130" s="35"/>
      <c r="BZ130" s="27"/>
      <c r="CA130" s="27"/>
      <c r="CB130" s="27"/>
      <c r="CC130" s="27"/>
      <c r="CD130" s="27"/>
      <c r="CE130" s="27"/>
      <c r="CF130" s="27"/>
    </row>
    <row r="131" spans="1:84" ht="15" customHeight="1">
      <c r="A131" s="4"/>
      <c r="B131" s="439">
        <f>IF($Q$8=$Q$7,CENY!B271,IF($Q$7=$Q$9,CENY!B289,CENY!B307))</f>
        <v>9255059</v>
      </c>
      <c r="C131" s="48" t="str">
        <f>VLOOKUP(B131,CENY!$B$11:$G$1034,2,FALSE)</f>
        <v>AVANTECH YOU BOK V187 MM NL600 MM STŘÍBRNÝ PRAVÝ</v>
      </c>
      <c r="D131" s="488">
        <f>VLOOKUP(B131,CENY!$B$11:$G$1034,3,FALSE)</f>
        <v>10</v>
      </c>
      <c r="E131" s="63" t="str">
        <f>IF(VLOOKUP(B131,CENY!$B$11:$G$1034,4,FALSE)=0,"",VLOOKUP(B131,CENY!$B$11:$G$1034,4,FALSE))</f>
        <v/>
      </c>
      <c r="F131" s="45" t="str">
        <f t="shared" si="18"/>
        <v/>
      </c>
      <c r="G131" s="59">
        <f>VLOOKUP(B131,CENY!$B$11:$M$1034,12,FALSE)</f>
        <v>332.75</v>
      </c>
      <c r="H131" s="61" t="str">
        <f t="shared" si="13"/>
        <v xml:space="preserve"> CZK</v>
      </c>
      <c r="I131" s="46" t="str">
        <f t="shared" si="14"/>
        <v/>
      </c>
      <c r="J131" s="138"/>
      <c r="K131" s="47">
        <f>VLOOKUP(B131,CENY!$B$11:$M$1034,8,FALSE)</f>
        <v>0</v>
      </c>
      <c r="L131" s="47" t="str">
        <f>VLOOKUP(B131,CENY!$B$11:$M$1034,9,FALSE)</f>
        <v xml:space="preserve"> </v>
      </c>
      <c r="M131" s="55"/>
      <c r="N131" s="38">
        <f t="shared" si="19"/>
        <v>0</v>
      </c>
      <c r="O131" s="39">
        <v>0</v>
      </c>
      <c r="P131" s="41"/>
      <c r="Q131" s="41"/>
      <c r="R131" s="41"/>
      <c r="S131" s="41"/>
      <c r="T131" s="41"/>
      <c r="U131" s="450">
        <f>'AVT187'!BI20</f>
        <v>0</v>
      </c>
      <c r="V131" s="41"/>
      <c r="W131" s="41"/>
      <c r="X131" s="41"/>
      <c r="Y131" s="41"/>
      <c r="Z131" s="41"/>
      <c r="AA131" s="41"/>
      <c r="AB131" s="41"/>
      <c r="AC131" s="41"/>
      <c r="AD131" s="41"/>
      <c r="AE131" s="450">
        <f>'AVT187(vn-A)'!BI20</f>
        <v>0</v>
      </c>
      <c r="AF131" s="41"/>
      <c r="AG131" s="41"/>
      <c r="AH131" s="41"/>
      <c r="AI131" s="450">
        <f>'AVT187(vn-S)'!BI20</f>
        <v>0</v>
      </c>
      <c r="AJ131" s="41"/>
      <c r="AK131" s="41"/>
      <c r="AL131" s="41"/>
      <c r="AM131" s="41"/>
      <c r="AN131" s="41"/>
      <c r="AO131" s="450">
        <f>'AVT-celny-101+187'!BI39</f>
        <v>0</v>
      </c>
      <c r="AP131" s="41"/>
      <c r="AQ131" s="450">
        <f>'AVT-celny-139+187'!BI33</f>
        <v>0</v>
      </c>
      <c r="AR131" s="41"/>
      <c r="AS131" s="450">
        <f>'AVT-celny-2x187'!BI20</f>
        <v>0</v>
      </c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203"/>
      <c r="BP131" s="203"/>
      <c r="BQ131" s="203"/>
      <c r="BR131" s="203"/>
      <c r="BS131" s="203"/>
      <c r="BT131" s="203"/>
      <c r="BU131" s="203"/>
      <c r="BV131" s="203"/>
      <c r="BW131" s="62"/>
      <c r="BX131" s="185"/>
      <c r="BY131" s="35"/>
      <c r="BZ131" s="27"/>
      <c r="CA131" s="27"/>
      <c r="CB131" s="27"/>
      <c r="CC131" s="27"/>
      <c r="CD131" s="27"/>
      <c r="CE131" s="27"/>
      <c r="CF131" s="27"/>
    </row>
    <row r="132" spans="1:84" ht="15" customHeight="1">
      <c r="A132" s="4"/>
      <c r="B132" s="439">
        <f>IF($Q$8=$Q$7,CENY!B272,IF($Q$7=$Q$9,CENY!B290,CENY!B308))</f>
        <v>9255060</v>
      </c>
      <c r="C132" s="48" t="str">
        <f>VLOOKUP(B132,CENY!$B$11:$G$1034,2,FALSE)</f>
        <v>AVANTECH YOU BOK V187 MM NL650 MM STŘÍBRNÝ LEVÝ</v>
      </c>
      <c r="D132" s="488">
        <f>VLOOKUP(B132,CENY!$B$11:$G$1034,3,FALSE)</f>
        <v>10</v>
      </c>
      <c r="E132" s="63" t="str">
        <f>IF(VLOOKUP(B132,CENY!$B$11:$G$1034,4,FALSE)=0,"",VLOOKUP(B132,CENY!$B$11:$G$1034,4,FALSE))</f>
        <v/>
      </c>
      <c r="F132" s="45" t="str">
        <f t="shared" si="18"/>
        <v/>
      </c>
      <c r="G132" s="59">
        <f>VLOOKUP(B132,CENY!$B$11:$M$1034,12,FALSE)</f>
        <v>343.97</v>
      </c>
      <c r="H132" s="61" t="str">
        <f t="shared" si="13"/>
        <v xml:space="preserve"> CZK</v>
      </c>
      <c r="I132" s="46" t="str">
        <f t="shared" si="14"/>
        <v/>
      </c>
      <c r="J132" s="138"/>
      <c r="K132" s="47">
        <f>VLOOKUP(B132,CENY!$B$11:$M$1034,8,FALSE)</f>
        <v>0</v>
      </c>
      <c r="L132" s="47" t="str">
        <f>VLOOKUP(B132,CENY!$B$11:$M$1034,9,FALSE)</f>
        <v xml:space="preserve"> </v>
      </c>
      <c r="M132" s="55"/>
      <c r="N132" s="38">
        <f t="shared" si="19"/>
        <v>0</v>
      </c>
      <c r="O132" s="39">
        <v>0</v>
      </c>
      <c r="P132" s="41"/>
      <c r="Q132" s="41"/>
      <c r="R132" s="41"/>
      <c r="S132" s="41"/>
      <c r="T132" s="41"/>
      <c r="U132" s="450">
        <f>'AVT187'!BI21</f>
        <v>0</v>
      </c>
      <c r="V132" s="41"/>
      <c r="W132" s="41"/>
      <c r="X132" s="41"/>
      <c r="Y132" s="41"/>
      <c r="Z132" s="41"/>
      <c r="AA132" s="41"/>
      <c r="AB132" s="41"/>
      <c r="AC132" s="41"/>
      <c r="AD132" s="41"/>
      <c r="AE132" s="450">
        <f>'AVT187(vn-A)'!BI21</f>
        <v>0</v>
      </c>
      <c r="AF132" s="41"/>
      <c r="AG132" s="41"/>
      <c r="AH132" s="41"/>
      <c r="AI132" s="450">
        <f>'AVT187(vn-S)'!BI21</f>
        <v>0</v>
      </c>
      <c r="AJ132" s="41"/>
      <c r="AK132" s="41"/>
      <c r="AL132" s="41"/>
      <c r="AM132" s="41"/>
      <c r="AN132" s="41"/>
      <c r="AO132" s="450">
        <f>'AVT-celny-101+187'!BI40</f>
        <v>0</v>
      </c>
      <c r="AP132" s="41"/>
      <c r="AQ132" s="41"/>
      <c r="AR132" s="41"/>
      <c r="AS132" s="450">
        <f>'AVT-celny-2x187'!BI21</f>
        <v>0</v>
      </c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203"/>
      <c r="BP132" s="203"/>
      <c r="BQ132" s="203"/>
      <c r="BR132" s="203"/>
      <c r="BS132" s="203"/>
      <c r="BT132" s="203"/>
      <c r="BU132" s="203"/>
      <c r="BV132" s="203"/>
      <c r="BW132" s="62"/>
      <c r="BX132" s="185"/>
      <c r="BY132" s="35"/>
      <c r="BZ132" s="27"/>
      <c r="CA132" s="27"/>
      <c r="CB132" s="27"/>
      <c r="CC132" s="27"/>
      <c r="CD132" s="27"/>
      <c r="CE132" s="27"/>
      <c r="CF132" s="27"/>
    </row>
    <row r="133" spans="1:84" ht="15" customHeight="1">
      <c r="A133" s="4"/>
      <c r="B133" s="439">
        <f>IF($Q$8=$Q$7,CENY!B273,IF($Q$7=$Q$9,CENY!B291,CENY!B309))</f>
        <v>9255061</v>
      </c>
      <c r="C133" s="48" t="str">
        <f>VLOOKUP(B133,CENY!$B$11:$G$1034,2,FALSE)</f>
        <v>AVANTECH YOU BOK V187 MM NL650 MM STŘÍBRNÝ PRAVÝ</v>
      </c>
      <c r="D133" s="488">
        <f>VLOOKUP(B133,CENY!$B$11:$G$1034,3,FALSE)</f>
        <v>10</v>
      </c>
      <c r="E133" s="63" t="str">
        <f>IF(VLOOKUP(B133,CENY!$B$11:$G$1034,4,FALSE)=0,"",VLOOKUP(B133,CENY!$B$11:$G$1034,4,FALSE))</f>
        <v/>
      </c>
      <c r="F133" s="45" t="str">
        <f t="shared" si="18"/>
        <v/>
      </c>
      <c r="G133" s="59">
        <f>VLOOKUP(B133,CENY!$B$11:$M$1034,12,FALSE)</f>
        <v>343.97</v>
      </c>
      <c r="H133" s="61" t="str">
        <f t="shared" si="13"/>
        <v xml:space="preserve"> CZK</v>
      </c>
      <c r="I133" s="46" t="str">
        <f t="shared" si="14"/>
        <v/>
      </c>
      <c r="J133" s="138"/>
      <c r="K133" s="47">
        <f>VLOOKUP(B133,CENY!$B$11:$M$1034,8,FALSE)</f>
        <v>0</v>
      </c>
      <c r="L133" s="47" t="str">
        <f>VLOOKUP(B133,CENY!$B$11:$M$1034,9,FALSE)</f>
        <v xml:space="preserve"> </v>
      </c>
      <c r="M133" s="55"/>
      <c r="N133" s="38">
        <f t="shared" si="19"/>
        <v>0</v>
      </c>
      <c r="O133" s="39">
        <v>0</v>
      </c>
      <c r="P133" s="41"/>
      <c r="Q133" s="41"/>
      <c r="R133" s="41"/>
      <c r="S133" s="41"/>
      <c r="T133" s="41"/>
      <c r="U133" s="450">
        <f>'AVT187'!BI22</f>
        <v>0</v>
      </c>
      <c r="V133" s="41"/>
      <c r="W133" s="41"/>
      <c r="X133" s="41"/>
      <c r="Y133" s="41"/>
      <c r="Z133" s="41"/>
      <c r="AA133" s="41"/>
      <c r="AB133" s="41"/>
      <c r="AC133" s="41"/>
      <c r="AD133" s="41"/>
      <c r="AE133" s="450">
        <f>'AVT187(vn-A)'!BI22</f>
        <v>0</v>
      </c>
      <c r="AF133" s="41"/>
      <c r="AG133" s="41"/>
      <c r="AH133" s="41"/>
      <c r="AI133" s="450">
        <f>'AVT187(vn-S)'!BI22</f>
        <v>0</v>
      </c>
      <c r="AJ133" s="41"/>
      <c r="AK133" s="41"/>
      <c r="AL133" s="41"/>
      <c r="AM133" s="41"/>
      <c r="AN133" s="41"/>
      <c r="AO133" s="450">
        <f>'AVT-celny-101+187'!BI41</f>
        <v>0</v>
      </c>
      <c r="AP133" s="41"/>
      <c r="AQ133" s="41"/>
      <c r="AR133" s="41"/>
      <c r="AS133" s="450">
        <f>'AVT-celny-2x187'!BI22</f>
        <v>0</v>
      </c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203"/>
      <c r="BP133" s="203"/>
      <c r="BQ133" s="203"/>
      <c r="BR133" s="203"/>
      <c r="BS133" s="203"/>
      <c r="BT133" s="203"/>
      <c r="BU133" s="203"/>
      <c r="BV133" s="203"/>
      <c r="BW133" s="62"/>
      <c r="BX133" s="185"/>
      <c r="BY133" s="35"/>
      <c r="BZ133" s="27"/>
      <c r="CA133" s="27"/>
      <c r="CB133" s="27"/>
      <c r="CC133" s="27"/>
      <c r="CD133" s="27"/>
      <c r="CE133" s="27"/>
      <c r="CF133" s="27"/>
    </row>
    <row r="134" spans="1:84" ht="15" customHeight="1">
      <c r="A134" s="4"/>
      <c r="B134" s="439">
        <f>CENY!B310</f>
        <v>9255838</v>
      </c>
      <c r="C134" s="48" t="str">
        <f>VLOOKUP(B134,CENY!$B$11:$G$1034,2,FALSE)</f>
        <v>AVANTECH YOU PŘÍCHYTKA ČELA V187 / 251 MM K NAŠROUBOVÁNÍ</v>
      </c>
      <c r="D134" s="488">
        <f>VLOOKUP(B134,CENY!$B$11:$G$1034,3,FALSE)</f>
        <v>200</v>
      </c>
      <c r="E134" s="63" t="str">
        <f>IF(VLOOKUP(B134,CENY!$B$11:$G$1034,4,FALSE)=0,"",VLOOKUP(B134,CENY!$B$11:$G$1034,4,FALSE))</f>
        <v/>
      </c>
      <c r="F134" s="45" t="str">
        <f>IF(J134&lt;&gt;"",J134,IF(N134=0,"",IF(B134=B135,"",N134)))</f>
        <v/>
      </c>
      <c r="G134" s="59">
        <f>VLOOKUP(B134,CENY!$B$11:$M$1034,12,FALSE)</f>
        <v>53.15</v>
      </c>
      <c r="H134" s="61" t="str">
        <f>IF(G134="","",$H$22)</f>
        <v xml:space="preserve"> CZK</v>
      </c>
      <c r="I134" s="46" t="str">
        <f>IF(F134="","",G134*F134)</f>
        <v/>
      </c>
      <c r="J134" s="138"/>
      <c r="K134" s="47">
        <f>VLOOKUP(B134,CENY!$B$11:$M$1034,8,FALSE)</f>
        <v>0</v>
      </c>
      <c r="L134" s="47" t="str">
        <f>VLOOKUP(B134,CENY!$B$11:$M$1034,9,FALSE)</f>
        <v xml:space="preserve"> </v>
      </c>
      <c r="M134" s="55"/>
      <c r="N134" s="38">
        <f>SUM(P134:BX134)</f>
        <v>0</v>
      </c>
      <c r="O134" s="39">
        <v>0</v>
      </c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50">
        <f>'AVT187(vn-A)'!BI24</f>
        <v>0</v>
      </c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203"/>
      <c r="BP134" s="203"/>
      <c r="BQ134" s="203"/>
      <c r="BR134" s="203"/>
      <c r="BS134" s="203"/>
      <c r="BT134" s="203"/>
      <c r="BU134" s="203"/>
      <c r="BV134" s="203"/>
      <c r="BW134" s="62"/>
      <c r="BX134" s="185"/>
      <c r="BY134" s="35"/>
      <c r="BZ134" s="27"/>
      <c r="CA134" s="27"/>
      <c r="CB134" s="27"/>
      <c r="CC134" s="27"/>
      <c r="CD134" s="27"/>
      <c r="CE134" s="27"/>
      <c r="CF134" s="27"/>
    </row>
    <row r="135" spans="1:84" ht="15" customHeight="1">
      <c r="A135" s="4"/>
      <c r="B135" s="439">
        <f>IF($T$7=$T$8,CENY!B310,CENY!B311)</f>
        <v>9255838</v>
      </c>
      <c r="C135" s="48" t="str">
        <f>VLOOKUP(B135,CENY!$B$11:$G$1034,2,FALSE)</f>
        <v>AVANTECH YOU PŘÍCHYTKA ČELA V187 / 251 MM K NAŠROUBOVÁNÍ</v>
      </c>
      <c r="D135" s="488">
        <f>VLOOKUP(B135,CENY!$B$11:$G$1034,3,FALSE)</f>
        <v>200</v>
      </c>
      <c r="E135" s="63" t="str">
        <f>IF(VLOOKUP(B135,CENY!$B$11:$G$1034,4,FALSE)=0,"",VLOOKUP(B135,CENY!$B$11:$G$1034,4,FALSE))</f>
        <v/>
      </c>
      <c r="F135" s="45" t="str">
        <f>IF(J135&lt;&gt;"",J135,IF(N135=0,"",IF(B134=B135,N135+N134,N135)))</f>
        <v/>
      </c>
      <c r="G135" s="59">
        <f>VLOOKUP(B135,CENY!$B$11:$M$1034,12,FALSE)</f>
        <v>53.15</v>
      </c>
      <c r="H135" s="61" t="str">
        <f t="shared" si="13"/>
        <v xml:space="preserve"> CZK</v>
      </c>
      <c r="I135" s="46" t="str">
        <f t="shared" si="14"/>
        <v/>
      </c>
      <c r="J135" s="138"/>
      <c r="K135" s="47">
        <f>VLOOKUP(B135,CENY!$B$11:$M$1034,8,FALSE)</f>
        <v>0</v>
      </c>
      <c r="L135" s="47" t="str">
        <f>VLOOKUP(B135,CENY!$B$11:$M$1034,9,FALSE)</f>
        <v xml:space="preserve"> </v>
      </c>
      <c r="M135" s="55"/>
      <c r="N135" s="38">
        <f t="shared" si="19"/>
        <v>0</v>
      </c>
      <c r="O135" s="39">
        <v>0</v>
      </c>
      <c r="P135" s="41"/>
      <c r="Q135" s="41"/>
      <c r="R135" s="41"/>
      <c r="S135" s="41"/>
      <c r="T135" s="450">
        <f>'AVT187'!AZ78</f>
        <v>0</v>
      </c>
      <c r="U135" s="450">
        <f>'AVT187'!BI24</f>
        <v>0</v>
      </c>
      <c r="V135" s="450">
        <f>'AVT251'!AZ64</f>
        <v>0</v>
      </c>
      <c r="W135" s="450">
        <f>'AVT251'!BI20</f>
        <v>0</v>
      </c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50">
        <f>'AVT-celny-101+187'!AZ60</f>
        <v>0</v>
      </c>
      <c r="AO135" s="450">
        <f>'AVT-celny-101+187'!BI44</f>
        <v>0</v>
      </c>
      <c r="AP135" s="450">
        <f>'AVT-celny-139+187'!AZ51</f>
        <v>0</v>
      </c>
      <c r="AQ135" s="450">
        <f>'AVT-celny-139+187'!BI36</f>
        <v>0</v>
      </c>
      <c r="AR135" s="450">
        <f>'AVT-celny-2x187'!AZ49</f>
        <v>0</v>
      </c>
      <c r="AS135" s="450">
        <f>'AVT-celny-2x187'!BI24</f>
        <v>0</v>
      </c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203"/>
      <c r="BP135" s="203"/>
      <c r="BQ135" s="203"/>
      <c r="BR135" s="203"/>
      <c r="BS135" s="203"/>
      <c r="BT135" s="203"/>
      <c r="BU135" s="203"/>
      <c r="BV135" s="203"/>
      <c r="BW135" s="62"/>
      <c r="BX135" s="185"/>
      <c r="BY135" s="35"/>
      <c r="BZ135" s="27"/>
      <c r="CA135" s="27"/>
      <c r="CB135" s="27"/>
      <c r="CC135" s="27"/>
      <c r="CD135" s="27"/>
      <c r="CE135" s="27"/>
      <c r="CF135" s="27"/>
    </row>
    <row r="136" spans="1:84" ht="7.5" customHeight="1">
      <c r="A136" s="4"/>
      <c r="B136" s="439"/>
      <c r="C136" s="48"/>
      <c r="D136" s="44"/>
      <c r="E136" s="63"/>
      <c r="F136" s="67"/>
      <c r="G136" s="59"/>
      <c r="H136" s="61"/>
      <c r="I136" s="46"/>
      <c r="J136" s="138"/>
      <c r="K136" s="47"/>
      <c r="L136" s="47"/>
      <c r="M136" s="55"/>
      <c r="N136" s="38"/>
      <c r="O136" s="39">
        <v>0</v>
      </c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203"/>
      <c r="BP136" s="203"/>
      <c r="BQ136" s="203"/>
      <c r="BR136" s="203"/>
      <c r="BS136" s="203"/>
      <c r="BT136" s="203"/>
      <c r="BU136" s="203"/>
      <c r="BV136" s="203"/>
      <c r="BW136" s="62"/>
      <c r="BX136" s="185"/>
      <c r="BY136" s="35"/>
      <c r="BZ136" s="27"/>
      <c r="CA136" s="27"/>
      <c r="CB136" s="27"/>
      <c r="CC136" s="27"/>
      <c r="CD136" s="27"/>
      <c r="CE136" s="27"/>
      <c r="CF136" s="27"/>
    </row>
    <row r="137" spans="1:84" ht="15" customHeight="1">
      <c r="A137" s="4"/>
      <c r="B137" s="439">
        <f>IF($Q$8=$Q$7,CENY!B313,IF($Q$7=$Q$9,CENY!B320,CENY!B327))</f>
        <v>9255273</v>
      </c>
      <c r="C137" s="48" t="str">
        <f>VLOOKUP(B137,CENY!$B$11:$G$1034,2,FALSE)</f>
        <v>AVANTECH YOU BOKY V SADĚ V251 MM NL350 MM STŘÍBRNÁ</v>
      </c>
      <c r="D137" s="501">
        <f>VLOOKUP(B137,CENY!$B$11:$G$1034,3,FALSE)</f>
        <v>1</v>
      </c>
      <c r="E137" s="63" t="str">
        <f>IF(VLOOKUP(B137,CENY!$B$11:$G$1034,4,FALSE)=0,"",VLOOKUP(B137,CENY!$B$11:$G$1034,4,FALSE))</f>
        <v/>
      </c>
      <c r="F137" s="45" t="str">
        <f t="shared" ref="F137:F143" si="20">IF(J137&lt;&gt;"",J137,IF(N137=0,"",N137))</f>
        <v/>
      </c>
      <c r="G137" s="59">
        <f>VLOOKUP(B137,CENY!$B$11:$M$1034,12,FALSE)</f>
        <v>1230.56</v>
      </c>
      <c r="H137" s="61" t="str">
        <f t="shared" si="13"/>
        <v xml:space="preserve"> CZK</v>
      </c>
      <c r="I137" s="46" t="str">
        <f t="shared" si="14"/>
        <v/>
      </c>
      <c r="J137" s="138"/>
      <c r="K137" s="47">
        <f>VLOOKUP(B137,CENY!$B$11:$M$1034,8,FALSE)</f>
        <v>0</v>
      </c>
      <c r="L137" s="47" t="str">
        <f>VLOOKUP(B137,CENY!$B$11:$M$1034,9,FALSE)</f>
        <v xml:space="preserve"> </v>
      </c>
      <c r="M137" s="55"/>
      <c r="N137" s="38">
        <f t="shared" ref="N137:N143" si="21">SUM(P137:BX137)</f>
        <v>0</v>
      </c>
      <c r="O137" s="39">
        <v>0</v>
      </c>
      <c r="P137" s="41"/>
      <c r="Q137" s="41"/>
      <c r="R137" s="41"/>
      <c r="S137" s="41"/>
      <c r="T137" s="41"/>
      <c r="U137" s="41"/>
      <c r="V137" s="450">
        <f>'AVT251'!AZ5</f>
        <v>0</v>
      </c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203"/>
      <c r="BP137" s="203"/>
      <c r="BQ137" s="203"/>
      <c r="BR137" s="203"/>
      <c r="BS137" s="203"/>
      <c r="BT137" s="203"/>
      <c r="BU137" s="203"/>
      <c r="BV137" s="203"/>
      <c r="BW137" s="62"/>
      <c r="BX137" s="185"/>
      <c r="BY137" s="35"/>
      <c r="BZ137" s="27"/>
      <c r="CA137" s="27"/>
      <c r="CB137" s="27"/>
      <c r="CC137" s="27"/>
      <c r="CD137" s="27"/>
      <c r="CE137" s="27"/>
      <c r="CF137" s="27"/>
    </row>
    <row r="138" spans="1:84" ht="15" customHeight="1">
      <c r="A138" s="4"/>
      <c r="B138" s="439">
        <f>IF($Q$8=$Q$7,CENY!B314,IF($Q$7=$Q$9,CENY!B321,CENY!B328))</f>
        <v>9255274</v>
      </c>
      <c r="C138" s="48" t="str">
        <f>VLOOKUP(B138,CENY!$B$11:$G$1034,2,FALSE)</f>
        <v>AVANTECH YOU BOKY V SADĚ V251 MM NL400 MM STŘÍBRNÁ</v>
      </c>
      <c r="D138" s="501">
        <f>VLOOKUP(B138,CENY!$B$11:$G$1034,3,FALSE)</f>
        <v>1</v>
      </c>
      <c r="E138" s="63" t="str">
        <f>IF(VLOOKUP(B138,CENY!$B$11:$G$1034,4,FALSE)=0,"",VLOOKUP(B138,CENY!$B$11:$G$1034,4,FALSE))</f>
        <v/>
      </c>
      <c r="F138" s="45" t="str">
        <f t="shared" si="20"/>
        <v/>
      </c>
      <c r="G138" s="59">
        <f>VLOOKUP(B138,CENY!$B$11:$M$1034,12,FALSE)</f>
        <v>1248.1199999999999</v>
      </c>
      <c r="H138" s="61" t="str">
        <f t="shared" si="13"/>
        <v xml:space="preserve"> CZK</v>
      </c>
      <c r="I138" s="46" t="str">
        <f t="shared" si="14"/>
        <v/>
      </c>
      <c r="J138" s="138"/>
      <c r="K138" s="47">
        <f>VLOOKUP(B138,CENY!$B$11:$M$1034,8,FALSE)</f>
        <v>0</v>
      </c>
      <c r="L138" s="47" t="str">
        <f>VLOOKUP(B138,CENY!$B$11:$M$1034,9,FALSE)</f>
        <v xml:space="preserve"> </v>
      </c>
      <c r="M138" s="55"/>
      <c r="N138" s="38">
        <f t="shared" si="21"/>
        <v>0</v>
      </c>
      <c r="O138" s="39">
        <v>0</v>
      </c>
      <c r="P138" s="41"/>
      <c r="Q138" s="41"/>
      <c r="R138" s="41"/>
      <c r="S138" s="41"/>
      <c r="T138" s="41"/>
      <c r="U138" s="41"/>
      <c r="V138" s="450">
        <f>'AVT251'!AZ6</f>
        <v>0</v>
      </c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203"/>
      <c r="BP138" s="203"/>
      <c r="BQ138" s="203"/>
      <c r="BR138" s="203"/>
      <c r="BS138" s="203"/>
      <c r="BT138" s="203"/>
      <c r="BU138" s="203"/>
      <c r="BV138" s="203"/>
      <c r="BW138" s="62"/>
      <c r="BX138" s="185"/>
      <c r="BY138" s="35"/>
      <c r="BZ138" s="27"/>
      <c r="CA138" s="27"/>
      <c r="CB138" s="27"/>
      <c r="CC138" s="27"/>
      <c r="CD138" s="27"/>
      <c r="CE138" s="27"/>
      <c r="CF138" s="27"/>
    </row>
    <row r="139" spans="1:84" ht="15" customHeight="1">
      <c r="A139" s="4"/>
      <c r="B139" s="439">
        <f>IF($Q$8=$Q$7,CENY!B315,IF($Q$7=$Q$9,CENY!B322,CENY!B329))</f>
        <v>9255275</v>
      </c>
      <c r="C139" s="48" t="str">
        <f>VLOOKUP(B139,CENY!$B$11:$G$1034,2,FALSE)</f>
        <v>AVANTECH YOU BOKY V SADĚ V251 MM NL450 MM STŘÍBRNÁ</v>
      </c>
      <c r="D139" s="501">
        <f>VLOOKUP(B139,CENY!$B$11:$G$1034,3,FALSE)</f>
        <v>1</v>
      </c>
      <c r="E139" s="63" t="str">
        <f>IF(VLOOKUP(B139,CENY!$B$11:$G$1034,4,FALSE)=0,"",VLOOKUP(B139,CENY!$B$11:$G$1034,4,FALSE))</f>
        <v/>
      </c>
      <c r="F139" s="45" t="str">
        <f t="shared" si="20"/>
        <v/>
      </c>
      <c r="G139" s="59">
        <f>VLOOKUP(B139,CENY!$B$11:$M$1034,12,FALSE)</f>
        <v>1265.68</v>
      </c>
      <c r="H139" s="61" t="str">
        <f t="shared" si="13"/>
        <v xml:space="preserve"> CZK</v>
      </c>
      <c r="I139" s="46" t="str">
        <f t="shared" si="14"/>
        <v/>
      </c>
      <c r="J139" s="138"/>
      <c r="K139" s="47">
        <f>VLOOKUP(B139,CENY!$B$11:$M$1034,8,FALSE)</f>
        <v>0</v>
      </c>
      <c r="L139" s="47" t="str">
        <f>VLOOKUP(B139,CENY!$B$11:$M$1034,9,FALSE)</f>
        <v xml:space="preserve"> </v>
      </c>
      <c r="M139" s="55"/>
      <c r="N139" s="38">
        <f t="shared" si="21"/>
        <v>0</v>
      </c>
      <c r="O139" s="39">
        <v>0</v>
      </c>
      <c r="P139" s="41"/>
      <c r="Q139" s="41"/>
      <c r="R139" s="41"/>
      <c r="S139" s="41"/>
      <c r="T139" s="41"/>
      <c r="U139" s="41"/>
      <c r="V139" s="450">
        <f>'AVT251'!AZ7</f>
        <v>0</v>
      </c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203"/>
      <c r="BP139" s="203"/>
      <c r="BQ139" s="203"/>
      <c r="BR139" s="203"/>
      <c r="BS139" s="203"/>
      <c r="BT139" s="203"/>
      <c r="BU139" s="203"/>
      <c r="BV139" s="203"/>
      <c r="BW139" s="62"/>
      <c r="BX139" s="185"/>
      <c r="BY139" s="35"/>
      <c r="BZ139" s="27"/>
      <c r="CA139" s="27"/>
      <c r="CB139" s="27"/>
      <c r="CC139" s="27"/>
      <c r="CD139" s="27"/>
      <c r="CE139" s="27"/>
      <c r="CF139" s="27"/>
    </row>
    <row r="140" spans="1:84" ht="15" customHeight="1">
      <c r="A140" s="4"/>
      <c r="B140" s="439">
        <f>IF($Q$8=$Q$7,CENY!B316,IF($Q$7=$Q$9,CENY!B323,CENY!B330))</f>
        <v>9255276</v>
      </c>
      <c r="C140" s="48" t="str">
        <f>VLOOKUP(B140,CENY!$B$11:$G$1034,2,FALSE)</f>
        <v>AVANTECH YOU BOKY V SADĚ V251 MM NL500 MM STŘÍBRNÁ</v>
      </c>
      <c r="D140" s="501">
        <f>VLOOKUP(B140,CENY!$B$11:$G$1034,3,FALSE)</f>
        <v>1</v>
      </c>
      <c r="E140" s="63" t="str">
        <f>IF(VLOOKUP(B140,CENY!$B$11:$G$1034,4,FALSE)=0,"",VLOOKUP(B140,CENY!$B$11:$G$1034,4,FALSE))</f>
        <v/>
      </c>
      <c r="F140" s="45" t="str">
        <f t="shared" si="20"/>
        <v/>
      </c>
      <c r="G140" s="59">
        <f>VLOOKUP(B140,CENY!$B$11:$M$1034,12,FALSE)</f>
        <v>1283.24</v>
      </c>
      <c r="H140" s="61" t="str">
        <f t="shared" si="13"/>
        <v xml:space="preserve"> CZK</v>
      </c>
      <c r="I140" s="46" t="str">
        <f t="shared" si="14"/>
        <v/>
      </c>
      <c r="J140" s="138"/>
      <c r="K140" s="47">
        <f>VLOOKUP(B140,CENY!$B$11:$M$1034,8,FALSE)</f>
        <v>0</v>
      </c>
      <c r="L140" s="47" t="str">
        <f>VLOOKUP(B140,CENY!$B$11:$M$1034,9,FALSE)</f>
        <v xml:space="preserve"> </v>
      </c>
      <c r="M140" s="55"/>
      <c r="N140" s="38">
        <f t="shared" si="21"/>
        <v>0</v>
      </c>
      <c r="O140" s="39">
        <v>0</v>
      </c>
      <c r="P140" s="41"/>
      <c r="Q140" s="41"/>
      <c r="R140" s="41"/>
      <c r="S140" s="41"/>
      <c r="T140" s="41"/>
      <c r="U140" s="41"/>
      <c r="V140" s="450">
        <f>'AVT251'!AZ8</f>
        <v>0</v>
      </c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203"/>
      <c r="BP140" s="203"/>
      <c r="BQ140" s="203"/>
      <c r="BR140" s="203"/>
      <c r="BS140" s="203"/>
      <c r="BT140" s="203"/>
      <c r="BU140" s="203"/>
      <c r="BV140" s="203"/>
      <c r="BW140" s="62"/>
      <c r="BX140" s="185"/>
      <c r="BY140" s="35"/>
      <c r="BZ140" s="27"/>
      <c r="CA140" s="27"/>
      <c r="CB140" s="27"/>
      <c r="CC140" s="27"/>
      <c r="CD140" s="27"/>
      <c r="CE140" s="27"/>
      <c r="CF140" s="27"/>
    </row>
    <row r="141" spans="1:84" ht="15" customHeight="1">
      <c r="A141" s="4"/>
      <c r="B141" s="439">
        <f>IF($Q$8=$Q$7,CENY!B317,IF($Q$7=$Q$9,CENY!B324,CENY!B331))</f>
        <v>9255277</v>
      </c>
      <c r="C141" s="48" t="str">
        <f>VLOOKUP(B141,CENY!$B$11:$G$1034,2,FALSE)</f>
        <v>AVANTECH YOU BOKY V SADĚ V251 MM NL550 MM STŘÍBRNÁ</v>
      </c>
      <c r="D141" s="501">
        <f>VLOOKUP(B141,CENY!$B$11:$G$1034,3,FALSE)</f>
        <v>1</v>
      </c>
      <c r="E141" s="63" t="str">
        <f>IF(VLOOKUP(B141,CENY!$B$11:$G$1034,4,FALSE)=0,"",VLOOKUP(B141,CENY!$B$11:$G$1034,4,FALSE))</f>
        <v/>
      </c>
      <c r="F141" s="45" t="str">
        <f t="shared" si="20"/>
        <v/>
      </c>
      <c r="G141" s="59">
        <f>VLOOKUP(B141,CENY!$B$11:$M$1034,12,FALSE)</f>
        <v>1300.81</v>
      </c>
      <c r="H141" s="61" t="str">
        <f t="shared" si="13"/>
        <v xml:space="preserve"> CZK</v>
      </c>
      <c r="I141" s="46" t="str">
        <f t="shared" si="14"/>
        <v/>
      </c>
      <c r="J141" s="138"/>
      <c r="K141" s="47">
        <f>VLOOKUP(B141,CENY!$B$11:$M$1034,8,FALSE)</f>
        <v>0</v>
      </c>
      <c r="L141" s="47" t="str">
        <f>VLOOKUP(B141,CENY!$B$11:$M$1034,9,FALSE)</f>
        <v xml:space="preserve"> </v>
      </c>
      <c r="M141" s="55"/>
      <c r="N141" s="38">
        <f t="shared" si="21"/>
        <v>0</v>
      </c>
      <c r="O141" s="39">
        <v>0</v>
      </c>
      <c r="P141" s="41"/>
      <c r="Q141" s="41"/>
      <c r="R141" s="41"/>
      <c r="S141" s="41"/>
      <c r="T141" s="41"/>
      <c r="U141" s="41"/>
      <c r="V141" s="450">
        <f>'AVT251'!AZ9</f>
        <v>0</v>
      </c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203"/>
      <c r="BP141" s="203"/>
      <c r="BQ141" s="203"/>
      <c r="BR141" s="203"/>
      <c r="BS141" s="203"/>
      <c r="BT141" s="203"/>
      <c r="BU141" s="203"/>
      <c r="BV141" s="203"/>
      <c r="BW141" s="62"/>
      <c r="BX141" s="185"/>
      <c r="BY141" s="35"/>
      <c r="BZ141" s="27"/>
      <c r="CA141" s="27"/>
      <c r="CB141" s="27"/>
      <c r="CC141" s="27"/>
      <c r="CD141" s="27"/>
      <c r="CE141" s="27"/>
      <c r="CF141" s="27"/>
    </row>
    <row r="142" spans="1:84" ht="15" customHeight="1">
      <c r="A142" s="4"/>
      <c r="B142" s="439">
        <f>IF($Q$8=$Q$7,CENY!B318,IF($Q$7=$Q$9,CENY!B325,CENY!B332))</f>
        <v>9255278</v>
      </c>
      <c r="C142" s="48" t="str">
        <f>VLOOKUP(B142,CENY!$B$11:$G$1034,2,FALSE)</f>
        <v>AVANTECH YOU BOKY V SADĚ V251 MM NL600 MM STŘÍBRNÁ</v>
      </c>
      <c r="D142" s="501">
        <f>VLOOKUP(B142,CENY!$B$11:$G$1034,3,FALSE)</f>
        <v>1</v>
      </c>
      <c r="E142" s="63" t="str">
        <f>IF(VLOOKUP(B142,CENY!$B$11:$G$1034,4,FALSE)=0,"",VLOOKUP(B142,CENY!$B$11:$G$1034,4,FALSE))</f>
        <v/>
      </c>
      <c r="F142" s="45" t="str">
        <f t="shared" si="20"/>
        <v/>
      </c>
      <c r="G142" s="59">
        <f>VLOOKUP(B142,CENY!$B$11:$M$1034,12,FALSE)</f>
        <v>1327.3</v>
      </c>
      <c r="H142" s="61" t="str">
        <f t="shared" si="13"/>
        <v xml:space="preserve"> CZK</v>
      </c>
      <c r="I142" s="46" t="str">
        <f t="shared" si="14"/>
        <v/>
      </c>
      <c r="J142" s="138"/>
      <c r="K142" s="47">
        <f>VLOOKUP(B142,CENY!$B$11:$M$1034,8,FALSE)</f>
        <v>0</v>
      </c>
      <c r="L142" s="47" t="str">
        <f>VLOOKUP(B142,CENY!$B$11:$M$1034,9,FALSE)</f>
        <v xml:space="preserve"> </v>
      </c>
      <c r="M142" s="55"/>
      <c r="N142" s="38">
        <f t="shared" si="21"/>
        <v>0</v>
      </c>
      <c r="O142" s="39">
        <v>0</v>
      </c>
      <c r="P142" s="41"/>
      <c r="Q142" s="41"/>
      <c r="R142" s="41"/>
      <c r="S142" s="41"/>
      <c r="T142" s="41"/>
      <c r="U142" s="41"/>
      <c r="V142" s="450">
        <f>'AVT251'!AZ10</f>
        <v>0</v>
      </c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203"/>
      <c r="BP142" s="203"/>
      <c r="BQ142" s="203"/>
      <c r="BR142" s="203"/>
      <c r="BS142" s="203"/>
      <c r="BT142" s="203"/>
      <c r="BU142" s="203"/>
      <c r="BV142" s="203"/>
      <c r="BW142" s="62"/>
      <c r="BX142" s="185"/>
      <c r="BY142" s="35"/>
      <c r="BZ142" s="27"/>
      <c r="CA142" s="27"/>
      <c r="CB142" s="27"/>
      <c r="CC142" s="27"/>
      <c r="CD142" s="27"/>
      <c r="CE142" s="27"/>
      <c r="CF142" s="27"/>
    </row>
    <row r="143" spans="1:84" ht="15" customHeight="1">
      <c r="A143" s="4"/>
      <c r="B143" s="439">
        <f>IF($Q$8=$Q$7,CENY!B319,IF($Q$7=$Q$9,CENY!B326,CENY!B333))</f>
        <v>9255279</v>
      </c>
      <c r="C143" s="48" t="str">
        <f>VLOOKUP(B143,CENY!$B$11:$G$1034,2,FALSE)</f>
        <v>AVANTECH YOU BOKY V SADĚ V251 MM NL650 MM STŘÍBRNÁ</v>
      </c>
      <c r="D143" s="501">
        <f>VLOOKUP(B143,CENY!$B$11:$G$1034,3,FALSE)</f>
        <v>1</v>
      </c>
      <c r="E143" s="63" t="str">
        <f>IF(VLOOKUP(B143,CENY!$B$11:$G$1034,4,FALSE)=0,"",VLOOKUP(B143,CENY!$B$11:$G$1034,4,FALSE))</f>
        <v/>
      </c>
      <c r="F143" s="45" t="str">
        <f t="shared" si="20"/>
        <v/>
      </c>
      <c r="G143" s="59">
        <f>VLOOKUP(B143,CENY!$B$11:$M$1034,12,FALSE)</f>
        <v>1363.32</v>
      </c>
      <c r="H143" s="61" t="str">
        <f t="shared" si="13"/>
        <v xml:space="preserve"> CZK</v>
      </c>
      <c r="I143" s="46" t="str">
        <f t="shared" si="14"/>
        <v/>
      </c>
      <c r="J143" s="138"/>
      <c r="K143" s="47">
        <f>VLOOKUP(B143,CENY!$B$11:$M$1034,8,FALSE)</f>
        <v>0</v>
      </c>
      <c r="L143" s="47" t="str">
        <f>VLOOKUP(B143,CENY!$B$11:$M$1034,9,FALSE)</f>
        <v xml:space="preserve"> </v>
      </c>
      <c r="M143" s="55"/>
      <c r="N143" s="38">
        <f t="shared" si="21"/>
        <v>0</v>
      </c>
      <c r="O143" s="39">
        <v>0</v>
      </c>
      <c r="P143" s="41"/>
      <c r="Q143" s="41"/>
      <c r="R143" s="41"/>
      <c r="S143" s="41"/>
      <c r="T143" s="41"/>
      <c r="U143" s="41"/>
      <c r="V143" s="450">
        <f>'AVT251'!AZ11</f>
        <v>0</v>
      </c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203"/>
      <c r="BP143" s="203"/>
      <c r="BQ143" s="203"/>
      <c r="BR143" s="203"/>
      <c r="BS143" s="203"/>
      <c r="BT143" s="203"/>
      <c r="BU143" s="203"/>
      <c r="BV143" s="203"/>
      <c r="BW143" s="62"/>
      <c r="BX143" s="185"/>
      <c r="BY143" s="35"/>
      <c r="BZ143" s="27"/>
      <c r="CA143" s="27"/>
      <c r="CB143" s="27"/>
      <c r="CC143" s="27"/>
      <c r="CD143" s="27"/>
      <c r="CE143" s="27"/>
      <c r="CF143" s="27"/>
    </row>
    <row r="144" spans="1:84" ht="8.1" customHeight="1">
      <c r="A144" s="4"/>
      <c r="B144" s="439"/>
      <c r="C144" s="48"/>
      <c r="D144" s="44"/>
      <c r="E144" s="63"/>
      <c r="F144" s="45"/>
      <c r="G144" s="59"/>
      <c r="H144" s="61"/>
      <c r="I144" s="46"/>
      <c r="J144" s="138"/>
      <c r="K144" s="47"/>
      <c r="L144" s="47"/>
      <c r="M144" s="55"/>
      <c r="N144" s="38"/>
      <c r="O144" s="39">
        <v>0</v>
      </c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203"/>
      <c r="BP144" s="203"/>
      <c r="BQ144" s="203"/>
      <c r="BR144" s="203"/>
      <c r="BS144" s="203"/>
      <c r="BT144" s="203"/>
      <c r="BU144" s="203"/>
      <c r="BV144" s="203"/>
      <c r="BW144" s="62"/>
      <c r="BX144" s="185"/>
      <c r="BY144" s="35"/>
      <c r="BZ144" s="27"/>
      <c r="CA144" s="27"/>
      <c r="CB144" s="27"/>
      <c r="CC144" s="27"/>
      <c r="CD144" s="27"/>
      <c r="CE144" s="27"/>
      <c r="CF144" s="27"/>
    </row>
    <row r="145" spans="1:84" ht="15" customHeight="1">
      <c r="A145" s="4"/>
      <c r="B145" s="439">
        <f>IF($Q$8=$Q$7,CENY!B334,IF($Q$7=$Q$9,CENY!B348,CENY!B362))</f>
        <v>9255066</v>
      </c>
      <c r="C145" s="48" t="str">
        <f>VLOOKUP(B145,CENY!$B$11:$G$1034,2,FALSE)</f>
        <v>AVANTECH YOU BOK V251 MM NL350 MM STŘÍBRNÝ LEVÝ</v>
      </c>
      <c r="D145" s="488">
        <f>VLOOKUP(B145,CENY!$B$11:$G$1034,3,FALSE)</f>
        <v>10</v>
      </c>
      <c r="E145" s="63" t="str">
        <f>IF(VLOOKUP(B145,CENY!$B$11:$G$1034,4,FALSE)=0,"",VLOOKUP(B145,CENY!$B$11:$G$1034,4,FALSE))</f>
        <v/>
      </c>
      <c r="F145" s="45" t="str">
        <f t="shared" ref="F145:F159" si="22">IF(J145&lt;&gt;"",J145,IF(N145=0,"",N145))</f>
        <v/>
      </c>
      <c r="G145" s="59">
        <f>VLOOKUP(B145,CENY!$B$11:$M$1034,12,FALSE)</f>
        <v>476.42</v>
      </c>
      <c r="H145" s="61" t="str">
        <f t="shared" si="13"/>
        <v xml:space="preserve"> CZK</v>
      </c>
      <c r="I145" s="46" t="str">
        <f t="shared" si="14"/>
        <v/>
      </c>
      <c r="J145" s="138"/>
      <c r="K145" s="47">
        <f>VLOOKUP(B145,CENY!$B$11:$M$1034,8,FALSE)</f>
        <v>0</v>
      </c>
      <c r="L145" s="47" t="str">
        <f>VLOOKUP(B145,CENY!$B$11:$M$1034,9,FALSE)</f>
        <v xml:space="preserve"> </v>
      </c>
      <c r="M145" s="55"/>
      <c r="N145" s="38">
        <f t="shared" ref="N145:N159" si="23">SUM(P145:BX145)</f>
        <v>0</v>
      </c>
      <c r="O145" s="39">
        <v>0</v>
      </c>
      <c r="P145" s="41"/>
      <c r="Q145" s="41"/>
      <c r="R145" s="41"/>
      <c r="S145" s="41"/>
      <c r="T145" s="41"/>
      <c r="U145" s="41"/>
      <c r="V145" s="41"/>
      <c r="W145" s="450">
        <f>'AVT251'!BI5</f>
        <v>0</v>
      </c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203"/>
      <c r="BP145" s="203"/>
      <c r="BQ145" s="203"/>
      <c r="BR145" s="203"/>
      <c r="BS145" s="203"/>
      <c r="BT145" s="203"/>
      <c r="BU145" s="203"/>
      <c r="BV145" s="203"/>
      <c r="BW145" s="62"/>
      <c r="BX145" s="185"/>
      <c r="BY145" s="35"/>
      <c r="BZ145" s="27"/>
      <c r="CA145" s="27"/>
      <c r="CB145" s="27"/>
      <c r="CC145" s="27"/>
      <c r="CD145" s="27"/>
      <c r="CE145" s="27"/>
      <c r="CF145" s="27"/>
    </row>
    <row r="146" spans="1:84" ht="15" customHeight="1">
      <c r="A146" s="4"/>
      <c r="B146" s="439">
        <f>IF($Q$8=$Q$7,CENY!B335,IF($Q$7=$Q$9,CENY!B349,CENY!B363))</f>
        <v>9255067</v>
      </c>
      <c r="C146" s="48" t="str">
        <f>VLOOKUP(B146,CENY!$B$11:$G$1034,2,FALSE)</f>
        <v>AVANTECH YOU BOK V251 MM NL350 MM STŘÍBRNÝ PRAVÝ</v>
      </c>
      <c r="D146" s="488">
        <f>VLOOKUP(B146,CENY!$B$11:$G$1034,3,FALSE)</f>
        <v>10</v>
      </c>
      <c r="E146" s="63" t="str">
        <f>IF(VLOOKUP(B146,CENY!$B$11:$G$1034,4,FALSE)=0,"",VLOOKUP(B146,CENY!$B$11:$G$1034,4,FALSE))</f>
        <v/>
      </c>
      <c r="F146" s="45" t="str">
        <f t="shared" si="22"/>
        <v/>
      </c>
      <c r="G146" s="59">
        <f>VLOOKUP(B146,CENY!$B$11:$M$1034,12,FALSE)</f>
        <v>476.42</v>
      </c>
      <c r="H146" s="61" t="str">
        <f t="shared" si="13"/>
        <v xml:space="preserve"> CZK</v>
      </c>
      <c r="I146" s="46" t="str">
        <f t="shared" si="14"/>
        <v/>
      </c>
      <c r="J146" s="138"/>
      <c r="K146" s="47">
        <f>VLOOKUP(B146,CENY!$B$11:$M$1034,8,FALSE)</f>
        <v>0</v>
      </c>
      <c r="L146" s="47" t="str">
        <f>VLOOKUP(B146,CENY!$B$11:$M$1034,9,FALSE)</f>
        <v xml:space="preserve"> </v>
      </c>
      <c r="M146" s="55"/>
      <c r="N146" s="38">
        <f t="shared" si="23"/>
        <v>0</v>
      </c>
      <c r="O146" s="39">
        <v>0</v>
      </c>
      <c r="P146" s="41"/>
      <c r="Q146" s="41"/>
      <c r="R146" s="41"/>
      <c r="S146" s="41"/>
      <c r="T146" s="41"/>
      <c r="U146" s="41"/>
      <c r="V146" s="41"/>
      <c r="W146" s="450">
        <f>'AVT251'!BI6</f>
        <v>0</v>
      </c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203"/>
      <c r="BP146" s="203"/>
      <c r="BQ146" s="203"/>
      <c r="BR146" s="203"/>
      <c r="BS146" s="203"/>
      <c r="BT146" s="203"/>
      <c r="BU146" s="203"/>
      <c r="BV146" s="203"/>
      <c r="BW146" s="62"/>
      <c r="BX146" s="185"/>
      <c r="BY146" s="35"/>
      <c r="BZ146" s="27"/>
      <c r="CA146" s="27"/>
      <c r="CB146" s="27"/>
      <c r="CC146" s="27"/>
      <c r="CD146" s="27"/>
      <c r="CE146" s="27"/>
      <c r="CF146" s="27"/>
    </row>
    <row r="147" spans="1:84" ht="15" customHeight="1">
      <c r="A147" s="4"/>
      <c r="B147" s="439">
        <f>IF($Q$8=$Q$7,CENY!B336,IF($Q$7=$Q$9,CENY!B350,CENY!B364))</f>
        <v>9255068</v>
      </c>
      <c r="C147" s="48" t="str">
        <f>VLOOKUP(B147,CENY!$B$11:$G$1034,2,FALSE)</f>
        <v>AVANTECH YOU BOK V251 MM NL400 MM STŘÍBRNÝ LEVÝ</v>
      </c>
      <c r="D147" s="488">
        <f>VLOOKUP(B147,CENY!$B$11:$G$1034,3,FALSE)</f>
        <v>10</v>
      </c>
      <c r="E147" s="63" t="str">
        <f>IF(VLOOKUP(B147,CENY!$B$11:$G$1034,4,FALSE)=0,"",VLOOKUP(B147,CENY!$B$11:$G$1034,4,FALSE))</f>
        <v/>
      </c>
      <c r="F147" s="45" t="str">
        <f t="shared" si="22"/>
        <v/>
      </c>
      <c r="G147" s="59">
        <f>VLOOKUP(B147,CENY!$B$11:$M$1034,12,FALSE)</f>
        <v>485.03</v>
      </c>
      <c r="H147" s="61" t="str">
        <f t="shared" si="13"/>
        <v xml:space="preserve"> CZK</v>
      </c>
      <c r="I147" s="46" t="str">
        <f t="shared" si="14"/>
        <v/>
      </c>
      <c r="J147" s="138"/>
      <c r="K147" s="47">
        <f>VLOOKUP(B147,CENY!$B$11:$M$1034,8,FALSE)</f>
        <v>0</v>
      </c>
      <c r="L147" s="47" t="str">
        <f>VLOOKUP(B147,CENY!$B$11:$M$1034,9,FALSE)</f>
        <v xml:space="preserve"> </v>
      </c>
      <c r="M147" s="55"/>
      <c r="N147" s="38">
        <f t="shared" si="23"/>
        <v>0</v>
      </c>
      <c r="O147" s="39">
        <v>0</v>
      </c>
      <c r="P147" s="41"/>
      <c r="Q147" s="41"/>
      <c r="R147" s="41"/>
      <c r="S147" s="41"/>
      <c r="T147" s="41"/>
      <c r="U147" s="41"/>
      <c r="V147" s="41"/>
      <c r="W147" s="450">
        <f>'AVT251'!BI7</f>
        <v>0</v>
      </c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203"/>
      <c r="BP147" s="203"/>
      <c r="BQ147" s="203"/>
      <c r="BR147" s="203"/>
      <c r="BS147" s="203"/>
      <c r="BT147" s="203"/>
      <c r="BU147" s="203"/>
      <c r="BV147" s="203"/>
      <c r="BW147" s="62"/>
      <c r="BX147" s="185"/>
      <c r="BY147" s="35"/>
      <c r="BZ147" s="27"/>
      <c r="CA147" s="27"/>
      <c r="CB147" s="27"/>
      <c r="CC147" s="27"/>
      <c r="CD147" s="27"/>
      <c r="CE147" s="27"/>
      <c r="CF147" s="27"/>
    </row>
    <row r="148" spans="1:84" ht="15" customHeight="1">
      <c r="A148" s="4"/>
      <c r="B148" s="439">
        <f>IF($Q$8=$Q$7,CENY!B337,IF($Q$7=$Q$9,CENY!B351,CENY!B365))</f>
        <v>9255069</v>
      </c>
      <c r="C148" s="48" t="str">
        <f>VLOOKUP(B148,CENY!$B$11:$G$1034,2,FALSE)</f>
        <v>AVANTECH YOU BOK V251 MM NL400 MM STŘÍBRNÝ PRAVÝ</v>
      </c>
      <c r="D148" s="488">
        <f>VLOOKUP(B148,CENY!$B$11:$G$1034,3,FALSE)</f>
        <v>10</v>
      </c>
      <c r="E148" s="63" t="str">
        <f>IF(VLOOKUP(B148,CENY!$B$11:$G$1034,4,FALSE)=0,"",VLOOKUP(B148,CENY!$B$11:$G$1034,4,FALSE))</f>
        <v/>
      </c>
      <c r="F148" s="45" t="str">
        <f t="shared" si="22"/>
        <v/>
      </c>
      <c r="G148" s="59">
        <f>VLOOKUP(B148,CENY!$B$11:$M$1034,12,FALSE)</f>
        <v>485.03</v>
      </c>
      <c r="H148" s="61" t="str">
        <f t="shared" si="13"/>
        <v xml:space="preserve"> CZK</v>
      </c>
      <c r="I148" s="46" t="str">
        <f t="shared" si="14"/>
        <v/>
      </c>
      <c r="J148" s="138"/>
      <c r="K148" s="47">
        <f>VLOOKUP(B148,CENY!$B$11:$M$1034,8,FALSE)</f>
        <v>0</v>
      </c>
      <c r="L148" s="47" t="str">
        <f>VLOOKUP(B148,CENY!$B$11:$M$1034,9,FALSE)</f>
        <v xml:space="preserve"> </v>
      </c>
      <c r="M148" s="55"/>
      <c r="N148" s="38">
        <f t="shared" si="23"/>
        <v>0</v>
      </c>
      <c r="O148" s="39">
        <v>0</v>
      </c>
      <c r="P148" s="41"/>
      <c r="Q148" s="41"/>
      <c r="R148" s="41"/>
      <c r="S148" s="41"/>
      <c r="T148" s="41"/>
      <c r="U148" s="41"/>
      <c r="V148" s="41"/>
      <c r="W148" s="450">
        <f>'AVT251'!BI8</f>
        <v>0</v>
      </c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203"/>
      <c r="BP148" s="203"/>
      <c r="BQ148" s="203"/>
      <c r="BR148" s="203"/>
      <c r="BS148" s="203"/>
      <c r="BT148" s="203"/>
      <c r="BU148" s="203"/>
      <c r="BV148" s="203"/>
      <c r="BW148" s="62"/>
      <c r="BX148" s="185"/>
      <c r="BY148" s="35"/>
      <c r="BZ148" s="27"/>
      <c r="CA148" s="27"/>
      <c r="CB148" s="27"/>
      <c r="CC148" s="27"/>
      <c r="CD148" s="27"/>
      <c r="CE148" s="27"/>
      <c r="CF148" s="27"/>
    </row>
    <row r="149" spans="1:84" ht="15" customHeight="1">
      <c r="A149" s="4"/>
      <c r="B149" s="439">
        <f>IF($Q$8=$Q$7,CENY!B338,IF($Q$7=$Q$9,CENY!B352,CENY!B366))</f>
        <v>9255070</v>
      </c>
      <c r="C149" s="48" t="str">
        <f>VLOOKUP(B149,CENY!$B$11:$G$1034,2,FALSE)</f>
        <v>AVANTECH YOU BOK V251 MM NL450 MM STŘÍBRNÝ LEVÝ</v>
      </c>
      <c r="D149" s="488">
        <f>VLOOKUP(B149,CENY!$B$11:$G$1034,3,FALSE)</f>
        <v>10</v>
      </c>
      <c r="E149" s="63" t="str">
        <f>IF(VLOOKUP(B149,CENY!$B$11:$G$1034,4,FALSE)=0,"",VLOOKUP(B149,CENY!$B$11:$G$1034,4,FALSE))</f>
        <v/>
      </c>
      <c r="F149" s="45" t="str">
        <f t="shared" si="22"/>
        <v/>
      </c>
      <c r="G149" s="59">
        <f>VLOOKUP(B149,CENY!$B$11:$M$1034,12,FALSE)</f>
        <v>493.64</v>
      </c>
      <c r="H149" s="61" t="str">
        <f t="shared" si="13"/>
        <v xml:space="preserve"> CZK</v>
      </c>
      <c r="I149" s="46" t="str">
        <f t="shared" si="14"/>
        <v/>
      </c>
      <c r="J149" s="138"/>
      <c r="K149" s="47">
        <f>VLOOKUP(B149,CENY!$B$11:$M$1034,8,FALSE)</f>
        <v>0</v>
      </c>
      <c r="L149" s="47" t="str">
        <f>VLOOKUP(B149,CENY!$B$11:$M$1034,9,FALSE)</f>
        <v xml:space="preserve"> </v>
      </c>
      <c r="M149" s="55"/>
      <c r="N149" s="38">
        <f t="shared" si="23"/>
        <v>0</v>
      </c>
      <c r="O149" s="39">
        <v>0</v>
      </c>
      <c r="P149" s="41"/>
      <c r="Q149" s="41"/>
      <c r="R149" s="41"/>
      <c r="S149" s="41"/>
      <c r="T149" s="41"/>
      <c r="U149" s="41"/>
      <c r="V149" s="41"/>
      <c r="W149" s="450">
        <f>'AVT251'!BI9</f>
        <v>0</v>
      </c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203"/>
      <c r="BP149" s="203"/>
      <c r="BQ149" s="203"/>
      <c r="BR149" s="203"/>
      <c r="BS149" s="203"/>
      <c r="BT149" s="203"/>
      <c r="BU149" s="203"/>
      <c r="BV149" s="203"/>
      <c r="BW149" s="62"/>
      <c r="BX149" s="185"/>
      <c r="BY149" s="35"/>
      <c r="BZ149" s="27"/>
      <c r="CA149" s="27"/>
      <c r="CB149" s="27"/>
      <c r="CC149" s="27"/>
      <c r="CD149" s="27"/>
      <c r="CE149" s="27"/>
      <c r="CF149" s="27"/>
    </row>
    <row r="150" spans="1:84" ht="15" customHeight="1">
      <c r="A150" s="4"/>
      <c r="B150" s="439">
        <f>IF($Q$8=$Q$7,CENY!B339,IF($Q$7=$Q$9,CENY!B353,CENY!B367))</f>
        <v>9255071</v>
      </c>
      <c r="C150" s="48" t="str">
        <f>VLOOKUP(B150,CENY!$B$11:$G$1034,2,FALSE)</f>
        <v>AVANTECH YOU BOK V251 MM NL450 MM STŘÍBRNÝ PRAVÝ</v>
      </c>
      <c r="D150" s="488">
        <f>VLOOKUP(B150,CENY!$B$11:$G$1034,3,FALSE)</f>
        <v>10</v>
      </c>
      <c r="E150" s="63" t="str">
        <f>IF(VLOOKUP(B150,CENY!$B$11:$G$1034,4,FALSE)=0,"",VLOOKUP(B150,CENY!$B$11:$G$1034,4,FALSE))</f>
        <v/>
      </c>
      <c r="F150" s="45" t="str">
        <f t="shared" si="22"/>
        <v/>
      </c>
      <c r="G150" s="59">
        <f>VLOOKUP(B150,CENY!$B$11:$M$1034,12,FALSE)</f>
        <v>493.64</v>
      </c>
      <c r="H150" s="61" t="str">
        <f t="shared" si="13"/>
        <v xml:space="preserve"> CZK</v>
      </c>
      <c r="I150" s="46" t="str">
        <f t="shared" si="14"/>
        <v/>
      </c>
      <c r="J150" s="138"/>
      <c r="K150" s="47">
        <f>VLOOKUP(B150,CENY!$B$11:$M$1034,8,FALSE)</f>
        <v>0</v>
      </c>
      <c r="L150" s="47" t="str">
        <f>VLOOKUP(B150,CENY!$B$11:$M$1034,9,FALSE)</f>
        <v xml:space="preserve"> </v>
      </c>
      <c r="M150" s="55"/>
      <c r="N150" s="38">
        <f t="shared" si="23"/>
        <v>0</v>
      </c>
      <c r="O150" s="39">
        <v>0</v>
      </c>
      <c r="P150" s="41"/>
      <c r="Q150" s="41"/>
      <c r="R150" s="41"/>
      <c r="S150" s="41"/>
      <c r="T150" s="41"/>
      <c r="U150" s="41"/>
      <c r="V150" s="41"/>
      <c r="W150" s="450">
        <f>'AVT251'!BI10</f>
        <v>0</v>
      </c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203"/>
      <c r="BP150" s="203"/>
      <c r="BQ150" s="203"/>
      <c r="BR150" s="203"/>
      <c r="BS150" s="203"/>
      <c r="BT150" s="203"/>
      <c r="BU150" s="203"/>
      <c r="BV150" s="203"/>
      <c r="BW150" s="62"/>
      <c r="BX150" s="185"/>
      <c r="BY150" s="35"/>
      <c r="BZ150" s="27"/>
      <c r="CA150" s="27"/>
      <c r="CB150" s="27"/>
      <c r="CC150" s="27"/>
      <c r="CD150" s="27"/>
      <c r="CE150" s="27"/>
      <c r="CF150" s="27"/>
    </row>
    <row r="151" spans="1:84" ht="15" customHeight="1">
      <c r="A151" s="4"/>
      <c r="B151" s="439">
        <f>IF($Q$8=$Q$7,CENY!B340,IF($Q$7=$Q$9,CENY!B354,CENY!B368))</f>
        <v>9255072</v>
      </c>
      <c r="C151" s="48" t="str">
        <f>VLOOKUP(B151,CENY!$B$11:$G$1034,2,FALSE)</f>
        <v>AVANTECH YOU BOK V251 MM NL500 MM STŘÍBRNÝ LEVÝ</v>
      </c>
      <c r="D151" s="488">
        <f>VLOOKUP(B151,CENY!$B$11:$G$1034,3,FALSE)</f>
        <v>10</v>
      </c>
      <c r="E151" s="63" t="str">
        <f>IF(VLOOKUP(B151,CENY!$B$11:$G$1034,4,FALSE)=0,"",VLOOKUP(B151,CENY!$B$11:$G$1034,4,FALSE))</f>
        <v/>
      </c>
      <c r="F151" s="45" t="str">
        <f t="shared" si="22"/>
        <v/>
      </c>
      <c r="G151" s="59">
        <f>VLOOKUP(B151,CENY!$B$11:$M$1034,12,FALSE)</f>
        <v>502.25</v>
      </c>
      <c r="H151" s="61" t="str">
        <f t="shared" si="13"/>
        <v xml:space="preserve"> CZK</v>
      </c>
      <c r="I151" s="46" t="str">
        <f t="shared" si="14"/>
        <v/>
      </c>
      <c r="J151" s="138"/>
      <c r="K151" s="47">
        <f>VLOOKUP(B151,CENY!$B$11:$M$1034,8,FALSE)</f>
        <v>0</v>
      </c>
      <c r="L151" s="47" t="str">
        <f>VLOOKUP(B151,CENY!$B$11:$M$1034,9,FALSE)</f>
        <v xml:space="preserve"> </v>
      </c>
      <c r="M151" s="55"/>
      <c r="N151" s="38">
        <f t="shared" si="23"/>
        <v>0</v>
      </c>
      <c r="O151" s="39">
        <v>0</v>
      </c>
      <c r="P151" s="41"/>
      <c r="Q151" s="41"/>
      <c r="R151" s="41"/>
      <c r="S151" s="41"/>
      <c r="T151" s="41"/>
      <c r="U151" s="41"/>
      <c r="V151" s="41"/>
      <c r="W151" s="450">
        <f>'AVT251'!BI11</f>
        <v>0</v>
      </c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203"/>
      <c r="BP151" s="203"/>
      <c r="BQ151" s="203"/>
      <c r="BR151" s="203"/>
      <c r="BS151" s="203"/>
      <c r="BT151" s="203"/>
      <c r="BU151" s="203"/>
      <c r="BV151" s="203"/>
      <c r="BW151" s="62"/>
      <c r="BX151" s="185"/>
      <c r="BY151" s="35"/>
      <c r="BZ151" s="27"/>
      <c r="CA151" s="27"/>
      <c r="CB151" s="27"/>
      <c r="CC151" s="27"/>
      <c r="CD151" s="27"/>
      <c r="CE151" s="27"/>
      <c r="CF151" s="27"/>
    </row>
    <row r="152" spans="1:84" ht="15" customHeight="1">
      <c r="A152" s="4"/>
      <c r="B152" s="439">
        <f>IF($Q$8=$Q$7,CENY!B341,IF($Q$7=$Q$9,CENY!B355,CENY!B369))</f>
        <v>9255073</v>
      </c>
      <c r="C152" s="48" t="str">
        <f>VLOOKUP(B152,CENY!$B$11:$G$1034,2,FALSE)</f>
        <v>AVANTECH YOU BOK V251 MM NL500 MM STŘÍBRNÝ PRAVÝ</v>
      </c>
      <c r="D152" s="488">
        <f>VLOOKUP(B152,CENY!$B$11:$G$1034,3,FALSE)</f>
        <v>10</v>
      </c>
      <c r="E152" s="63" t="str">
        <f>IF(VLOOKUP(B152,CENY!$B$11:$G$1034,4,FALSE)=0,"",VLOOKUP(B152,CENY!$B$11:$G$1034,4,FALSE))</f>
        <v/>
      </c>
      <c r="F152" s="45" t="str">
        <f t="shared" si="22"/>
        <v/>
      </c>
      <c r="G152" s="59">
        <f>VLOOKUP(B152,CENY!$B$11:$M$1034,12,FALSE)</f>
        <v>502.25</v>
      </c>
      <c r="H152" s="61" t="str">
        <f t="shared" ref="H152:H224" si="24">IF(G152="","",$H$22)</f>
        <v xml:space="preserve"> CZK</v>
      </c>
      <c r="I152" s="46" t="str">
        <f t="shared" ref="I152:I224" si="25">IF(F152="","",G152*F152)</f>
        <v/>
      </c>
      <c r="J152" s="138"/>
      <c r="K152" s="47">
        <f>VLOOKUP(B152,CENY!$B$11:$M$1034,8,FALSE)</f>
        <v>0</v>
      </c>
      <c r="L152" s="47" t="str">
        <f>VLOOKUP(B152,CENY!$B$11:$M$1034,9,FALSE)</f>
        <v xml:space="preserve"> </v>
      </c>
      <c r="M152" s="55"/>
      <c r="N152" s="38">
        <f t="shared" si="23"/>
        <v>0</v>
      </c>
      <c r="O152" s="39">
        <v>0</v>
      </c>
      <c r="P152" s="41"/>
      <c r="Q152" s="41"/>
      <c r="R152" s="41"/>
      <c r="S152" s="41"/>
      <c r="T152" s="41"/>
      <c r="U152" s="41"/>
      <c r="V152" s="41"/>
      <c r="W152" s="450">
        <f>'AVT251'!BI12</f>
        <v>0</v>
      </c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203"/>
      <c r="BP152" s="203"/>
      <c r="BQ152" s="203"/>
      <c r="BR152" s="203"/>
      <c r="BS152" s="203"/>
      <c r="BT152" s="203"/>
      <c r="BU152" s="203"/>
      <c r="BV152" s="203"/>
      <c r="BW152" s="62"/>
      <c r="BX152" s="185"/>
      <c r="BY152" s="35"/>
      <c r="BZ152" s="27"/>
      <c r="CA152" s="27"/>
      <c r="CB152" s="27"/>
      <c r="CC152" s="27"/>
      <c r="CD152" s="27"/>
      <c r="CE152" s="27"/>
      <c r="CF152" s="27"/>
    </row>
    <row r="153" spans="1:84" ht="15" customHeight="1">
      <c r="A153" s="4"/>
      <c r="B153" s="439">
        <f>IF($Q$8=$Q$7,CENY!B342,IF($Q$7=$Q$9,CENY!B356,CENY!B370))</f>
        <v>9255074</v>
      </c>
      <c r="C153" s="48" t="str">
        <f>VLOOKUP(B153,CENY!$B$11:$G$1034,2,FALSE)</f>
        <v>AVANTECH YOU BOK V251 MM NL550 MM STŘÍBRNÝ LEVÝ</v>
      </c>
      <c r="D153" s="488">
        <f>VLOOKUP(B153,CENY!$B$11:$G$1034,3,FALSE)</f>
        <v>10</v>
      </c>
      <c r="E153" s="63" t="str">
        <f>IF(VLOOKUP(B153,CENY!$B$11:$G$1034,4,FALSE)=0,"",VLOOKUP(B153,CENY!$B$11:$G$1034,4,FALSE))</f>
        <v/>
      </c>
      <c r="F153" s="45" t="str">
        <f t="shared" si="22"/>
        <v/>
      </c>
      <c r="G153" s="59">
        <f>VLOOKUP(B153,CENY!$B$11:$M$1034,12,FALSE)</f>
        <v>510.86</v>
      </c>
      <c r="H153" s="61" t="str">
        <f t="shared" si="24"/>
        <v xml:space="preserve"> CZK</v>
      </c>
      <c r="I153" s="46" t="str">
        <f t="shared" si="25"/>
        <v/>
      </c>
      <c r="J153" s="138"/>
      <c r="K153" s="47">
        <f>VLOOKUP(B153,CENY!$B$11:$M$1034,8,FALSE)</f>
        <v>0</v>
      </c>
      <c r="L153" s="47" t="str">
        <f>VLOOKUP(B153,CENY!$B$11:$M$1034,9,FALSE)</f>
        <v xml:space="preserve"> </v>
      </c>
      <c r="M153" s="55"/>
      <c r="N153" s="38">
        <f t="shared" si="23"/>
        <v>0</v>
      </c>
      <c r="O153" s="39">
        <v>0</v>
      </c>
      <c r="P153" s="41"/>
      <c r="Q153" s="41"/>
      <c r="R153" s="41"/>
      <c r="S153" s="41"/>
      <c r="T153" s="41"/>
      <c r="U153" s="41"/>
      <c r="V153" s="41"/>
      <c r="W153" s="450">
        <f>'AVT251'!BI13</f>
        <v>0</v>
      </c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203"/>
      <c r="BP153" s="203"/>
      <c r="BQ153" s="203"/>
      <c r="BR153" s="203"/>
      <c r="BS153" s="203"/>
      <c r="BT153" s="203"/>
      <c r="BU153" s="203"/>
      <c r="BV153" s="203"/>
      <c r="BW153" s="62"/>
      <c r="BX153" s="185"/>
      <c r="BY153" s="35"/>
      <c r="BZ153" s="27"/>
      <c r="CA153" s="27"/>
      <c r="CB153" s="27"/>
      <c r="CC153" s="27"/>
      <c r="CD153" s="27"/>
      <c r="CE153" s="27"/>
      <c r="CF153" s="27"/>
    </row>
    <row r="154" spans="1:84" ht="15" customHeight="1">
      <c r="A154" s="4"/>
      <c r="B154" s="439">
        <f>IF($Q$8=$Q$7,CENY!B343,IF($Q$7=$Q$9,CENY!B357,CENY!B371))</f>
        <v>9255075</v>
      </c>
      <c r="C154" s="48" t="str">
        <f>VLOOKUP(B154,CENY!$B$11:$G$1034,2,FALSE)</f>
        <v>AVANTECH YOU BOK V251 MM NL550 MM STŘÍBRNÝ PRAVÝ</v>
      </c>
      <c r="D154" s="488">
        <f>VLOOKUP(B154,CENY!$B$11:$G$1034,3,FALSE)</f>
        <v>10</v>
      </c>
      <c r="E154" s="63" t="str">
        <f>IF(VLOOKUP(B154,CENY!$B$11:$G$1034,4,FALSE)=0,"",VLOOKUP(B154,CENY!$B$11:$G$1034,4,FALSE))</f>
        <v/>
      </c>
      <c r="F154" s="45" t="str">
        <f t="shared" si="22"/>
        <v/>
      </c>
      <c r="G154" s="59">
        <f>VLOOKUP(B154,CENY!$B$11:$M$1034,12,FALSE)</f>
        <v>510.86</v>
      </c>
      <c r="H154" s="61" t="str">
        <f t="shared" si="24"/>
        <v xml:space="preserve"> CZK</v>
      </c>
      <c r="I154" s="46" t="str">
        <f t="shared" si="25"/>
        <v/>
      </c>
      <c r="J154" s="138"/>
      <c r="K154" s="47">
        <f>VLOOKUP(B154,CENY!$B$11:$M$1034,8,FALSE)</f>
        <v>0</v>
      </c>
      <c r="L154" s="47" t="str">
        <f>VLOOKUP(B154,CENY!$B$11:$M$1034,9,FALSE)</f>
        <v xml:space="preserve"> </v>
      </c>
      <c r="M154" s="55"/>
      <c r="N154" s="38">
        <f t="shared" si="23"/>
        <v>0</v>
      </c>
      <c r="O154" s="39">
        <v>0</v>
      </c>
      <c r="P154" s="41"/>
      <c r="Q154" s="41"/>
      <c r="R154" s="41"/>
      <c r="S154" s="41"/>
      <c r="T154" s="41"/>
      <c r="U154" s="41"/>
      <c r="V154" s="41"/>
      <c r="W154" s="450">
        <f>'AVT251'!BI14</f>
        <v>0</v>
      </c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203"/>
      <c r="BP154" s="203"/>
      <c r="BQ154" s="203"/>
      <c r="BR154" s="203"/>
      <c r="BS154" s="203"/>
      <c r="BT154" s="203"/>
      <c r="BU154" s="203"/>
      <c r="BV154" s="203"/>
      <c r="BW154" s="62"/>
      <c r="BX154" s="185"/>
      <c r="BY154" s="35"/>
      <c r="BZ154" s="27"/>
      <c r="CA154" s="27"/>
      <c r="CB154" s="27"/>
      <c r="CC154" s="27"/>
      <c r="CD154" s="27"/>
      <c r="CE154" s="27"/>
      <c r="CF154" s="27"/>
    </row>
    <row r="155" spans="1:84" ht="15" customHeight="1">
      <c r="A155" s="4"/>
      <c r="B155" s="439">
        <f>IF($Q$8=$Q$7,CENY!B344,IF($Q$7=$Q$9,CENY!B358,CENY!B372))</f>
        <v>9255076</v>
      </c>
      <c r="C155" s="48" t="str">
        <f>VLOOKUP(B155,CENY!$B$11:$G$1034,2,FALSE)</f>
        <v>AVANTECH YOU BOK V251 MM NL600 MM STŘÍBRNÝ LEVÝ</v>
      </c>
      <c r="D155" s="488">
        <f>VLOOKUP(B155,CENY!$B$11:$G$1034,3,FALSE)</f>
        <v>10</v>
      </c>
      <c r="E155" s="63" t="str">
        <f>IF(VLOOKUP(B155,CENY!$B$11:$G$1034,4,FALSE)=0,"",VLOOKUP(B155,CENY!$B$11:$G$1034,4,FALSE))</f>
        <v/>
      </c>
      <c r="F155" s="45" t="str">
        <f t="shared" si="22"/>
        <v/>
      </c>
      <c r="G155" s="59">
        <f>VLOOKUP(B155,CENY!$B$11:$M$1034,12,FALSE)</f>
        <v>523.85</v>
      </c>
      <c r="H155" s="61" t="str">
        <f t="shared" si="24"/>
        <v xml:space="preserve"> CZK</v>
      </c>
      <c r="I155" s="46" t="str">
        <f t="shared" si="25"/>
        <v/>
      </c>
      <c r="J155" s="138"/>
      <c r="K155" s="47">
        <f>VLOOKUP(B155,CENY!$B$11:$M$1034,8,FALSE)</f>
        <v>0</v>
      </c>
      <c r="L155" s="47" t="str">
        <f>VLOOKUP(B155,CENY!$B$11:$M$1034,9,FALSE)</f>
        <v xml:space="preserve"> </v>
      </c>
      <c r="M155" s="55"/>
      <c r="N155" s="38">
        <f t="shared" si="23"/>
        <v>0</v>
      </c>
      <c r="O155" s="39">
        <v>0</v>
      </c>
      <c r="P155" s="41"/>
      <c r="Q155" s="41"/>
      <c r="R155" s="41"/>
      <c r="S155" s="41"/>
      <c r="T155" s="41"/>
      <c r="U155" s="41"/>
      <c r="V155" s="41"/>
      <c r="W155" s="450">
        <f>'AVT251'!BI15</f>
        <v>0</v>
      </c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203"/>
      <c r="BP155" s="203"/>
      <c r="BQ155" s="203"/>
      <c r="BR155" s="203"/>
      <c r="BS155" s="203"/>
      <c r="BT155" s="203"/>
      <c r="BU155" s="203"/>
      <c r="BV155" s="203"/>
      <c r="BW155" s="62"/>
      <c r="BX155" s="185"/>
      <c r="BY155" s="35"/>
      <c r="BZ155" s="27"/>
      <c r="CA155" s="27"/>
      <c r="CB155" s="27"/>
      <c r="CC155" s="27"/>
      <c r="CD155" s="27"/>
      <c r="CE155" s="27"/>
      <c r="CF155" s="27"/>
    </row>
    <row r="156" spans="1:84" ht="15" customHeight="1">
      <c r="A156" s="4"/>
      <c r="B156" s="439">
        <f>IF($Q$8=$Q$7,CENY!B345,IF($Q$7=$Q$9,CENY!B359,CENY!B373))</f>
        <v>9255077</v>
      </c>
      <c r="C156" s="48" t="str">
        <f>VLOOKUP(B156,CENY!$B$11:$G$1034,2,FALSE)</f>
        <v>AVANTECH YOU BOK V251 MM NL600 MM STŘÍBRNÝ PRAVÝ</v>
      </c>
      <c r="D156" s="488">
        <f>VLOOKUP(B156,CENY!$B$11:$G$1034,3,FALSE)</f>
        <v>10</v>
      </c>
      <c r="E156" s="63" t="str">
        <f>IF(VLOOKUP(B156,CENY!$B$11:$G$1034,4,FALSE)=0,"",VLOOKUP(B156,CENY!$B$11:$G$1034,4,FALSE))</f>
        <v/>
      </c>
      <c r="F156" s="45" t="str">
        <f t="shared" si="22"/>
        <v/>
      </c>
      <c r="G156" s="59">
        <f>VLOOKUP(B156,CENY!$B$11:$M$1034,12,FALSE)</f>
        <v>523.85</v>
      </c>
      <c r="H156" s="61" t="str">
        <f t="shared" si="24"/>
        <v xml:space="preserve"> CZK</v>
      </c>
      <c r="I156" s="46" t="str">
        <f t="shared" si="25"/>
        <v/>
      </c>
      <c r="J156" s="138"/>
      <c r="K156" s="47">
        <f>VLOOKUP(B156,CENY!$B$11:$M$1034,8,FALSE)</f>
        <v>0</v>
      </c>
      <c r="L156" s="47" t="str">
        <f>VLOOKUP(B156,CENY!$B$11:$M$1034,9,FALSE)</f>
        <v xml:space="preserve"> </v>
      </c>
      <c r="M156" s="55"/>
      <c r="N156" s="38">
        <f t="shared" si="23"/>
        <v>0</v>
      </c>
      <c r="O156" s="39">
        <v>0</v>
      </c>
      <c r="P156" s="41"/>
      <c r="Q156" s="41"/>
      <c r="R156" s="41"/>
      <c r="S156" s="41"/>
      <c r="T156" s="41"/>
      <c r="U156" s="41"/>
      <c r="V156" s="41"/>
      <c r="W156" s="450">
        <f>'AVT251'!BI16</f>
        <v>0</v>
      </c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203"/>
      <c r="BP156" s="203"/>
      <c r="BQ156" s="203"/>
      <c r="BR156" s="203"/>
      <c r="BS156" s="203"/>
      <c r="BT156" s="203"/>
      <c r="BU156" s="203"/>
      <c r="BV156" s="203"/>
      <c r="BW156" s="62"/>
      <c r="BX156" s="185"/>
      <c r="BY156" s="35"/>
      <c r="BZ156" s="27"/>
      <c r="CA156" s="27"/>
      <c r="CB156" s="27"/>
      <c r="CC156" s="27"/>
      <c r="CD156" s="27"/>
      <c r="CE156" s="27"/>
      <c r="CF156" s="27"/>
    </row>
    <row r="157" spans="1:84" ht="15" customHeight="1">
      <c r="A157" s="4"/>
      <c r="B157" s="439">
        <f>IF($Q$8=$Q$7,CENY!B346,IF($Q$7=$Q$9,CENY!B360,CENY!B374))</f>
        <v>9255078</v>
      </c>
      <c r="C157" s="48" t="str">
        <f>VLOOKUP(B157,CENY!$B$11:$G$1034,2,FALSE)</f>
        <v>AVANTECH YOU BOK V251 MM NL650 MM STŘÍBRNÝ LEVÝ</v>
      </c>
      <c r="D157" s="488">
        <f>VLOOKUP(B157,CENY!$B$11:$G$1034,3,FALSE)</f>
        <v>10</v>
      </c>
      <c r="E157" s="63" t="str">
        <f>IF(VLOOKUP(B157,CENY!$B$11:$G$1034,4,FALSE)=0,"",VLOOKUP(B157,CENY!$B$11:$G$1034,4,FALSE))</f>
        <v/>
      </c>
      <c r="F157" s="45" t="str">
        <f t="shared" si="22"/>
        <v/>
      </c>
      <c r="G157" s="59">
        <f>VLOOKUP(B157,CENY!$B$11:$M$1034,12,FALSE)</f>
        <v>541.51</v>
      </c>
      <c r="H157" s="61" t="str">
        <f t="shared" si="24"/>
        <v xml:space="preserve"> CZK</v>
      </c>
      <c r="I157" s="46" t="str">
        <f t="shared" si="25"/>
        <v/>
      </c>
      <c r="J157" s="138"/>
      <c r="K157" s="47">
        <f>VLOOKUP(B157,CENY!$B$11:$M$1034,8,FALSE)</f>
        <v>0</v>
      </c>
      <c r="L157" s="47" t="str">
        <f>VLOOKUP(B157,CENY!$B$11:$M$1034,9,FALSE)</f>
        <v xml:space="preserve"> </v>
      </c>
      <c r="M157" s="55"/>
      <c r="N157" s="38">
        <f t="shared" si="23"/>
        <v>0</v>
      </c>
      <c r="O157" s="39">
        <v>0</v>
      </c>
      <c r="P157" s="41"/>
      <c r="Q157" s="41"/>
      <c r="R157" s="41"/>
      <c r="S157" s="41"/>
      <c r="T157" s="41"/>
      <c r="U157" s="41"/>
      <c r="V157" s="41"/>
      <c r="W157" s="450">
        <f>'AVT251'!BI17</f>
        <v>0</v>
      </c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203"/>
      <c r="BP157" s="203"/>
      <c r="BQ157" s="203"/>
      <c r="BR157" s="203"/>
      <c r="BS157" s="203"/>
      <c r="BT157" s="203"/>
      <c r="BU157" s="203"/>
      <c r="BV157" s="203"/>
      <c r="BW157" s="62"/>
      <c r="BX157" s="185"/>
      <c r="BY157" s="35"/>
      <c r="BZ157" s="27"/>
      <c r="CA157" s="27"/>
      <c r="CB157" s="27"/>
      <c r="CC157" s="27"/>
      <c r="CD157" s="27"/>
      <c r="CE157" s="27"/>
      <c r="CF157" s="27"/>
    </row>
    <row r="158" spans="1:84" ht="15" customHeight="1">
      <c r="A158" s="4"/>
      <c r="B158" s="439">
        <f>IF($Q$8=$Q$7,CENY!B347,IF($Q$7=$Q$9,CENY!B361,CENY!B375))</f>
        <v>9255079</v>
      </c>
      <c r="C158" s="48" t="str">
        <f>VLOOKUP(B158,CENY!$B$11:$G$1034,2,FALSE)</f>
        <v>AVANTECH YOU BOK V251 MM NL650 MM STŘÍBRNÝ PRAVÝ</v>
      </c>
      <c r="D158" s="488">
        <f>VLOOKUP(B158,CENY!$B$11:$G$1034,3,FALSE)</f>
        <v>10</v>
      </c>
      <c r="E158" s="63" t="str">
        <f>IF(VLOOKUP(B158,CENY!$B$11:$G$1034,4,FALSE)=0,"",VLOOKUP(B158,CENY!$B$11:$G$1034,4,FALSE))</f>
        <v/>
      </c>
      <c r="F158" s="45" t="str">
        <f t="shared" si="22"/>
        <v/>
      </c>
      <c r="G158" s="59">
        <f>VLOOKUP(B158,CENY!$B$11:$M$1034,12,FALSE)</f>
        <v>541.51</v>
      </c>
      <c r="H158" s="61" t="str">
        <f t="shared" si="24"/>
        <v xml:space="preserve"> CZK</v>
      </c>
      <c r="I158" s="46" t="str">
        <f t="shared" si="25"/>
        <v/>
      </c>
      <c r="J158" s="138"/>
      <c r="K158" s="47">
        <f>VLOOKUP(B158,CENY!$B$11:$M$1034,8,FALSE)</f>
        <v>0</v>
      </c>
      <c r="L158" s="47" t="str">
        <f>VLOOKUP(B158,CENY!$B$11:$M$1034,9,FALSE)</f>
        <v xml:space="preserve"> </v>
      </c>
      <c r="M158" s="55"/>
      <c r="N158" s="38">
        <f t="shared" si="23"/>
        <v>0</v>
      </c>
      <c r="O158" s="39">
        <v>0</v>
      </c>
      <c r="P158" s="41"/>
      <c r="Q158" s="41"/>
      <c r="R158" s="41"/>
      <c r="S158" s="41"/>
      <c r="T158" s="41"/>
      <c r="U158" s="41"/>
      <c r="V158" s="41"/>
      <c r="W158" s="450">
        <f>'AVT251'!BI18</f>
        <v>0</v>
      </c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203"/>
      <c r="BP158" s="203"/>
      <c r="BQ158" s="203"/>
      <c r="BR158" s="203"/>
      <c r="BS158" s="203"/>
      <c r="BT158" s="203"/>
      <c r="BU158" s="203"/>
      <c r="BV158" s="203"/>
      <c r="BW158" s="62"/>
      <c r="BX158" s="185"/>
      <c r="BY158" s="35"/>
      <c r="BZ158" s="27"/>
      <c r="CA158" s="27"/>
      <c r="CB158" s="27"/>
      <c r="CC158" s="27"/>
      <c r="CD158" s="27"/>
      <c r="CE158" s="27"/>
      <c r="CF158" s="27"/>
    </row>
    <row r="159" spans="1:84" ht="15" customHeight="1">
      <c r="A159" s="4"/>
      <c r="B159" s="439">
        <f>IF($T$7=$T$8,CENY!B376,CENY!B377)</f>
        <v>9257887</v>
      </c>
      <c r="C159" s="48" t="str">
        <f>VLOOKUP(B159,CENY!$B$11:$G$1034,2,FALSE)</f>
        <v>AVANTECH YOU STABILIZÁTOR ČELA V251 MM K NAŠROUBOVÁNÍ</v>
      </c>
      <c r="D159" s="489">
        <f>VLOOKUP(B159,CENY!$B$11:$G$1034,3,FALSE)</f>
        <v>200</v>
      </c>
      <c r="E159" s="63" t="str">
        <f>IF(VLOOKUP(B159,CENY!$B$11:$G$1034,4,FALSE)=0,"",VLOOKUP(B159,CENY!$B$11:$G$1034,4,FALSE))</f>
        <v/>
      </c>
      <c r="F159" s="45" t="str">
        <f t="shared" si="22"/>
        <v/>
      </c>
      <c r="G159" s="59">
        <f>VLOOKUP(B159,CENY!$B$11:$M$1034,12,FALSE)</f>
        <v>8.86</v>
      </c>
      <c r="H159" s="61" t="str">
        <f t="shared" si="24"/>
        <v xml:space="preserve"> CZK</v>
      </c>
      <c r="I159" s="46" t="str">
        <f t="shared" si="25"/>
        <v/>
      </c>
      <c r="J159" s="138"/>
      <c r="K159" s="47">
        <f>VLOOKUP(B159,CENY!$B$11:$M$1034,8,FALSE)</f>
        <v>0</v>
      </c>
      <c r="L159" s="47" t="str">
        <f>VLOOKUP(B159,CENY!$B$11:$M$1034,9,FALSE)</f>
        <v xml:space="preserve"> </v>
      </c>
      <c r="M159" s="55"/>
      <c r="N159" s="38">
        <f t="shared" si="23"/>
        <v>0</v>
      </c>
      <c r="O159" s="39">
        <v>0</v>
      </c>
      <c r="P159" s="41"/>
      <c r="Q159" s="41"/>
      <c r="R159" s="41"/>
      <c r="S159" s="41"/>
      <c r="T159" s="41"/>
      <c r="U159" s="41"/>
      <c r="V159" s="450">
        <f>'AVT251'!AZ65</f>
        <v>0</v>
      </c>
      <c r="W159" s="450">
        <f>'AVT251'!BI21</f>
        <v>0</v>
      </c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203"/>
      <c r="BP159" s="203"/>
      <c r="BQ159" s="203"/>
      <c r="BR159" s="203"/>
      <c r="BS159" s="203"/>
      <c r="BT159" s="203"/>
      <c r="BU159" s="203"/>
      <c r="BV159" s="203"/>
      <c r="BW159" s="62"/>
      <c r="BX159" s="185"/>
      <c r="BY159" s="35"/>
      <c r="BZ159" s="27"/>
      <c r="CA159" s="27"/>
      <c r="CB159" s="27"/>
      <c r="CC159" s="27"/>
      <c r="CD159" s="27"/>
      <c r="CE159" s="27"/>
      <c r="CF159" s="27"/>
    </row>
    <row r="160" spans="1:84" ht="8.1" customHeight="1">
      <c r="A160" s="4"/>
      <c r="B160" s="439"/>
      <c r="C160" s="48"/>
      <c r="D160" s="44"/>
      <c r="E160" s="63"/>
      <c r="F160" s="45"/>
      <c r="G160" s="59"/>
      <c r="H160" s="61"/>
      <c r="I160" s="46"/>
      <c r="J160" s="138"/>
      <c r="K160" s="47"/>
      <c r="L160" s="47"/>
      <c r="M160" s="55"/>
      <c r="N160" s="38"/>
      <c r="O160" s="39">
        <v>0</v>
      </c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203"/>
      <c r="BP160" s="203"/>
      <c r="BQ160" s="203"/>
      <c r="BR160" s="203"/>
      <c r="BS160" s="203"/>
      <c r="BT160" s="203"/>
      <c r="BU160" s="203"/>
      <c r="BV160" s="203"/>
      <c r="BW160" s="62"/>
      <c r="BX160" s="185"/>
      <c r="BY160" s="35"/>
      <c r="BZ160" s="27"/>
      <c r="CA160" s="27"/>
      <c r="CB160" s="27"/>
      <c r="CC160" s="27"/>
      <c r="CD160" s="27"/>
      <c r="CE160" s="27"/>
      <c r="CF160" s="27"/>
    </row>
    <row r="161" spans="1:84" ht="15" customHeight="1">
      <c r="A161" s="4"/>
      <c r="B161" s="439">
        <f>IF($Q$8=$Q$7,CENY!B379,IF($Q$7=$Q$9,CENY!B386,CENY!B393))</f>
        <v>9257173</v>
      </c>
      <c r="C161" s="48" t="str">
        <f>VLOOKUP(B161,CENY!$B$11:$G$1034,2,FALSE)</f>
        <v>AVANTECH YOU BOKY V SADĚ INLAY V187 MM L350 MM STŘÍBRNÁ</v>
      </c>
      <c r="D161" s="501">
        <f>VLOOKUP(B161,CENY!$B$11:$G$1034,3,FALSE)</f>
        <v>1</v>
      </c>
      <c r="E161" s="63" t="str">
        <f>IF(VLOOKUP(B161,CENY!$B$11:$G$1034,4,FALSE)=0,"",VLOOKUP(B161,CENY!$B$11:$G$1034,4,FALSE))</f>
        <v/>
      </c>
      <c r="F161" s="45" t="str">
        <f t="shared" ref="F161:F167" si="26">IF(J161&lt;&gt;"",J161,IF(N161=0,"",N161))</f>
        <v/>
      </c>
      <c r="G161" s="59">
        <f>VLOOKUP(B161,CENY!$B$11:$M$1034,12,FALSE)</f>
        <v>890.83</v>
      </c>
      <c r="H161" s="61" t="str">
        <f t="shared" si="24"/>
        <v xml:space="preserve"> CZK</v>
      </c>
      <c r="I161" s="46" t="str">
        <f t="shared" si="25"/>
        <v/>
      </c>
      <c r="J161" s="138"/>
      <c r="K161" s="47">
        <f>VLOOKUP(B161,CENY!$B$11:$M$1034,8,FALSE)</f>
        <v>0</v>
      </c>
      <c r="L161" s="47" t="str">
        <f>VLOOKUP(B161,CENY!$B$11:$M$1034,9,FALSE)</f>
        <v xml:space="preserve"> </v>
      </c>
      <c r="M161" s="55"/>
      <c r="N161" s="38">
        <f t="shared" ref="N161:N167" si="27">SUM(P161:BX161)</f>
        <v>0</v>
      </c>
      <c r="O161" s="39">
        <v>0</v>
      </c>
      <c r="P161" s="41"/>
      <c r="Q161" s="41"/>
      <c r="R161" s="41"/>
      <c r="S161" s="41"/>
      <c r="T161" s="41"/>
      <c r="U161" s="41"/>
      <c r="V161" s="41"/>
      <c r="W161" s="41"/>
      <c r="X161" s="450">
        <f>AVT187In!AZ5</f>
        <v>0</v>
      </c>
      <c r="Y161" s="41"/>
      <c r="Z161" s="41"/>
      <c r="AA161" s="41"/>
      <c r="AB161" s="41"/>
      <c r="AC161" s="41"/>
      <c r="AD161" s="41"/>
      <c r="AE161" s="41"/>
      <c r="AF161" s="450">
        <f>'AVT187In(vn-A)'!AZ5</f>
        <v>0</v>
      </c>
      <c r="AG161" s="41"/>
      <c r="AH161" s="41"/>
      <c r="AI161" s="41"/>
      <c r="AJ161" s="450">
        <f>'AVT187In(vn-S)'!AZ5</f>
        <v>0</v>
      </c>
      <c r="AK161" s="41"/>
      <c r="AL161" s="41"/>
      <c r="AM161" s="41"/>
      <c r="AN161" s="41"/>
      <c r="AO161" s="41"/>
      <c r="AP161" s="41"/>
      <c r="AQ161" s="41"/>
      <c r="AR161" s="41"/>
      <c r="AS161" s="41"/>
      <c r="AT161" s="450">
        <f>'AVT-celny-2x187In'!AZ5</f>
        <v>0</v>
      </c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203"/>
      <c r="BP161" s="203"/>
      <c r="BQ161" s="203"/>
      <c r="BR161" s="203"/>
      <c r="BS161" s="203"/>
      <c r="BT161" s="203"/>
      <c r="BU161" s="203"/>
      <c r="BV161" s="203"/>
      <c r="BW161" s="62"/>
      <c r="BX161" s="185"/>
      <c r="BY161" s="35"/>
      <c r="BZ161" s="27"/>
      <c r="CA161" s="27"/>
      <c r="CB161" s="27"/>
      <c r="CC161" s="27"/>
      <c r="CD161" s="27"/>
      <c r="CE161" s="27"/>
      <c r="CF161" s="27"/>
    </row>
    <row r="162" spans="1:84" ht="15" customHeight="1">
      <c r="A162" s="4"/>
      <c r="B162" s="439">
        <f>IF($Q$8=$Q$7,CENY!B380,IF($Q$7=$Q$9,CENY!B387,CENY!B394))</f>
        <v>9257174</v>
      </c>
      <c r="C162" s="48" t="str">
        <f>VLOOKUP(B162,CENY!$B$11:$G$1034,2,FALSE)</f>
        <v>AVANTECH YOU BOKY V SADĚ INLAY V187 MM L400 MM STŘÍBRNÁ</v>
      </c>
      <c r="D162" s="501">
        <f>VLOOKUP(B162,CENY!$B$11:$G$1034,3,FALSE)</f>
        <v>1</v>
      </c>
      <c r="E162" s="63" t="str">
        <f>IF(VLOOKUP(B162,CENY!$B$11:$G$1034,4,FALSE)=0,"",VLOOKUP(B162,CENY!$B$11:$G$1034,4,FALSE))</f>
        <v/>
      </c>
      <c r="F162" s="45" t="str">
        <f t="shared" si="26"/>
        <v/>
      </c>
      <c r="G162" s="59">
        <f>VLOOKUP(B162,CENY!$B$11:$M$1034,12,FALSE)</f>
        <v>902.57</v>
      </c>
      <c r="H162" s="61" t="str">
        <f t="shared" si="24"/>
        <v xml:space="preserve"> CZK</v>
      </c>
      <c r="I162" s="46" t="str">
        <f t="shared" si="25"/>
        <v/>
      </c>
      <c r="J162" s="138"/>
      <c r="K162" s="47">
        <f>VLOOKUP(B162,CENY!$B$11:$M$1034,8,FALSE)</f>
        <v>0</v>
      </c>
      <c r="L162" s="47" t="str">
        <f>VLOOKUP(B162,CENY!$B$11:$M$1034,9,FALSE)</f>
        <v xml:space="preserve"> </v>
      </c>
      <c r="M162" s="55"/>
      <c r="N162" s="38">
        <f t="shared" si="27"/>
        <v>0</v>
      </c>
      <c r="O162" s="39">
        <v>0</v>
      </c>
      <c r="P162" s="41"/>
      <c r="Q162" s="41"/>
      <c r="R162" s="41"/>
      <c r="S162" s="41"/>
      <c r="T162" s="41"/>
      <c r="U162" s="41"/>
      <c r="V162" s="41"/>
      <c r="W162" s="41"/>
      <c r="X162" s="450">
        <f>AVT187In!AZ6</f>
        <v>0</v>
      </c>
      <c r="Y162" s="41"/>
      <c r="Z162" s="41"/>
      <c r="AA162" s="41"/>
      <c r="AB162" s="41"/>
      <c r="AC162" s="41"/>
      <c r="AD162" s="41"/>
      <c r="AE162" s="41"/>
      <c r="AF162" s="450">
        <f>'AVT187In(vn-A)'!AZ6</f>
        <v>0</v>
      </c>
      <c r="AG162" s="41"/>
      <c r="AH162" s="41"/>
      <c r="AI162" s="41"/>
      <c r="AJ162" s="450">
        <f>'AVT187In(vn-S)'!AZ6</f>
        <v>0</v>
      </c>
      <c r="AK162" s="41"/>
      <c r="AL162" s="41"/>
      <c r="AM162" s="41"/>
      <c r="AN162" s="41"/>
      <c r="AO162" s="41"/>
      <c r="AP162" s="41"/>
      <c r="AQ162" s="41"/>
      <c r="AR162" s="41"/>
      <c r="AS162" s="41"/>
      <c r="AT162" s="450">
        <f>'AVT-celny-2x187In'!AZ6</f>
        <v>0</v>
      </c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203"/>
      <c r="BP162" s="203"/>
      <c r="BQ162" s="203"/>
      <c r="BR162" s="203"/>
      <c r="BS162" s="203"/>
      <c r="BT162" s="203"/>
      <c r="BU162" s="203"/>
      <c r="BV162" s="203"/>
      <c r="BW162" s="62"/>
      <c r="BX162" s="185"/>
      <c r="BY162" s="35"/>
      <c r="BZ162" s="27"/>
      <c r="CA162" s="27"/>
      <c r="CB162" s="27"/>
      <c r="CC162" s="27"/>
      <c r="CD162" s="27"/>
      <c r="CE162" s="27"/>
      <c r="CF162" s="27"/>
    </row>
    <row r="163" spans="1:84" ht="15" customHeight="1">
      <c r="A163" s="4"/>
      <c r="B163" s="439">
        <f>IF($Q$8=$Q$7,CENY!B381,IF($Q$7=$Q$9,CENY!B388,CENY!B395))</f>
        <v>9257175</v>
      </c>
      <c r="C163" s="48" t="str">
        <f>VLOOKUP(B163,CENY!$B$11:$G$1034,2,FALSE)</f>
        <v>AVANTECH YOU BOKY V SADĚ INLAY V187 MM L450 MM STŘÍBRNÁ</v>
      </c>
      <c r="D163" s="501">
        <f>VLOOKUP(B163,CENY!$B$11:$G$1034,3,FALSE)</f>
        <v>1</v>
      </c>
      <c r="E163" s="63" t="str">
        <f>IF(VLOOKUP(B163,CENY!$B$11:$G$1034,4,FALSE)=0,"",VLOOKUP(B163,CENY!$B$11:$G$1034,4,FALSE))</f>
        <v/>
      </c>
      <c r="F163" s="45" t="str">
        <f t="shared" si="26"/>
        <v/>
      </c>
      <c r="G163" s="59">
        <f>VLOOKUP(B163,CENY!$B$11:$M$1034,12,FALSE)</f>
        <v>914.31</v>
      </c>
      <c r="H163" s="61" t="str">
        <f t="shared" si="24"/>
        <v xml:space="preserve"> CZK</v>
      </c>
      <c r="I163" s="46" t="str">
        <f t="shared" si="25"/>
        <v/>
      </c>
      <c r="J163" s="138"/>
      <c r="K163" s="47">
        <f>VLOOKUP(B163,CENY!$B$11:$M$1034,8,FALSE)</f>
        <v>0</v>
      </c>
      <c r="L163" s="47" t="str">
        <f>VLOOKUP(B163,CENY!$B$11:$M$1034,9,FALSE)</f>
        <v xml:space="preserve"> </v>
      </c>
      <c r="M163" s="55"/>
      <c r="N163" s="38">
        <f t="shared" si="27"/>
        <v>0</v>
      </c>
      <c r="O163" s="39">
        <v>0</v>
      </c>
      <c r="P163" s="41"/>
      <c r="Q163" s="41"/>
      <c r="R163" s="41"/>
      <c r="S163" s="41"/>
      <c r="T163" s="41"/>
      <c r="U163" s="41"/>
      <c r="V163" s="41"/>
      <c r="W163" s="41"/>
      <c r="X163" s="450">
        <f>AVT187In!AZ7</f>
        <v>0</v>
      </c>
      <c r="Y163" s="41"/>
      <c r="Z163" s="41"/>
      <c r="AA163" s="41"/>
      <c r="AB163" s="41"/>
      <c r="AC163" s="41"/>
      <c r="AD163" s="41"/>
      <c r="AE163" s="41"/>
      <c r="AF163" s="450">
        <f>'AVT187In(vn-A)'!AZ7</f>
        <v>0</v>
      </c>
      <c r="AG163" s="41"/>
      <c r="AH163" s="41"/>
      <c r="AI163" s="41"/>
      <c r="AJ163" s="450">
        <f>'AVT187In(vn-S)'!AZ7</f>
        <v>0</v>
      </c>
      <c r="AK163" s="41"/>
      <c r="AL163" s="41"/>
      <c r="AM163" s="41"/>
      <c r="AN163" s="41"/>
      <c r="AO163" s="41"/>
      <c r="AP163" s="41"/>
      <c r="AQ163" s="41"/>
      <c r="AR163" s="41"/>
      <c r="AS163" s="41"/>
      <c r="AT163" s="450">
        <f>'AVT-celny-2x187In'!AZ7</f>
        <v>0</v>
      </c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203"/>
      <c r="BP163" s="203"/>
      <c r="BQ163" s="203"/>
      <c r="BR163" s="203"/>
      <c r="BS163" s="203"/>
      <c r="BT163" s="203"/>
      <c r="BU163" s="203"/>
      <c r="BV163" s="203"/>
      <c r="BW163" s="62"/>
      <c r="BX163" s="185"/>
      <c r="BY163" s="35"/>
      <c r="BZ163" s="27"/>
      <c r="CA163" s="27"/>
      <c r="CB163" s="27"/>
      <c r="CC163" s="27"/>
      <c r="CD163" s="27"/>
      <c r="CE163" s="27"/>
      <c r="CF163" s="27"/>
    </row>
    <row r="164" spans="1:84" ht="15" customHeight="1">
      <c r="A164" s="4"/>
      <c r="B164" s="439">
        <f>IF($Q$8=$Q$7,CENY!B382,IF($Q$7=$Q$9,CENY!B389,CENY!B396))</f>
        <v>9257176</v>
      </c>
      <c r="C164" s="48" t="str">
        <f>VLOOKUP(B164,CENY!$B$11:$G$1034,2,FALSE)</f>
        <v>AVANTECH YOU BOKY V SADĚ INLAY V187 MM L500 MM STŘÍBRNÁ</v>
      </c>
      <c r="D164" s="501">
        <f>VLOOKUP(B164,CENY!$B$11:$G$1034,3,FALSE)</f>
        <v>1</v>
      </c>
      <c r="E164" s="63" t="str">
        <f>IF(VLOOKUP(B164,CENY!$B$11:$G$1034,4,FALSE)=0,"",VLOOKUP(B164,CENY!$B$11:$G$1034,4,FALSE))</f>
        <v/>
      </c>
      <c r="F164" s="45" t="str">
        <f t="shared" si="26"/>
        <v/>
      </c>
      <c r="G164" s="59">
        <f>VLOOKUP(B164,CENY!$B$11:$M$1034,12,FALSE)</f>
        <v>926.05</v>
      </c>
      <c r="H164" s="61" t="str">
        <f t="shared" si="24"/>
        <v xml:space="preserve"> CZK</v>
      </c>
      <c r="I164" s="46" t="str">
        <f t="shared" si="25"/>
        <v/>
      </c>
      <c r="J164" s="138"/>
      <c r="K164" s="47">
        <f>VLOOKUP(B164,CENY!$B$11:$M$1034,8,FALSE)</f>
        <v>0</v>
      </c>
      <c r="L164" s="47" t="str">
        <f>VLOOKUP(B164,CENY!$B$11:$M$1034,9,FALSE)</f>
        <v xml:space="preserve"> </v>
      </c>
      <c r="M164" s="55"/>
      <c r="N164" s="38">
        <f t="shared" si="27"/>
        <v>0</v>
      </c>
      <c r="O164" s="39">
        <v>0</v>
      </c>
      <c r="P164" s="41"/>
      <c r="Q164" s="41"/>
      <c r="R164" s="41"/>
      <c r="S164" s="41"/>
      <c r="T164" s="41"/>
      <c r="U164" s="41"/>
      <c r="V164" s="41"/>
      <c r="W164" s="41"/>
      <c r="X164" s="450">
        <f>AVT187In!AZ8</f>
        <v>0</v>
      </c>
      <c r="Y164" s="41"/>
      <c r="Z164" s="41"/>
      <c r="AA164" s="41"/>
      <c r="AB164" s="41"/>
      <c r="AC164" s="41"/>
      <c r="AD164" s="41"/>
      <c r="AE164" s="41"/>
      <c r="AF164" s="450">
        <f>'AVT187In(vn-A)'!AZ8</f>
        <v>0</v>
      </c>
      <c r="AG164" s="41"/>
      <c r="AH164" s="41"/>
      <c r="AI164" s="41"/>
      <c r="AJ164" s="450">
        <f>'AVT187In(vn-S)'!AZ8</f>
        <v>0</v>
      </c>
      <c r="AK164" s="41"/>
      <c r="AL164" s="41"/>
      <c r="AM164" s="41"/>
      <c r="AN164" s="41"/>
      <c r="AO164" s="41"/>
      <c r="AP164" s="41"/>
      <c r="AQ164" s="41"/>
      <c r="AR164" s="41"/>
      <c r="AS164" s="41"/>
      <c r="AT164" s="450">
        <f>'AVT-celny-2x187In'!AZ8</f>
        <v>0</v>
      </c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203"/>
      <c r="BP164" s="203"/>
      <c r="BQ164" s="203"/>
      <c r="BR164" s="203"/>
      <c r="BS164" s="203"/>
      <c r="BT164" s="203"/>
      <c r="BU164" s="203"/>
      <c r="BV164" s="203"/>
      <c r="BW164" s="62"/>
      <c r="BX164" s="185"/>
      <c r="BY164" s="35"/>
      <c r="BZ164" s="27"/>
      <c r="CA164" s="27"/>
      <c r="CB164" s="27"/>
      <c r="CC164" s="27"/>
      <c r="CD164" s="27"/>
      <c r="CE164" s="27"/>
      <c r="CF164" s="27"/>
    </row>
    <row r="165" spans="1:84" ht="15" customHeight="1">
      <c r="A165" s="4"/>
      <c r="B165" s="439">
        <f>IF($Q$8=$Q$7,CENY!B383,IF($Q$7=$Q$9,CENY!B390,CENY!B397))</f>
        <v>9257177</v>
      </c>
      <c r="C165" s="48" t="str">
        <f>VLOOKUP(B165,CENY!$B$11:$G$1034,2,FALSE)</f>
        <v>AVANTECH YOU BOKY V SADĚ INLAY V187 MM L550 MM STŘÍBRNÁ</v>
      </c>
      <c r="D165" s="501">
        <f>VLOOKUP(B165,CENY!$B$11:$G$1034,3,FALSE)</f>
        <v>1</v>
      </c>
      <c r="E165" s="63" t="str">
        <f>IF(VLOOKUP(B165,CENY!$B$11:$G$1034,4,FALSE)=0,"",VLOOKUP(B165,CENY!$B$11:$G$1034,4,FALSE))</f>
        <v/>
      </c>
      <c r="F165" s="45" t="str">
        <f t="shared" si="26"/>
        <v/>
      </c>
      <c r="G165" s="59">
        <f>VLOOKUP(B165,CENY!$B$11:$M$1034,12,FALSE)</f>
        <v>937.8</v>
      </c>
      <c r="H165" s="61" t="str">
        <f t="shared" si="24"/>
        <v xml:space="preserve"> CZK</v>
      </c>
      <c r="I165" s="46" t="str">
        <f t="shared" si="25"/>
        <v/>
      </c>
      <c r="J165" s="138"/>
      <c r="K165" s="47">
        <f>VLOOKUP(B165,CENY!$B$11:$M$1034,8,FALSE)</f>
        <v>0</v>
      </c>
      <c r="L165" s="47" t="str">
        <f>VLOOKUP(B165,CENY!$B$11:$M$1034,9,FALSE)</f>
        <v xml:space="preserve"> </v>
      </c>
      <c r="M165" s="55"/>
      <c r="N165" s="38">
        <f t="shared" si="27"/>
        <v>0</v>
      </c>
      <c r="O165" s="39">
        <v>0</v>
      </c>
      <c r="P165" s="41"/>
      <c r="Q165" s="41"/>
      <c r="R165" s="41"/>
      <c r="S165" s="41"/>
      <c r="T165" s="41"/>
      <c r="U165" s="41"/>
      <c r="V165" s="41"/>
      <c r="W165" s="41"/>
      <c r="X165" s="450">
        <f>AVT187In!AZ9</f>
        <v>0</v>
      </c>
      <c r="Y165" s="41"/>
      <c r="Z165" s="41"/>
      <c r="AA165" s="41"/>
      <c r="AB165" s="41"/>
      <c r="AC165" s="41"/>
      <c r="AD165" s="41"/>
      <c r="AE165" s="41"/>
      <c r="AF165" s="450">
        <f>'AVT187In(vn-A)'!AZ9</f>
        <v>0</v>
      </c>
      <c r="AG165" s="41"/>
      <c r="AH165" s="41"/>
      <c r="AI165" s="41"/>
      <c r="AJ165" s="450">
        <f>'AVT187In(vn-S)'!AZ9</f>
        <v>0</v>
      </c>
      <c r="AK165" s="41"/>
      <c r="AL165" s="41"/>
      <c r="AM165" s="41"/>
      <c r="AN165" s="41"/>
      <c r="AO165" s="41"/>
      <c r="AP165" s="41"/>
      <c r="AQ165" s="41"/>
      <c r="AR165" s="41"/>
      <c r="AS165" s="41"/>
      <c r="AT165" s="450">
        <f>'AVT-celny-2x187In'!AZ9</f>
        <v>0</v>
      </c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203"/>
      <c r="BP165" s="203"/>
      <c r="BQ165" s="203"/>
      <c r="BR165" s="203"/>
      <c r="BS165" s="203"/>
      <c r="BT165" s="203"/>
      <c r="BU165" s="203"/>
      <c r="BV165" s="203"/>
      <c r="BW165" s="62"/>
      <c r="BX165" s="185"/>
      <c r="BY165" s="35"/>
      <c r="BZ165" s="27"/>
      <c r="CA165" s="27"/>
      <c r="CB165" s="27"/>
      <c r="CC165" s="27"/>
      <c r="CD165" s="27"/>
      <c r="CE165" s="27"/>
      <c r="CF165" s="27"/>
    </row>
    <row r="166" spans="1:84" ht="15" customHeight="1">
      <c r="A166" s="4"/>
      <c r="B166" s="439">
        <f>IF($Q$8=$Q$7,CENY!B384,IF($Q$7=$Q$9,CENY!B391,CENY!B398))</f>
        <v>9257178</v>
      </c>
      <c r="C166" s="48" t="str">
        <f>VLOOKUP(B166,CENY!$B$11:$G$1034,2,FALSE)</f>
        <v>AVANTECH YOU BOKY V SADĚ INLAY V187 MM L600 MM STŘÍBRNÁ</v>
      </c>
      <c r="D166" s="501">
        <f>VLOOKUP(B166,CENY!$B$11:$G$1034,3,FALSE)</f>
        <v>1</v>
      </c>
      <c r="E166" s="63" t="str">
        <f>IF(VLOOKUP(B166,CENY!$B$11:$G$1034,4,FALSE)=0,"",VLOOKUP(B166,CENY!$B$11:$G$1034,4,FALSE))</f>
        <v/>
      </c>
      <c r="F166" s="45" t="str">
        <f t="shared" si="26"/>
        <v/>
      </c>
      <c r="G166" s="59">
        <f>VLOOKUP(B166,CENY!$B$11:$M$1034,12,FALSE)</f>
        <v>955.51</v>
      </c>
      <c r="H166" s="61" t="str">
        <f t="shared" si="24"/>
        <v xml:space="preserve"> CZK</v>
      </c>
      <c r="I166" s="46" t="str">
        <f t="shared" si="25"/>
        <v/>
      </c>
      <c r="J166" s="138"/>
      <c r="K166" s="47">
        <f>VLOOKUP(B166,CENY!$B$11:$M$1034,8,FALSE)</f>
        <v>0</v>
      </c>
      <c r="L166" s="47" t="str">
        <f>VLOOKUP(B166,CENY!$B$11:$M$1034,9,FALSE)</f>
        <v xml:space="preserve"> </v>
      </c>
      <c r="M166" s="55"/>
      <c r="N166" s="38">
        <f t="shared" si="27"/>
        <v>0</v>
      </c>
      <c r="O166" s="39">
        <v>0</v>
      </c>
      <c r="P166" s="41"/>
      <c r="Q166" s="41"/>
      <c r="R166" s="41"/>
      <c r="S166" s="41"/>
      <c r="T166" s="41"/>
      <c r="U166" s="41"/>
      <c r="V166" s="41"/>
      <c r="W166" s="41"/>
      <c r="X166" s="450">
        <f>AVT187In!AZ10</f>
        <v>0</v>
      </c>
      <c r="Y166" s="41"/>
      <c r="Z166" s="41"/>
      <c r="AA166" s="41"/>
      <c r="AB166" s="41"/>
      <c r="AC166" s="41"/>
      <c r="AD166" s="41"/>
      <c r="AE166" s="41"/>
      <c r="AF166" s="450">
        <f>'AVT187In(vn-A)'!AZ10</f>
        <v>0</v>
      </c>
      <c r="AG166" s="41"/>
      <c r="AH166" s="41"/>
      <c r="AI166" s="41"/>
      <c r="AJ166" s="450">
        <f>'AVT187In(vn-S)'!AZ10</f>
        <v>0</v>
      </c>
      <c r="AK166" s="41"/>
      <c r="AL166" s="41"/>
      <c r="AM166" s="41"/>
      <c r="AN166" s="41"/>
      <c r="AO166" s="41"/>
      <c r="AP166" s="41"/>
      <c r="AQ166" s="41"/>
      <c r="AR166" s="41"/>
      <c r="AS166" s="41"/>
      <c r="AT166" s="450">
        <f>'AVT-celny-2x187In'!AZ10</f>
        <v>0</v>
      </c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203"/>
      <c r="BP166" s="203"/>
      <c r="BQ166" s="203"/>
      <c r="BR166" s="203"/>
      <c r="BS166" s="203"/>
      <c r="BT166" s="203"/>
      <c r="BU166" s="203"/>
      <c r="BV166" s="203"/>
      <c r="BW166" s="62"/>
      <c r="BX166" s="185"/>
      <c r="BY166" s="35"/>
      <c r="BZ166" s="27"/>
      <c r="CA166" s="27"/>
      <c r="CB166" s="27"/>
      <c r="CC166" s="27"/>
      <c r="CD166" s="27"/>
      <c r="CE166" s="27"/>
      <c r="CF166" s="27"/>
    </row>
    <row r="167" spans="1:84" ht="15" customHeight="1">
      <c r="A167" s="4"/>
      <c r="B167" s="439">
        <f>IF($Q$8=$Q$7,CENY!B385,IF($Q$7=$Q$9,CENY!B392,CENY!B399))</f>
        <v>9257179</v>
      </c>
      <c r="C167" s="48" t="str">
        <f>VLOOKUP(B167,CENY!$B$11:$G$1034,2,FALSE)</f>
        <v>AVANTECH YOU BOKY V SADĚ INLAY V187 MM L650 MM STŘÍBRNÁ</v>
      </c>
      <c r="D167" s="501">
        <f>VLOOKUP(B167,CENY!$B$11:$G$1034,3,FALSE)</f>
        <v>1</v>
      </c>
      <c r="E167" s="63" t="str">
        <f>IF(VLOOKUP(B167,CENY!$B$11:$G$1034,4,FALSE)=0,"",VLOOKUP(B167,CENY!$B$11:$G$1034,4,FALSE))</f>
        <v/>
      </c>
      <c r="F167" s="45" t="str">
        <f t="shared" si="26"/>
        <v/>
      </c>
      <c r="G167" s="59">
        <f>VLOOKUP(B167,CENY!$B$11:$M$1034,12,FALSE)</f>
        <v>979.59</v>
      </c>
      <c r="H167" s="61" t="str">
        <f t="shared" si="24"/>
        <v xml:space="preserve"> CZK</v>
      </c>
      <c r="I167" s="46" t="str">
        <f t="shared" si="25"/>
        <v/>
      </c>
      <c r="J167" s="138"/>
      <c r="K167" s="47">
        <f>VLOOKUP(B167,CENY!$B$11:$M$1034,8,FALSE)</f>
        <v>0</v>
      </c>
      <c r="L167" s="47" t="str">
        <f>VLOOKUP(B167,CENY!$B$11:$M$1034,9,FALSE)</f>
        <v xml:space="preserve"> </v>
      </c>
      <c r="M167" s="55"/>
      <c r="N167" s="38">
        <f t="shared" si="27"/>
        <v>0</v>
      </c>
      <c r="O167" s="39">
        <v>0</v>
      </c>
      <c r="P167" s="41"/>
      <c r="Q167" s="41"/>
      <c r="R167" s="41"/>
      <c r="S167" s="41"/>
      <c r="T167" s="41"/>
      <c r="U167" s="41"/>
      <c r="V167" s="41"/>
      <c r="W167" s="41"/>
      <c r="X167" s="450">
        <f>AVT187In!AZ11</f>
        <v>0</v>
      </c>
      <c r="Y167" s="41"/>
      <c r="Z167" s="41"/>
      <c r="AA167" s="41"/>
      <c r="AB167" s="41"/>
      <c r="AC167" s="41"/>
      <c r="AD167" s="41"/>
      <c r="AE167" s="41"/>
      <c r="AF167" s="450">
        <f>'AVT187In(vn-A)'!AZ11</f>
        <v>0</v>
      </c>
      <c r="AG167" s="41"/>
      <c r="AH167" s="41"/>
      <c r="AI167" s="41"/>
      <c r="AJ167" s="450">
        <f>'AVT187In(vn-S)'!AZ11</f>
        <v>0</v>
      </c>
      <c r="AK167" s="41"/>
      <c r="AL167" s="41"/>
      <c r="AM167" s="41"/>
      <c r="AN167" s="41"/>
      <c r="AO167" s="41"/>
      <c r="AP167" s="41"/>
      <c r="AQ167" s="41"/>
      <c r="AR167" s="41"/>
      <c r="AS167" s="41"/>
      <c r="AT167" s="450">
        <f>'AVT-celny-2x187In'!AZ11</f>
        <v>0</v>
      </c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203"/>
      <c r="BP167" s="203"/>
      <c r="BQ167" s="203"/>
      <c r="BR167" s="203"/>
      <c r="BS167" s="203"/>
      <c r="BT167" s="203"/>
      <c r="BU167" s="203"/>
      <c r="BV167" s="203"/>
      <c r="BW167" s="62"/>
      <c r="BX167" s="185"/>
      <c r="BY167" s="35"/>
      <c r="BZ167" s="27"/>
      <c r="CA167" s="27"/>
      <c r="CB167" s="27"/>
      <c r="CC167" s="27"/>
      <c r="CD167" s="27"/>
      <c r="CE167" s="27"/>
      <c r="CF167" s="27"/>
    </row>
    <row r="168" spans="1:84" ht="8.1" customHeight="1">
      <c r="A168" s="4"/>
      <c r="B168" s="439"/>
      <c r="C168" s="48"/>
      <c r="D168" s="44"/>
      <c r="E168" s="63"/>
      <c r="F168" s="45"/>
      <c r="G168" s="59"/>
      <c r="H168" s="61"/>
      <c r="I168" s="46"/>
      <c r="J168" s="138"/>
      <c r="K168" s="47"/>
      <c r="L168" s="47"/>
      <c r="M168" s="55"/>
      <c r="N168" s="38"/>
      <c r="O168" s="39">
        <v>0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203"/>
      <c r="BP168" s="203"/>
      <c r="BQ168" s="203"/>
      <c r="BR168" s="203"/>
      <c r="BS168" s="203"/>
      <c r="BT168" s="203"/>
      <c r="BU168" s="203"/>
      <c r="BV168" s="203"/>
      <c r="BW168" s="62"/>
      <c r="BX168" s="185"/>
      <c r="BY168" s="35"/>
      <c r="BZ168" s="27"/>
      <c r="CA168" s="27"/>
      <c r="CB168" s="27"/>
      <c r="CC168" s="27"/>
      <c r="CD168" s="27"/>
      <c r="CE168" s="27"/>
      <c r="CF168" s="27"/>
    </row>
    <row r="169" spans="1:84" ht="15" customHeight="1">
      <c r="A169" s="4"/>
      <c r="B169" s="439">
        <f>IF($Q$8=$Q$7,CENY!B400,IF($Q$7=$Q$9,CENY!B414,CENY!B428))</f>
        <v>9257131</v>
      </c>
      <c r="C169" s="48" t="str">
        <f>VLOOKUP(B169,CENY!$B$11:$G$1034,2,FALSE)</f>
        <v>AVANTECH YOU BOK INLAY V187 MM NL350 MM STŘÍBRNÝ LEVÝ</v>
      </c>
      <c r="D169" s="488">
        <f>VLOOKUP(B169,CENY!$B$11:$G$1034,3,FALSE)</f>
        <v>10</v>
      </c>
      <c r="E169" s="63" t="str">
        <f>IF(VLOOKUP(B169,CENY!$B$11:$G$1034,4,FALSE)=0,"",VLOOKUP(B169,CENY!$B$11:$G$1034,4,FALSE))</f>
        <v/>
      </c>
      <c r="F169" s="45" t="str">
        <f t="shared" ref="F169:F182" si="28">IF(J169&lt;&gt;"",J169,IF(N169=0,"",N169))</f>
        <v/>
      </c>
      <c r="G169" s="59">
        <f>VLOOKUP(B169,CENY!$B$11:$M$1034,12,FALSE)</f>
        <v>324.87</v>
      </c>
      <c r="H169" s="61" t="str">
        <f t="shared" si="24"/>
        <v xml:space="preserve"> CZK</v>
      </c>
      <c r="I169" s="46" t="str">
        <f t="shared" si="25"/>
        <v/>
      </c>
      <c r="J169" s="138"/>
      <c r="K169" s="47">
        <f>VLOOKUP(B169,CENY!$B$11:$M$1034,8,FALSE)</f>
        <v>0</v>
      </c>
      <c r="L169" s="47" t="str">
        <f>VLOOKUP(B169,CENY!$B$11:$M$1034,9,FALSE)</f>
        <v xml:space="preserve"> </v>
      </c>
      <c r="M169" s="55"/>
      <c r="N169" s="38">
        <f t="shared" ref="N169:N185" si="29">SUM(P169:BX169)</f>
        <v>0</v>
      </c>
      <c r="O169" s="39">
        <v>0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50">
        <f>AVT187In!BI5</f>
        <v>0</v>
      </c>
      <c r="Z169" s="41"/>
      <c r="AA169" s="41"/>
      <c r="AB169" s="41"/>
      <c r="AC169" s="41"/>
      <c r="AD169" s="41"/>
      <c r="AE169" s="41"/>
      <c r="AF169" s="41"/>
      <c r="AG169" s="450">
        <f>'AVT187In(vn-A)'!BI5</f>
        <v>0</v>
      </c>
      <c r="AH169" s="41"/>
      <c r="AI169" s="41"/>
      <c r="AJ169" s="41"/>
      <c r="AK169" s="450">
        <f>'AVT187In(vn-S)'!BI5</f>
        <v>0</v>
      </c>
      <c r="AL169" s="41"/>
      <c r="AM169" s="41"/>
      <c r="AN169" s="41"/>
      <c r="AO169" s="41"/>
      <c r="AP169" s="41"/>
      <c r="AQ169" s="41"/>
      <c r="AR169" s="41"/>
      <c r="AS169" s="41"/>
      <c r="AT169" s="41"/>
      <c r="AU169" s="450">
        <f>'AVT-celny-2x187In'!BI5</f>
        <v>0</v>
      </c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203"/>
      <c r="BP169" s="203"/>
      <c r="BQ169" s="203"/>
      <c r="BR169" s="203"/>
      <c r="BS169" s="203"/>
      <c r="BT169" s="203"/>
      <c r="BU169" s="203"/>
      <c r="BV169" s="203"/>
      <c r="BW169" s="62"/>
      <c r="BX169" s="185"/>
      <c r="BY169" s="35"/>
      <c r="BZ169" s="27"/>
      <c r="CA169" s="27"/>
      <c r="CB169" s="27"/>
      <c r="CC169" s="27"/>
      <c r="CD169" s="27"/>
      <c r="CE169" s="27"/>
      <c r="CF169" s="27"/>
    </row>
    <row r="170" spans="1:84" ht="15" customHeight="1">
      <c r="A170" s="4"/>
      <c r="B170" s="439">
        <f>IF($Q$8=$Q$7,CENY!B401,IF($Q$7=$Q$9,CENY!B415,CENY!B429))</f>
        <v>9257132</v>
      </c>
      <c r="C170" s="48" t="str">
        <f>VLOOKUP(B170,CENY!$B$11:$G$1034,2,FALSE)</f>
        <v>AVANTECH YOU BOK INLAY V187 MM NL350 MM STŘÍBRNÝ PRAVÝ</v>
      </c>
      <c r="D170" s="488">
        <f>VLOOKUP(B170,CENY!$B$11:$G$1034,3,FALSE)</f>
        <v>10</v>
      </c>
      <c r="E170" s="63" t="str">
        <f>IF(VLOOKUP(B170,CENY!$B$11:$G$1034,4,FALSE)=0,"",VLOOKUP(B170,CENY!$B$11:$G$1034,4,FALSE))</f>
        <v/>
      </c>
      <c r="F170" s="45" t="str">
        <f t="shared" si="28"/>
        <v/>
      </c>
      <c r="G170" s="59">
        <f>VLOOKUP(B170,CENY!$B$11:$M$1034,12,FALSE)</f>
        <v>324.87</v>
      </c>
      <c r="H170" s="61" t="str">
        <f t="shared" si="24"/>
        <v xml:space="preserve"> CZK</v>
      </c>
      <c r="I170" s="46" t="str">
        <f t="shared" si="25"/>
        <v/>
      </c>
      <c r="J170" s="138"/>
      <c r="K170" s="47">
        <f>VLOOKUP(B170,CENY!$B$11:$M$1034,8,FALSE)</f>
        <v>0</v>
      </c>
      <c r="L170" s="47" t="str">
        <f>VLOOKUP(B170,CENY!$B$11:$M$1034,9,FALSE)</f>
        <v xml:space="preserve"> </v>
      </c>
      <c r="M170" s="55"/>
      <c r="N170" s="38">
        <f t="shared" si="29"/>
        <v>0</v>
      </c>
      <c r="O170" s="39">
        <v>0</v>
      </c>
      <c r="P170" s="41"/>
      <c r="Q170" s="41"/>
      <c r="R170" s="41"/>
      <c r="S170" s="41"/>
      <c r="T170" s="41"/>
      <c r="U170" s="41"/>
      <c r="V170" s="41"/>
      <c r="W170" s="41"/>
      <c r="X170" s="41"/>
      <c r="Y170" s="450">
        <f>AVT187In!BI6</f>
        <v>0</v>
      </c>
      <c r="Z170" s="41"/>
      <c r="AA170" s="41"/>
      <c r="AB170" s="41"/>
      <c r="AC170" s="41"/>
      <c r="AD170" s="41"/>
      <c r="AE170" s="41"/>
      <c r="AF170" s="41"/>
      <c r="AG170" s="450">
        <f>'AVT187In(vn-A)'!BI6</f>
        <v>0</v>
      </c>
      <c r="AH170" s="41"/>
      <c r="AI170" s="41"/>
      <c r="AJ170" s="41"/>
      <c r="AK170" s="450">
        <f>'AVT187In(vn-S)'!BI6</f>
        <v>0</v>
      </c>
      <c r="AL170" s="41"/>
      <c r="AM170" s="41"/>
      <c r="AN170" s="41"/>
      <c r="AO170" s="41"/>
      <c r="AP170" s="41"/>
      <c r="AQ170" s="41"/>
      <c r="AR170" s="41"/>
      <c r="AS170" s="41"/>
      <c r="AT170" s="41"/>
      <c r="AU170" s="450">
        <f>'AVT-celny-2x187In'!BI6</f>
        <v>0</v>
      </c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203"/>
      <c r="BP170" s="203"/>
      <c r="BQ170" s="203"/>
      <c r="BR170" s="203"/>
      <c r="BS170" s="203"/>
      <c r="BT170" s="203"/>
      <c r="BU170" s="203"/>
      <c r="BV170" s="203"/>
      <c r="BW170" s="62"/>
      <c r="BX170" s="185"/>
      <c r="BY170" s="35"/>
      <c r="BZ170" s="27"/>
      <c r="CA170" s="27"/>
      <c r="CB170" s="27"/>
      <c r="CC170" s="27"/>
      <c r="CD170" s="27"/>
      <c r="CE170" s="27"/>
      <c r="CF170" s="27"/>
    </row>
    <row r="171" spans="1:84" ht="15" customHeight="1">
      <c r="A171" s="4"/>
      <c r="B171" s="439">
        <f>IF($Q$8=$Q$7,CENY!B402,IF($Q$7=$Q$9,CENY!B416,CENY!B430))</f>
        <v>9257133</v>
      </c>
      <c r="C171" s="48" t="str">
        <f>VLOOKUP(B171,CENY!$B$11:$G$1034,2,FALSE)</f>
        <v>AVANTECH YOU BOK INLAY V187 MM NL400 MM STŘÍBRNÝ LEVÝ</v>
      </c>
      <c r="D171" s="488">
        <f>VLOOKUP(B171,CENY!$B$11:$G$1034,3,FALSE)</f>
        <v>10</v>
      </c>
      <c r="E171" s="63" t="str">
        <f>IF(VLOOKUP(B171,CENY!$B$11:$G$1034,4,FALSE)=0,"",VLOOKUP(B171,CENY!$B$11:$G$1034,4,FALSE))</f>
        <v/>
      </c>
      <c r="F171" s="45" t="str">
        <f t="shared" si="28"/>
        <v/>
      </c>
      <c r="G171" s="59">
        <f>VLOOKUP(B171,CENY!$B$11:$M$1034,12,FALSE)</f>
        <v>330.74</v>
      </c>
      <c r="H171" s="61" t="str">
        <f t="shared" si="24"/>
        <v xml:space="preserve"> CZK</v>
      </c>
      <c r="I171" s="46" t="str">
        <f t="shared" si="25"/>
        <v/>
      </c>
      <c r="J171" s="138"/>
      <c r="K171" s="47">
        <f>VLOOKUP(B171,CENY!$B$11:$M$1034,8,FALSE)</f>
        <v>0</v>
      </c>
      <c r="L171" s="47" t="str">
        <f>VLOOKUP(B171,CENY!$B$11:$M$1034,9,FALSE)</f>
        <v xml:space="preserve"> </v>
      </c>
      <c r="M171" s="55"/>
      <c r="N171" s="38">
        <f t="shared" si="29"/>
        <v>0</v>
      </c>
      <c r="O171" s="39">
        <v>0</v>
      </c>
      <c r="P171" s="41"/>
      <c r="Q171" s="41"/>
      <c r="R171" s="41"/>
      <c r="S171" s="41"/>
      <c r="T171" s="41"/>
      <c r="U171" s="41"/>
      <c r="V171" s="41"/>
      <c r="W171" s="41"/>
      <c r="X171" s="41"/>
      <c r="Y171" s="450">
        <f>AVT187In!BI7</f>
        <v>0</v>
      </c>
      <c r="Z171" s="41"/>
      <c r="AA171" s="41"/>
      <c r="AB171" s="41"/>
      <c r="AC171" s="41"/>
      <c r="AD171" s="41"/>
      <c r="AE171" s="41"/>
      <c r="AF171" s="41"/>
      <c r="AG171" s="450">
        <f>'AVT187In(vn-A)'!BI7</f>
        <v>0</v>
      </c>
      <c r="AH171" s="41"/>
      <c r="AI171" s="41"/>
      <c r="AJ171" s="41"/>
      <c r="AK171" s="450">
        <f>'AVT187In(vn-S)'!BI7</f>
        <v>0</v>
      </c>
      <c r="AL171" s="41"/>
      <c r="AM171" s="41"/>
      <c r="AN171" s="41"/>
      <c r="AO171" s="41"/>
      <c r="AP171" s="41"/>
      <c r="AQ171" s="41"/>
      <c r="AR171" s="41"/>
      <c r="AS171" s="41"/>
      <c r="AT171" s="41"/>
      <c r="AU171" s="450">
        <f>'AVT-celny-2x187In'!BI7</f>
        <v>0</v>
      </c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203"/>
      <c r="BP171" s="203"/>
      <c r="BQ171" s="203"/>
      <c r="BR171" s="203"/>
      <c r="BS171" s="203"/>
      <c r="BT171" s="203"/>
      <c r="BU171" s="203"/>
      <c r="BV171" s="203"/>
      <c r="BW171" s="62"/>
      <c r="BX171" s="185"/>
      <c r="BY171" s="35"/>
      <c r="BZ171" s="27"/>
      <c r="CA171" s="27"/>
      <c r="CB171" s="27"/>
      <c r="CC171" s="27"/>
      <c r="CD171" s="27"/>
      <c r="CE171" s="27"/>
      <c r="CF171" s="27"/>
    </row>
    <row r="172" spans="1:84" ht="15" customHeight="1">
      <c r="A172" s="4"/>
      <c r="B172" s="439">
        <f>IF($Q$8=$Q$7,CENY!B403,IF($Q$7=$Q$9,CENY!B417,CENY!B431))</f>
        <v>9257134</v>
      </c>
      <c r="C172" s="48" t="str">
        <f>VLOOKUP(B172,CENY!$B$11:$G$1034,2,FALSE)</f>
        <v>AVANTECH YOU BOK INLAY V187 MM NL400 MM STŘÍBRNÝ PRAVÝ</v>
      </c>
      <c r="D172" s="488">
        <f>VLOOKUP(B172,CENY!$B$11:$G$1034,3,FALSE)</f>
        <v>10</v>
      </c>
      <c r="E172" s="63" t="str">
        <f>IF(VLOOKUP(B172,CENY!$B$11:$G$1034,4,FALSE)=0,"",VLOOKUP(B172,CENY!$B$11:$G$1034,4,FALSE))</f>
        <v/>
      </c>
      <c r="F172" s="45" t="str">
        <f t="shared" si="28"/>
        <v/>
      </c>
      <c r="G172" s="59">
        <f>VLOOKUP(B172,CENY!$B$11:$M$1034,12,FALSE)</f>
        <v>330.74</v>
      </c>
      <c r="H172" s="61" t="str">
        <f t="shared" si="24"/>
        <v xml:space="preserve"> CZK</v>
      </c>
      <c r="I172" s="46" t="str">
        <f t="shared" si="25"/>
        <v/>
      </c>
      <c r="J172" s="138"/>
      <c r="K172" s="47">
        <f>VLOOKUP(B172,CENY!$B$11:$M$1034,8,FALSE)</f>
        <v>0</v>
      </c>
      <c r="L172" s="47" t="str">
        <f>VLOOKUP(B172,CENY!$B$11:$M$1034,9,FALSE)</f>
        <v xml:space="preserve"> </v>
      </c>
      <c r="M172" s="55"/>
      <c r="N172" s="38">
        <f t="shared" si="29"/>
        <v>0</v>
      </c>
      <c r="O172" s="39">
        <v>0</v>
      </c>
      <c r="P172" s="41"/>
      <c r="Q172" s="41"/>
      <c r="R172" s="41"/>
      <c r="S172" s="41"/>
      <c r="T172" s="41"/>
      <c r="U172" s="41"/>
      <c r="V172" s="41"/>
      <c r="W172" s="41"/>
      <c r="X172" s="41"/>
      <c r="Y172" s="450">
        <f>AVT187In!BI8</f>
        <v>0</v>
      </c>
      <c r="Z172" s="41"/>
      <c r="AA172" s="41"/>
      <c r="AB172" s="41"/>
      <c r="AC172" s="41"/>
      <c r="AD172" s="41"/>
      <c r="AE172" s="41"/>
      <c r="AF172" s="41"/>
      <c r="AG172" s="450">
        <f>'AVT187In(vn-A)'!BI8</f>
        <v>0</v>
      </c>
      <c r="AH172" s="41"/>
      <c r="AI172" s="41"/>
      <c r="AJ172" s="41"/>
      <c r="AK172" s="450">
        <f>'AVT187In(vn-S)'!BI8</f>
        <v>0</v>
      </c>
      <c r="AL172" s="41"/>
      <c r="AM172" s="41"/>
      <c r="AN172" s="41"/>
      <c r="AO172" s="41"/>
      <c r="AP172" s="41"/>
      <c r="AQ172" s="41"/>
      <c r="AR172" s="41"/>
      <c r="AS172" s="41"/>
      <c r="AT172" s="41"/>
      <c r="AU172" s="450">
        <f>'AVT-celny-2x187In'!BI8</f>
        <v>0</v>
      </c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203"/>
      <c r="BP172" s="203"/>
      <c r="BQ172" s="203"/>
      <c r="BR172" s="203"/>
      <c r="BS172" s="203"/>
      <c r="BT172" s="203"/>
      <c r="BU172" s="203"/>
      <c r="BV172" s="203"/>
      <c r="BW172" s="62"/>
      <c r="BX172" s="185"/>
      <c r="BY172" s="35"/>
      <c r="BZ172" s="27"/>
      <c r="CA172" s="27"/>
      <c r="CB172" s="27"/>
      <c r="CC172" s="27"/>
      <c r="CD172" s="27"/>
      <c r="CE172" s="27"/>
      <c r="CF172" s="27"/>
    </row>
    <row r="173" spans="1:84" ht="15" customHeight="1">
      <c r="A173" s="4"/>
      <c r="B173" s="439">
        <f>IF($Q$8=$Q$7,CENY!B404,IF($Q$7=$Q$9,CENY!B418,CENY!B432))</f>
        <v>9257135</v>
      </c>
      <c r="C173" s="48" t="str">
        <f>VLOOKUP(B173,CENY!$B$11:$G$1034,2,FALSE)</f>
        <v>AVANTECH YOU BOK INLAY V187 MM NL450 MM STŘÍBRNÝ LEVÝ</v>
      </c>
      <c r="D173" s="488">
        <f>VLOOKUP(B173,CENY!$B$11:$G$1034,3,FALSE)</f>
        <v>10</v>
      </c>
      <c r="E173" s="63" t="str">
        <f>IF(VLOOKUP(B173,CENY!$B$11:$G$1034,4,FALSE)=0,"",VLOOKUP(B173,CENY!$B$11:$G$1034,4,FALSE))</f>
        <v/>
      </c>
      <c r="F173" s="45" t="str">
        <f t="shared" si="28"/>
        <v/>
      </c>
      <c r="G173" s="59">
        <f>VLOOKUP(B173,CENY!$B$11:$M$1034,12,FALSE)</f>
        <v>336.61</v>
      </c>
      <c r="H173" s="61" t="str">
        <f t="shared" si="24"/>
        <v xml:space="preserve"> CZK</v>
      </c>
      <c r="I173" s="46" t="str">
        <f t="shared" si="25"/>
        <v/>
      </c>
      <c r="J173" s="138"/>
      <c r="K173" s="47">
        <f>VLOOKUP(B173,CENY!$B$11:$M$1034,8,FALSE)</f>
        <v>0</v>
      </c>
      <c r="L173" s="47" t="str">
        <f>VLOOKUP(B173,CENY!$B$11:$M$1034,9,FALSE)</f>
        <v xml:space="preserve"> </v>
      </c>
      <c r="M173" s="55"/>
      <c r="N173" s="38">
        <f t="shared" si="29"/>
        <v>0</v>
      </c>
      <c r="O173" s="39">
        <v>0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50">
        <f>AVT187In!BI9</f>
        <v>0</v>
      </c>
      <c r="Z173" s="41"/>
      <c r="AA173" s="41"/>
      <c r="AB173" s="41"/>
      <c r="AC173" s="41"/>
      <c r="AD173" s="41"/>
      <c r="AE173" s="41"/>
      <c r="AF173" s="41"/>
      <c r="AG173" s="450">
        <f>'AVT187In(vn-A)'!BI9</f>
        <v>0</v>
      </c>
      <c r="AH173" s="41"/>
      <c r="AI173" s="41"/>
      <c r="AJ173" s="41"/>
      <c r="AK173" s="450">
        <f>'AVT187In(vn-S)'!BI9</f>
        <v>0</v>
      </c>
      <c r="AL173" s="41"/>
      <c r="AM173" s="41"/>
      <c r="AN173" s="41"/>
      <c r="AO173" s="41"/>
      <c r="AP173" s="41"/>
      <c r="AQ173" s="41"/>
      <c r="AR173" s="41"/>
      <c r="AS173" s="41"/>
      <c r="AT173" s="41"/>
      <c r="AU173" s="450">
        <f>'AVT-celny-2x187In'!BI9</f>
        <v>0</v>
      </c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203"/>
      <c r="BP173" s="203"/>
      <c r="BQ173" s="203"/>
      <c r="BR173" s="203"/>
      <c r="BS173" s="203"/>
      <c r="BT173" s="203"/>
      <c r="BU173" s="203"/>
      <c r="BV173" s="203"/>
      <c r="BW173" s="62"/>
      <c r="BX173" s="185"/>
      <c r="BY173" s="35"/>
      <c r="BZ173" s="27"/>
      <c r="CA173" s="27"/>
      <c r="CB173" s="27"/>
      <c r="CC173" s="27"/>
      <c r="CD173" s="27"/>
      <c r="CE173" s="27"/>
      <c r="CF173" s="27"/>
    </row>
    <row r="174" spans="1:84" ht="15" customHeight="1">
      <c r="A174" s="4"/>
      <c r="B174" s="439">
        <f>IF($Q$8=$Q$7,CENY!B405,IF($Q$7=$Q$9,CENY!B419,CENY!B433))</f>
        <v>9257136</v>
      </c>
      <c r="C174" s="48" t="str">
        <f>VLOOKUP(B174,CENY!$B$11:$G$1034,2,FALSE)</f>
        <v>AVANTECH YOU BOK INLAY V187 MM NL450 MM STŘÍBRNÝ PRAVÝ</v>
      </c>
      <c r="D174" s="488">
        <f>VLOOKUP(B174,CENY!$B$11:$G$1034,3,FALSE)</f>
        <v>10</v>
      </c>
      <c r="E174" s="63" t="str">
        <f>IF(VLOOKUP(B174,CENY!$B$11:$G$1034,4,FALSE)=0,"",VLOOKUP(B174,CENY!$B$11:$G$1034,4,FALSE))</f>
        <v/>
      </c>
      <c r="F174" s="45" t="str">
        <f t="shared" si="28"/>
        <v/>
      </c>
      <c r="G174" s="59">
        <f>VLOOKUP(B174,CENY!$B$11:$M$1034,12,FALSE)</f>
        <v>336.61</v>
      </c>
      <c r="H174" s="61" t="str">
        <f t="shared" si="24"/>
        <v xml:space="preserve"> CZK</v>
      </c>
      <c r="I174" s="46" t="str">
        <f t="shared" si="25"/>
        <v/>
      </c>
      <c r="J174" s="138"/>
      <c r="K174" s="47">
        <f>VLOOKUP(B174,CENY!$B$11:$M$1034,8,FALSE)</f>
        <v>0</v>
      </c>
      <c r="L174" s="47" t="str">
        <f>VLOOKUP(B174,CENY!$B$11:$M$1034,9,FALSE)</f>
        <v xml:space="preserve"> </v>
      </c>
      <c r="M174" s="55"/>
      <c r="N174" s="38">
        <f t="shared" si="29"/>
        <v>0</v>
      </c>
      <c r="O174" s="39">
        <v>0</v>
      </c>
      <c r="P174" s="41"/>
      <c r="Q174" s="41"/>
      <c r="R174" s="41"/>
      <c r="S174" s="41"/>
      <c r="T174" s="41"/>
      <c r="U174" s="41"/>
      <c r="V174" s="41"/>
      <c r="W174" s="41"/>
      <c r="X174" s="41"/>
      <c r="Y174" s="450">
        <f>AVT187In!BI10</f>
        <v>0</v>
      </c>
      <c r="Z174" s="41"/>
      <c r="AA174" s="41"/>
      <c r="AB174" s="41"/>
      <c r="AC174" s="41"/>
      <c r="AD174" s="41"/>
      <c r="AE174" s="41"/>
      <c r="AF174" s="41"/>
      <c r="AG174" s="450">
        <f>'AVT187In(vn-A)'!BI10</f>
        <v>0</v>
      </c>
      <c r="AH174" s="41"/>
      <c r="AI174" s="41"/>
      <c r="AJ174" s="41"/>
      <c r="AK174" s="450">
        <f>'AVT187In(vn-S)'!BI10</f>
        <v>0</v>
      </c>
      <c r="AL174" s="41"/>
      <c r="AM174" s="41"/>
      <c r="AN174" s="41"/>
      <c r="AO174" s="41"/>
      <c r="AP174" s="41"/>
      <c r="AQ174" s="41"/>
      <c r="AR174" s="41"/>
      <c r="AS174" s="41"/>
      <c r="AT174" s="41"/>
      <c r="AU174" s="450">
        <f>'AVT-celny-2x187In'!BI10</f>
        <v>0</v>
      </c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203"/>
      <c r="BP174" s="203"/>
      <c r="BQ174" s="203"/>
      <c r="BR174" s="203"/>
      <c r="BS174" s="203"/>
      <c r="BT174" s="203"/>
      <c r="BU174" s="203"/>
      <c r="BV174" s="203"/>
      <c r="BW174" s="62"/>
      <c r="BX174" s="185"/>
      <c r="BY174" s="35"/>
      <c r="BZ174" s="27"/>
      <c r="CA174" s="27"/>
      <c r="CB174" s="27"/>
      <c r="CC174" s="27"/>
      <c r="CD174" s="27"/>
      <c r="CE174" s="27"/>
      <c r="CF174" s="27"/>
    </row>
    <row r="175" spans="1:84" ht="15" customHeight="1">
      <c r="A175" s="4"/>
      <c r="B175" s="439">
        <f>IF($Q$8=$Q$7,CENY!B406,IF($Q$7=$Q$9,CENY!B420,CENY!B434))</f>
        <v>9257137</v>
      </c>
      <c r="C175" s="48" t="str">
        <f>VLOOKUP(B175,CENY!$B$11:$G$1034,2,FALSE)</f>
        <v>AVANTECH YOU BOK INLAY V187 MM NL500 MM STŘÍBRNÝ LEVÝ</v>
      </c>
      <c r="D175" s="488">
        <f>VLOOKUP(B175,CENY!$B$11:$G$1034,3,FALSE)</f>
        <v>10</v>
      </c>
      <c r="E175" s="63" t="str">
        <f>IF(VLOOKUP(B175,CENY!$B$11:$G$1034,4,FALSE)=0,"",VLOOKUP(B175,CENY!$B$11:$G$1034,4,FALSE))</f>
        <v/>
      </c>
      <c r="F175" s="45" t="str">
        <f t="shared" si="28"/>
        <v/>
      </c>
      <c r="G175" s="59">
        <f>VLOOKUP(B175,CENY!$B$11:$M$1034,12,FALSE)</f>
        <v>342.48</v>
      </c>
      <c r="H175" s="61" t="str">
        <f t="shared" si="24"/>
        <v xml:space="preserve"> CZK</v>
      </c>
      <c r="I175" s="46" t="str">
        <f t="shared" si="25"/>
        <v/>
      </c>
      <c r="J175" s="138"/>
      <c r="K175" s="47">
        <f>VLOOKUP(B175,CENY!$B$11:$M$1034,8,FALSE)</f>
        <v>0</v>
      </c>
      <c r="L175" s="47" t="str">
        <f>VLOOKUP(B175,CENY!$B$11:$M$1034,9,FALSE)</f>
        <v xml:space="preserve"> </v>
      </c>
      <c r="M175" s="55"/>
      <c r="N175" s="38">
        <f t="shared" si="29"/>
        <v>0</v>
      </c>
      <c r="O175" s="39">
        <v>0</v>
      </c>
      <c r="P175" s="41"/>
      <c r="Q175" s="41"/>
      <c r="R175" s="41"/>
      <c r="S175" s="41"/>
      <c r="T175" s="41"/>
      <c r="U175" s="41"/>
      <c r="V175" s="41"/>
      <c r="W175" s="41"/>
      <c r="X175" s="41"/>
      <c r="Y175" s="450">
        <f>AVT187In!BI11</f>
        <v>0</v>
      </c>
      <c r="Z175" s="41"/>
      <c r="AA175" s="41"/>
      <c r="AB175" s="41"/>
      <c r="AC175" s="41"/>
      <c r="AD175" s="41"/>
      <c r="AE175" s="41"/>
      <c r="AF175" s="41"/>
      <c r="AG175" s="450">
        <f>'AVT187In(vn-A)'!BI11</f>
        <v>0</v>
      </c>
      <c r="AH175" s="41"/>
      <c r="AI175" s="41"/>
      <c r="AJ175" s="41"/>
      <c r="AK175" s="450">
        <f>'AVT187In(vn-S)'!BI11</f>
        <v>0</v>
      </c>
      <c r="AL175" s="41"/>
      <c r="AM175" s="41"/>
      <c r="AN175" s="41"/>
      <c r="AO175" s="41"/>
      <c r="AP175" s="41"/>
      <c r="AQ175" s="41"/>
      <c r="AR175" s="41"/>
      <c r="AS175" s="41"/>
      <c r="AT175" s="41"/>
      <c r="AU175" s="450">
        <f>'AVT-celny-2x187In'!BI11</f>
        <v>0</v>
      </c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203"/>
      <c r="BP175" s="203"/>
      <c r="BQ175" s="203"/>
      <c r="BR175" s="203"/>
      <c r="BS175" s="203"/>
      <c r="BT175" s="203"/>
      <c r="BU175" s="203"/>
      <c r="BV175" s="203"/>
      <c r="BW175" s="62"/>
      <c r="BX175" s="185"/>
      <c r="BY175" s="35"/>
      <c r="BZ175" s="27"/>
      <c r="CA175" s="27"/>
      <c r="CB175" s="27"/>
      <c r="CC175" s="27"/>
      <c r="CD175" s="27"/>
      <c r="CE175" s="27"/>
      <c r="CF175" s="27"/>
    </row>
    <row r="176" spans="1:84" ht="15" customHeight="1">
      <c r="A176" s="4"/>
      <c r="B176" s="439">
        <f>IF($Q$8=$Q$7,CENY!B407,IF($Q$7=$Q$9,CENY!B421,CENY!B435))</f>
        <v>9257138</v>
      </c>
      <c r="C176" s="48" t="str">
        <f>VLOOKUP(B176,CENY!$B$11:$G$1034,2,FALSE)</f>
        <v>AVANTECH YOU BOK INLAY V187 MM NL500 MM STŘÍBRNÝ PRAVÝ</v>
      </c>
      <c r="D176" s="488">
        <f>VLOOKUP(B176,CENY!$B$11:$G$1034,3,FALSE)</f>
        <v>10</v>
      </c>
      <c r="E176" s="63" t="str">
        <f>IF(VLOOKUP(B176,CENY!$B$11:$G$1034,4,FALSE)=0,"",VLOOKUP(B176,CENY!$B$11:$G$1034,4,FALSE))</f>
        <v/>
      </c>
      <c r="F176" s="45" t="str">
        <f t="shared" si="28"/>
        <v/>
      </c>
      <c r="G176" s="59">
        <f>VLOOKUP(B176,CENY!$B$11:$M$1034,12,FALSE)</f>
        <v>342.48</v>
      </c>
      <c r="H176" s="61" t="str">
        <f t="shared" si="24"/>
        <v xml:space="preserve"> CZK</v>
      </c>
      <c r="I176" s="46" t="str">
        <f t="shared" si="25"/>
        <v/>
      </c>
      <c r="J176" s="138"/>
      <c r="K176" s="47">
        <f>VLOOKUP(B176,CENY!$B$11:$M$1034,8,FALSE)</f>
        <v>0</v>
      </c>
      <c r="L176" s="47" t="str">
        <f>VLOOKUP(B176,CENY!$B$11:$M$1034,9,FALSE)</f>
        <v xml:space="preserve"> </v>
      </c>
      <c r="M176" s="55"/>
      <c r="N176" s="38">
        <f t="shared" si="29"/>
        <v>0</v>
      </c>
      <c r="O176" s="39">
        <v>0</v>
      </c>
      <c r="P176" s="41"/>
      <c r="Q176" s="41"/>
      <c r="R176" s="41"/>
      <c r="S176" s="41"/>
      <c r="T176" s="41"/>
      <c r="U176" s="41"/>
      <c r="V176" s="41"/>
      <c r="W176" s="41"/>
      <c r="X176" s="41"/>
      <c r="Y176" s="450">
        <f>AVT187In!BI12</f>
        <v>0</v>
      </c>
      <c r="Z176" s="41"/>
      <c r="AA176" s="41"/>
      <c r="AB176" s="41"/>
      <c r="AC176" s="41"/>
      <c r="AD176" s="41"/>
      <c r="AE176" s="41"/>
      <c r="AF176" s="41"/>
      <c r="AG176" s="450">
        <f>'AVT187In(vn-A)'!BI12</f>
        <v>0</v>
      </c>
      <c r="AH176" s="41"/>
      <c r="AI176" s="41"/>
      <c r="AJ176" s="41"/>
      <c r="AK176" s="450">
        <f>'AVT187In(vn-S)'!BI12</f>
        <v>0</v>
      </c>
      <c r="AL176" s="41"/>
      <c r="AM176" s="41"/>
      <c r="AN176" s="41"/>
      <c r="AO176" s="41"/>
      <c r="AP176" s="41"/>
      <c r="AQ176" s="41"/>
      <c r="AR176" s="41"/>
      <c r="AS176" s="41"/>
      <c r="AT176" s="41"/>
      <c r="AU176" s="450">
        <f>'AVT-celny-2x187In'!BI12</f>
        <v>0</v>
      </c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203"/>
      <c r="BP176" s="203"/>
      <c r="BQ176" s="203"/>
      <c r="BR176" s="203"/>
      <c r="BS176" s="203"/>
      <c r="BT176" s="203"/>
      <c r="BU176" s="203"/>
      <c r="BV176" s="203"/>
      <c r="BW176" s="62"/>
      <c r="BX176" s="185"/>
      <c r="BY176" s="35"/>
      <c r="BZ176" s="27"/>
      <c r="CA176" s="27"/>
      <c r="CB176" s="27"/>
      <c r="CC176" s="27"/>
      <c r="CD176" s="27"/>
      <c r="CE176" s="27"/>
      <c r="CF176" s="27"/>
    </row>
    <row r="177" spans="1:84" ht="15" customHeight="1">
      <c r="A177" s="4"/>
      <c r="B177" s="439">
        <f>IF($Q$8=$Q$7,CENY!B408,IF($Q$7=$Q$9,CENY!B422,CENY!B436))</f>
        <v>9257139</v>
      </c>
      <c r="C177" s="48" t="str">
        <f>VLOOKUP(B177,CENY!$B$11:$G$1034,2,FALSE)</f>
        <v>AVANTECH YOU BOK INLAY V187 MM NL550 MM STŘÍBRNÝ LEVÝ</v>
      </c>
      <c r="D177" s="488">
        <f>VLOOKUP(B177,CENY!$B$11:$G$1034,3,FALSE)</f>
        <v>10</v>
      </c>
      <c r="E177" s="63" t="str">
        <f>IF(VLOOKUP(B177,CENY!$B$11:$G$1034,4,FALSE)=0,"",VLOOKUP(B177,CENY!$B$11:$G$1034,4,FALSE))</f>
        <v/>
      </c>
      <c r="F177" s="45" t="str">
        <f t="shared" si="28"/>
        <v/>
      </c>
      <c r="G177" s="59">
        <f>VLOOKUP(B177,CENY!$B$11:$M$1034,12,FALSE)</f>
        <v>348.35</v>
      </c>
      <c r="H177" s="61" t="str">
        <f t="shared" si="24"/>
        <v xml:space="preserve"> CZK</v>
      </c>
      <c r="I177" s="46" t="str">
        <f t="shared" si="25"/>
        <v/>
      </c>
      <c r="J177" s="138"/>
      <c r="K177" s="47">
        <f>VLOOKUP(B177,CENY!$B$11:$M$1034,8,FALSE)</f>
        <v>0</v>
      </c>
      <c r="L177" s="47" t="str">
        <f>VLOOKUP(B177,CENY!$B$11:$M$1034,9,FALSE)</f>
        <v xml:space="preserve"> </v>
      </c>
      <c r="M177" s="55"/>
      <c r="N177" s="38">
        <f t="shared" si="29"/>
        <v>0</v>
      </c>
      <c r="O177" s="39">
        <v>0</v>
      </c>
      <c r="P177" s="41"/>
      <c r="Q177" s="41"/>
      <c r="R177" s="41"/>
      <c r="S177" s="41"/>
      <c r="T177" s="41"/>
      <c r="U177" s="41"/>
      <c r="V177" s="41"/>
      <c r="W177" s="41"/>
      <c r="X177" s="41"/>
      <c r="Y177" s="450">
        <f>AVT187In!BI13</f>
        <v>0</v>
      </c>
      <c r="Z177" s="41"/>
      <c r="AA177" s="41"/>
      <c r="AB177" s="41"/>
      <c r="AC177" s="41"/>
      <c r="AD177" s="41"/>
      <c r="AE177" s="41"/>
      <c r="AF177" s="41"/>
      <c r="AG177" s="450">
        <f>'AVT187In(vn-A)'!BI13</f>
        <v>0</v>
      </c>
      <c r="AH177" s="41"/>
      <c r="AI177" s="41"/>
      <c r="AJ177" s="41"/>
      <c r="AK177" s="450">
        <f>'AVT187In(vn-S)'!BI13</f>
        <v>0</v>
      </c>
      <c r="AL177" s="41"/>
      <c r="AM177" s="41"/>
      <c r="AN177" s="41"/>
      <c r="AO177" s="41"/>
      <c r="AP177" s="41"/>
      <c r="AQ177" s="41"/>
      <c r="AR177" s="41"/>
      <c r="AS177" s="41"/>
      <c r="AT177" s="41"/>
      <c r="AU177" s="450">
        <f>'AVT-celny-2x187In'!BI13</f>
        <v>0</v>
      </c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203"/>
      <c r="BP177" s="203"/>
      <c r="BQ177" s="203"/>
      <c r="BR177" s="203"/>
      <c r="BS177" s="203"/>
      <c r="BT177" s="203"/>
      <c r="BU177" s="203"/>
      <c r="BV177" s="203"/>
      <c r="BW177" s="62"/>
      <c r="BX177" s="185"/>
      <c r="BY177" s="35"/>
      <c r="BZ177" s="27"/>
      <c r="CA177" s="27"/>
      <c r="CB177" s="27"/>
      <c r="CC177" s="27"/>
      <c r="CD177" s="27"/>
      <c r="CE177" s="27"/>
      <c r="CF177" s="27"/>
    </row>
    <row r="178" spans="1:84" ht="15" customHeight="1">
      <c r="A178" s="4"/>
      <c r="B178" s="439">
        <f>IF($Q$8=$Q$7,CENY!B409,IF($Q$7=$Q$9,CENY!B423,CENY!B437))</f>
        <v>9257140</v>
      </c>
      <c r="C178" s="48" t="str">
        <f>VLOOKUP(B178,CENY!$B$11:$G$1034,2,FALSE)</f>
        <v>AVANTECH YOU BOK INLAY V187 MM NL550 MM STŘÍBRNÝ PRAVÝ</v>
      </c>
      <c r="D178" s="488">
        <f>VLOOKUP(B178,CENY!$B$11:$G$1034,3,FALSE)</f>
        <v>10</v>
      </c>
      <c r="E178" s="63" t="str">
        <f>IF(VLOOKUP(B178,CENY!$B$11:$G$1034,4,FALSE)=0,"",VLOOKUP(B178,CENY!$B$11:$G$1034,4,FALSE))</f>
        <v/>
      </c>
      <c r="F178" s="45" t="str">
        <f t="shared" si="28"/>
        <v/>
      </c>
      <c r="G178" s="59">
        <f>VLOOKUP(B178,CENY!$B$11:$M$1034,12,FALSE)</f>
        <v>348.35</v>
      </c>
      <c r="H178" s="61" t="str">
        <f t="shared" si="24"/>
        <v xml:space="preserve"> CZK</v>
      </c>
      <c r="I178" s="46" t="str">
        <f t="shared" si="25"/>
        <v/>
      </c>
      <c r="J178" s="138"/>
      <c r="K178" s="47">
        <f>VLOOKUP(B178,CENY!$B$11:$M$1034,8,FALSE)</f>
        <v>0</v>
      </c>
      <c r="L178" s="47" t="str">
        <f>VLOOKUP(B178,CENY!$B$11:$M$1034,9,FALSE)</f>
        <v xml:space="preserve"> </v>
      </c>
      <c r="M178" s="55"/>
      <c r="N178" s="38">
        <f t="shared" si="29"/>
        <v>0</v>
      </c>
      <c r="O178" s="39">
        <v>0</v>
      </c>
      <c r="P178" s="41"/>
      <c r="Q178" s="41"/>
      <c r="R178" s="41"/>
      <c r="S178" s="41"/>
      <c r="T178" s="41"/>
      <c r="U178" s="41"/>
      <c r="V178" s="41"/>
      <c r="W178" s="41"/>
      <c r="X178" s="41"/>
      <c r="Y178" s="450">
        <f>AVT187In!BI14</f>
        <v>0</v>
      </c>
      <c r="Z178" s="41"/>
      <c r="AA178" s="41"/>
      <c r="AB178" s="41"/>
      <c r="AC178" s="41"/>
      <c r="AD178" s="41"/>
      <c r="AE178" s="41"/>
      <c r="AF178" s="41"/>
      <c r="AG178" s="450">
        <f>'AVT187In(vn-A)'!BI14</f>
        <v>0</v>
      </c>
      <c r="AH178" s="41"/>
      <c r="AI178" s="41"/>
      <c r="AJ178" s="41"/>
      <c r="AK178" s="450">
        <f>'AVT187In(vn-S)'!BI14</f>
        <v>0</v>
      </c>
      <c r="AL178" s="41"/>
      <c r="AM178" s="41"/>
      <c r="AN178" s="41"/>
      <c r="AO178" s="41"/>
      <c r="AP178" s="41"/>
      <c r="AQ178" s="41"/>
      <c r="AR178" s="41"/>
      <c r="AS178" s="41"/>
      <c r="AT178" s="41"/>
      <c r="AU178" s="450">
        <f>'AVT-celny-2x187In'!BI14</f>
        <v>0</v>
      </c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203"/>
      <c r="BP178" s="203"/>
      <c r="BQ178" s="203"/>
      <c r="BR178" s="203"/>
      <c r="BS178" s="203"/>
      <c r="BT178" s="203"/>
      <c r="BU178" s="203"/>
      <c r="BV178" s="203"/>
      <c r="BW178" s="62"/>
      <c r="BX178" s="185"/>
      <c r="BY178" s="35"/>
      <c r="BZ178" s="27"/>
      <c r="CA178" s="27"/>
      <c r="CB178" s="27"/>
      <c r="CC178" s="27"/>
      <c r="CD178" s="27"/>
      <c r="CE178" s="27"/>
      <c r="CF178" s="27"/>
    </row>
    <row r="179" spans="1:84" ht="15" customHeight="1">
      <c r="A179" s="4"/>
      <c r="B179" s="439">
        <f>IF($Q$8=$Q$7,CENY!B410,IF($Q$7=$Q$9,CENY!B424,CENY!B438))</f>
        <v>9257141</v>
      </c>
      <c r="C179" s="48" t="str">
        <f>VLOOKUP(B179,CENY!$B$11:$G$1034,2,FALSE)</f>
        <v>AVANTECH YOU BOK INLAY V187 MM NL600 MM STŘÍBRNÝ LEVÝ</v>
      </c>
      <c r="D179" s="488">
        <f>VLOOKUP(B179,CENY!$B$11:$G$1034,3,FALSE)</f>
        <v>10</v>
      </c>
      <c r="E179" s="63" t="str">
        <f>IF(VLOOKUP(B179,CENY!$B$11:$G$1034,4,FALSE)=0,"",VLOOKUP(B179,CENY!$B$11:$G$1034,4,FALSE))</f>
        <v/>
      </c>
      <c r="F179" s="45" t="str">
        <f t="shared" si="28"/>
        <v/>
      </c>
      <c r="G179" s="59">
        <f>VLOOKUP(B179,CENY!$B$11:$M$1034,12,FALSE)</f>
        <v>357.21</v>
      </c>
      <c r="H179" s="61" t="str">
        <f t="shared" si="24"/>
        <v xml:space="preserve"> CZK</v>
      </c>
      <c r="I179" s="46" t="str">
        <f t="shared" si="25"/>
        <v/>
      </c>
      <c r="J179" s="138"/>
      <c r="K179" s="47">
        <f>VLOOKUP(B179,CENY!$B$11:$M$1034,8,FALSE)</f>
        <v>0</v>
      </c>
      <c r="L179" s="47" t="str">
        <f>VLOOKUP(B179,CENY!$B$11:$M$1034,9,FALSE)</f>
        <v xml:space="preserve"> </v>
      </c>
      <c r="M179" s="55"/>
      <c r="N179" s="38">
        <f t="shared" si="29"/>
        <v>0</v>
      </c>
      <c r="O179" s="39">
        <v>0</v>
      </c>
      <c r="P179" s="41"/>
      <c r="Q179" s="41"/>
      <c r="R179" s="41"/>
      <c r="S179" s="41"/>
      <c r="T179" s="41"/>
      <c r="U179" s="41"/>
      <c r="V179" s="41"/>
      <c r="W179" s="41"/>
      <c r="X179" s="41"/>
      <c r="Y179" s="450">
        <f>AVT187In!BI15</f>
        <v>0</v>
      </c>
      <c r="Z179" s="41"/>
      <c r="AA179" s="41"/>
      <c r="AB179" s="41"/>
      <c r="AC179" s="41"/>
      <c r="AD179" s="41"/>
      <c r="AE179" s="41"/>
      <c r="AF179" s="41"/>
      <c r="AG179" s="450">
        <f>'AVT187In(vn-A)'!BI15</f>
        <v>0</v>
      </c>
      <c r="AH179" s="41"/>
      <c r="AI179" s="41"/>
      <c r="AJ179" s="41"/>
      <c r="AK179" s="450">
        <f>'AVT187In(vn-S)'!BI15</f>
        <v>0</v>
      </c>
      <c r="AL179" s="41"/>
      <c r="AM179" s="41"/>
      <c r="AN179" s="41"/>
      <c r="AO179" s="41"/>
      <c r="AP179" s="41"/>
      <c r="AQ179" s="41"/>
      <c r="AR179" s="41"/>
      <c r="AS179" s="41"/>
      <c r="AT179" s="41"/>
      <c r="AU179" s="450">
        <f>'AVT-celny-2x187In'!BI15</f>
        <v>0</v>
      </c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203"/>
      <c r="BP179" s="203"/>
      <c r="BQ179" s="203"/>
      <c r="BR179" s="203"/>
      <c r="BS179" s="203"/>
      <c r="BT179" s="203"/>
      <c r="BU179" s="203"/>
      <c r="BV179" s="203"/>
      <c r="BW179" s="62"/>
      <c r="BX179" s="185"/>
      <c r="BY179" s="35"/>
      <c r="BZ179" s="27"/>
      <c r="CA179" s="27"/>
      <c r="CB179" s="27"/>
      <c r="CC179" s="27"/>
      <c r="CD179" s="27"/>
      <c r="CE179" s="27"/>
      <c r="CF179" s="27"/>
    </row>
    <row r="180" spans="1:84" ht="15" customHeight="1">
      <c r="A180" s="4"/>
      <c r="B180" s="439">
        <f>IF($Q$8=$Q$7,CENY!B411,IF($Q$7=$Q$9,CENY!B425,CENY!B439))</f>
        <v>9257142</v>
      </c>
      <c r="C180" s="48" t="str">
        <f>VLOOKUP(B180,CENY!$B$11:$G$1034,2,FALSE)</f>
        <v>AVANTECH YOU BOK INLAY V187 MM NL600 MM STŘÍBRNÝ PRAVÝ</v>
      </c>
      <c r="D180" s="488">
        <f>VLOOKUP(B180,CENY!$B$11:$G$1034,3,FALSE)</f>
        <v>10</v>
      </c>
      <c r="E180" s="63" t="str">
        <f>IF(VLOOKUP(B180,CENY!$B$11:$G$1034,4,FALSE)=0,"",VLOOKUP(B180,CENY!$B$11:$G$1034,4,FALSE))</f>
        <v/>
      </c>
      <c r="F180" s="45" t="str">
        <f t="shared" si="28"/>
        <v/>
      </c>
      <c r="G180" s="59">
        <f>VLOOKUP(B180,CENY!$B$11:$M$1034,12,FALSE)</f>
        <v>357.21</v>
      </c>
      <c r="H180" s="61" t="str">
        <f t="shared" si="24"/>
        <v xml:space="preserve"> CZK</v>
      </c>
      <c r="I180" s="46" t="str">
        <f t="shared" si="25"/>
        <v/>
      </c>
      <c r="J180" s="138"/>
      <c r="K180" s="47">
        <f>VLOOKUP(B180,CENY!$B$11:$M$1034,8,FALSE)</f>
        <v>0</v>
      </c>
      <c r="L180" s="47" t="str">
        <f>VLOOKUP(B180,CENY!$B$11:$M$1034,9,FALSE)</f>
        <v xml:space="preserve"> </v>
      </c>
      <c r="M180" s="55"/>
      <c r="N180" s="38">
        <f t="shared" si="29"/>
        <v>0</v>
      </c>
      <c r="O180" s="39">
        <v>0</v>
      </c>
      <c r="P180" s="41"/>
      <c r="Q180" s="41"/>
      <c r="R180" s="41"/>
      <c r="S180" s="41"/>
      <c r="T180" s="41"/>
      <c r="U180" s="41"/>
      <c r="V180" s="41"/>
      <c r="W180" s="41"/>
      <c r="X180" s="41"/>
      <c r="Y180" s="450">
        <f>AVT187In!BI16</f>
        <v>0</v>
      </c>
      <c r="Z180" s="41"/>
      <c r="AA180" s="41"/>
      <c r="AB180" s="41"/>
      <c r="AC180" s="41"/>
      <c r="AD180" s="41"/>
      <c r="AE180" s="41"/>
      <c r="AF180" s="41"/>
      <c r="AG180" s="450">
        <f>'AVT187In(vn-A)'!BI16</f>
        <v>0</v>
      </c>
      <c r="AH180" s="41"/>
      <c r="AI180" s="41"/>
      <c r="AJ180" s="41"/>
      <c r="AK180" s="450">
        <f>'AVT187In(vn-S)'!BI16</f>
        <v>0</v>
      </c>
      <c r="AL180" s="41"/>
      <c r="AM180" s="41"/>
      <c r="AN180" s="41"/>
      <c r="AO180" s="41"/>
      <c r="AP180" s="41"/>
      <c r="AQ180" s="41"/>
      <c r="AR180" s="41"/>
      <c r="AS180" s="41"/>
      <c r="AT180" s="41"/>
      <c r="AU180" s="450">
        <f>'AVT-celny-2x187In'!BI16</f>
        <v>0</v>
      </c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203"/>
      <c r="BP180" s="203"/>
      <c r="BQ180" s="203"/>
      <c r="BR180" s="203"/>
      <c r="BS180" s="203"/>
      <c r="BT180" s="203"/>
      <c r="BU180" s="203"/>
      <c r="BV180" s="203"/>
      <c r="BW180" s="62"/>
      <c r="BX180" s="185"/>
      <c r="BY180" s="35"/>
      <c r="BZ180" s="27"/>
      <c r="CA180" s="27"/>
      <c r="CB180" s="27"/>
      <c r="CC180" s="27"/>
      <c r="CD180" s="27"/>
      <c r="CE180" s="27"/>
      <c r="CF180" s="27"/>
    </row>
    <row r="181" spans="1:84" ht="15" customHeight="1">
      <c r="A181" s="4"/>
      <c r="B181" s="439">
        <f>IF($Q$8=$Q$7,CENY!B412,IF($Q$7=$Q$9,CENY!B426,CENY!B440))</f>
        <v>9257143</v>
      </c>
      <c r="C181" s="48" t="str">
        <f>VLOOKUP(B181,CENY!$B$11:$G$1034,2,FALSE)</f>
        <v>AVANTECH YOU BOK INLAY V187 MM NL650 MM STŘÍBRNÝ LEVÝ</v>
      </c>
      <c r="D181" s="488">
        <f>VLOOKUP(B181,CENY!$B$11:$G$1034,3,FALSE)</f>
        <v>10</v>
      </c>
      <c r="E181" s="63" t="str">
        <f>IF(VLOOKUP(B181,CENY!$B$11:$G$1034,4,FALSE)=0,"",VLOOKUP(B181,CENY!$B$11:$G$1034,4,FALSE))</f>
        <v/>
      </c>
      <c r="F181" s="45" t="str">
        <f t="shared" si="28"/>
        <v/>
      </c>
      <c r="G181" s="59">
        <f>VLOOKUP(B181,CENY!$B$11:$M$1034,12,FALSE)</f>
        <v>369.25</v>
      </c>
      <c r="H181" s="61" t="str">
        <f t="shared" si="24"/>
        <v xml:space="preserve"> CZK</v>
      </c>
      <c r="I181" s="46" t="str">
        <f t="shared" si="25"/>
        <v/>
      </c>
      <c r="J181" s="138"/>
      <c r="K181" s="47">
        <f>VLOOKUP(B181,CENY!$B$11:$M$1034,8,FALSE)</f>
        <v>0</v>
      </c>
      <c r="L181" s="47" t="str">
        <f>VLOOKUP(B181,CENY!$B$11:$M$1034,9,FALSE)</f>
        <v xml:space="preserve"> </v>
      </c>
      <c r="M181" s="55"/>
      <c r="N181" s="38">
        <f t="shared" si="29"/>
        <v>0</v>
      </c>
      <c r="O181" s="39">
        <v>0</v>
      </c>
      <c r="P181" s="41"/>
      <c r="Q181" s="41"/>
      <c r="R181" s="41"/>
      <c r="S181" s="41"/>
      <c r="T181" s="41"/>
      <c r="U181" s="41"/>
      <c r="V181" s="41"/>
      <c r="W181" s="41"/>
      <c r="X181" s="41"/>
      <c r="Y181" s="450">
        <f>AVT187In!BI17</f>
        <v>0</v>
      </c>
      <c r="Z181" s="41"/>
      <c r="AA181" s="41"/>
      <c r="AB181" s="41"/>
      <c r="AC181" s="41"/>
      <c r="AD181" s="41"/>
      <c r="AE181" s="41"/>
      <c r="AF181" s="41"/>
      <c r="AG181" s="450">
        <f>'AVT187In(vn-A)'!BI17</f>
        <v>0</v>
      </c>
      <c r="AH181" s="41"/>
      <c r="AI181" s="41"/>
      <c r="AJ181" s="41"/>
      <c r="AK181" s="450">
        <f>'AVT187In(vn-S)'!BI17</f>
        <v>0</v>
      </c>
      <c r="AL181" s="41"/>
      <c r="AM181" s="41"/>
      <c r="AN181" s="41"/>
      <c r="AO181" s="41"/>
      <c r="AP181" s="41"/>
      <c r="AQ181" s="41"/>
      <c r="AR181" s="41"/>
      <c r="AS181" s="41"/>
      <c r="AT181" s="41"/>
      <c r="AU181" s="450">
        <f>'AVT-celny-2x187In'!BI17</f>
        <v>0</v>
      </c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203"/>
      <c r="BP181" s="203"/>
      <c r="BQ181" s="203"/>
      <c r="BR181" s="203"/>
      <c r="BS181" s="203"/>
      <c r="BT181" s="203"/>
      <c r="BU181" s="203"/>
      <c r="BV181" s="203"/>
      <c r="BW181" s="62"/>
      <c r="BX181" s="185"/>
      <c r="BY181" s="35"/>
      <c r="BZ181" s="27"/>
      <c r="CA181" s="27"/>
      <c r="CB181" s="27"/>
      <c r="CC181" s="27"/>
      <c r="CD181" s="27"/>
      <c r="CE181" s="27"/>
      <c r="CF181" s="27"/>
    </row>
    <row r="182" spans="1:84" ht="15" customHeight="1">
      <c r="A182" s="4"/>
      <c r="B182" s="439">
        <f>IF($Q$8=$Q$7,CENY!B413,IF($Q$7=$Q$9,CENY!B427,CENY!B441))</f>
        <v>9257144</v>
      </c>
      <c r="C182" s="48" t="str">
        <f>VLOOKUP(B182,CENY!$B$11:$G$1034,2,FALSE)</f>
        <v>AVANTECH YOU BOK INLAY V187 MM NL650 MM STŘÍBRNÝ PRAVÝ</v>
      </c>
      <c r="D182" s="488">
        <f>VLOOKUP(B182,CENY!$B$11:$G$1034,3,FALSE)</f>
        <v>10</v>
      </c>
      <c r="E182" s="63" t="str">
        <f>IF(VLOOKUP(B182,CENY!$B$11:$G$1034,4,FALSE)=0,"",VLOOKUP(B182,CENY!$B$11:$G$1034,4,FALSE))</f>
        <v/>
      </c>
      <c r="F182" s="45" t="str">
        <f t="shared" si="28"/>
        <v/>
      </c>
      <c r="G182" s="59">
        <f>VLOOKUP(B182,CENY!$B$11:$M$1034,12,FALSE)</f>
        <v>369.25</v>
      </c>
      <c r="H182" s="61" t="str">
        <f t="shared" si="24"/>
        <v xml:space="preserve"> CZK</v>
      </c>
      <c r="I182" s="46" t="str">
        <f t="shared" si="25"/>
        <v/>
      </c>
      <c r="J182" s="138"/>
      <c r="K182" s="47">
        <f>VLOOKUP(B182,CENY!$B$11:$M$1034,8,FALSE)</f>
        <v>0</v>
      </c>
      <c r="L182" s="47" t="str">
        <f>VLOOKUP(B182,CENY!$B$11:$M$1034,9,FALSE)</f>
        <v xml:space="preserve"> </v>
      </c>
      <c r="M182" s="55"/>
      <c r="N182" s="38">
        <f t="shared" si="29"/>
        <v>0</v>
      </c>
      <c r="O182" s="39">
        <v>0</v>
      </c>
      <c r="P182" s="41"/>
      <c r="Q182" s="41"/>
      <c r="R182" s="41"/>
      <c r="S182" s="41"/>
      <c r="T182" s="41"/>
      <c r="U182" s="41"/>
      <c r="V182" s="41"/>
      <c r="W182" s="41"/>
      <c r="X182" s="41"/>
      <c r="Y182" s="450">
        <f>AVT187In!BI18</f>
        <v>0</v>
      </c>
      <c r="Z182" s="41"/>
      <c r="AA182" s="41"/>
      <c r="AB182" s="41"/>
      <c r="AC182" s="41"/>
      <c r="AD182" s="41"/>
      <c r="AE182" s="41"/>
      <c r="AF182" s="41"/>
      <c r="AG182" s="450">
        <f>'AVT187In(vn-A)'!BI18</f>
        <v>0</v>
      </c>
      <c r="AH182" s="41"/>
      <c r="AI182" s="41"/>
      <c r="AJ182" s="41"/>
      <c r="AK182" s="450">
        <f>'AVT187In(vn-S)'!BI18</f>
        <v>0</v>
      </c>
      <c r="AL182" s="41"/>
      <c r="AM182" s="41"/>
      <c r="AN182" s="41"/>
      <c r="AO182" s="41"/>
      <c r="AP182" s="41"/>
      <c r="AQ182" s="41"/>
      <c r="AR182" s="41"/>
      <c r="AS182" s="41"/>
      <c r="AT182" s="41"/>
      <c r="AU182" s="450">
        <f>'AVT-celny-2x187In'!BI18</f>
        <v>0</v>
      </c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203"/>
      <c r="BP182" s="203"/>
      <c r="BQ182" s="203"/>
      <c r="BR182" s="203"/>
      <c r="BS182" s="203"/>
      <c r="BT182" s="203"/>
      <c r="BU182" s="203"/>
      <c r="BV182" s="203"/>
      <c r="BW182" s="62"/>
      <c r="BX182" s="185"/>
      <c r="BY182" s="35"/>
      <c r="BZ182" s="27"/>
      <c r="CA182" s="27"/>
      <c r="CB182" s="27"/>
      <c r="CC182" s="27"/>
      <c r="CD182" s="27"/>
      <c r="CE182" s="27"/>
      <c r="CF182" s="27"/>
    </row>
    <row r="183" spans="1:84" ht="15" customHeight="1">
      <c r="A183" s="4"/>
      <c r="B183" s="439">
        <f>CENY!B442</f>
        <v>9257257</v>
      </c>
      <c r="C183" s="48" t="str">
        <f>VLOOKUP(B183,CENY!$B$11:$G$1034,2,FALSE)</f>
        <v>AVANTECH YOU PŘÍCHYTKA ČELA PRO BOK INLAY, K NAŠROUBOVÁNÍ</v>
      </c>
      <c r="D183" s="488">
        <f>VLOOKUP(B183,CENY!$B$11:$G$1034,3,FALSE)</f>
        <v>200</v>
      </c>
      <c r="E183" s="63" t="str">
        <f>IF(VLOOKUP(B183,CENY!$B$11:$G$1034,4,FALSE)=0,"",VLOOKUP(B183,CENY!$B$11:$G$1034,4,FALSE))</f>
        <v/>
      </c>
      <c r="F183" s="45" t="str">
        <f>IF(J183&lt;&gt;"",J183,IF(N183=0,"",IF(B183=B184,"",N183)))</f>
        <v/>
      </c>
      <c r="G183" s="59">
        <f>VLOOKUP(B183,CENY!$B$11:$M$1034,12,FALSE)</f>
        <v>53.15</v>
      </c>
      <c r="H183" s="61" t="str">
        <f>IF(G183="","",$H$22)</f>
        <v xml:space="preserve"> CZK</v>
      </c>
      <c r="I183" s="46" t="str">
        <f>IF(F183="","",G183*F183)</f>
        <v/>
      </c>
      <c r="J183" s="138"/>
      <c r="K183" s="47">
        <f>VLOOKUP(B183,CENY!$B$11:$M$1034,8,FALSE)</f>
        <v>0</v>
      </c>
      <c r="L183" s="47" t="str">
        <f>VLOOKUP(B183,CENY!$B$11:$M$1034,9,FALSE)</f>
        <v xml:space="preserve"> </v>
      </c>
      <c r="M183" s="55"/>
      <c r="N183" s="38">
        <f>SUM(P183:BX183)</f>
        <v>0</v>
      </c>
      <c r="O183" s="39">
        <v>0</v>
      </c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50">
        <f>'AVT187In(vn-A)'!BI20</f>
        <v>0</v>
      </c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203"/>
      <c r="BP183" s="203"/>
      <c r="BQ183" s="203"/>
      <c r="BR183" s="203"/>
      <c r="BS183" s="203"/>
      <c r="BT183" s="203"/>
      <c r="BU183" s="203"/>
      <c r="BV183" s="203"/>
      <c r="BW183" s="62"/>
      <c r="BX183" s="185"/>
      <c r="BY183" s="35"/>
      <c r="BZ183" s="27"/>
      <c r="CA183" s="27"/>
      <c r="CB183" s="27"/>
      <c r="CC183" s="27"/>
      <c r="CD183" s="27"/>
      <c r="CE183" s="27"/>
      <c r="CF183" s="27"/>
    </row>
    <row r="184" spans="1:84" ht="15" customHeight="1">
      <c r="A184" s="4"/>
      <c r="B184" s="439">
        <f>IF($T$7=$T$8,CENY!B442,CENY!B443)</f>
        <v>9257257</v>
      </c>
      <c r="C184" s="48" t="str">
        <f>VLOOKUP(B184,CENY!$B$11:$G$1034,2,FALSE)</f>
        <v>AVANTECH YOU PŘÍCHYTKA ČELA PRO BOK INLAY, K NAŠROUBOVÁNÍ</v>
      </c>
      <c r="D184" s="488">
        <f>VLOOKUP(B184,CENY!$B$11:$G$1034,3,FALSE)</f>
        <v>200</v>
      </c>
      <c r="E184" s="63" t="str">
        <f>IF(VLOOKUP(B184,CENY!$B$11:$G$1034,4,FALSE)=0,"",VLOOKUP(B184,CENY!$B$11:$G$1034,4,FALSE))</f>
        <v/>
      </c>
      <c r="F184" s="45" t="str">
        <f>IF(J184&lt;&gt;"",J184,IF(N184=0,"",IF(B183=B184,N184+N183,N184)))</f>
        <v/>
      </c>
      <c r="G184" s="59">
        <f>VLOOKUP(B184,CENY!$B$11:$M$1034,12,FALSE)</f>
        <v>53.15</v>
      </c>
      <c r="H184" s="61" t="str">
        <f t="shared" si="24"/>
        <v xml:space="preserve"> CZK</v>
      </c>
      <c r="I184" s="46" t="str">
        <f t="shared" si="25"/>
        <v/>
      </c>
      <c r="J184" s="138"/>
      <c r="K184" s="47">
        <f>VLOOKUP(B184,CENY!$B$11:$M$1034,8,FALSE)</f>
        <v>0</v>
      </c>
      <c r="L184" s="47" t="str">
        <f>VLOOKUP(B184,CENY!$B$11:$M$1034,9,FALSE)</f>
        <v xml:space="preserve"> </v>
      </c>
      <c r="M184" s="55"/>
      <c r="N184" s="38">
        <f t="shared" si="29"/>
        <v>0</v>
      </c>
      <c r="O184" s="39">
        <v>0</v>
      </c>
      <c r="P184" s="41"/>
      <c r="Q184" s="41"/>
      <c r="R184" s="41"/>
      <c r="S184" s="41"/>
      <c r="T184" s="41"/>
      <c r="U184" s="41"/>
      <c r="V184" s="41"/>
      <c r="W184" s="41"/>
      <c r="X184" s="450">
        <f>AVT187In!AZ64</f>
        <v>0</v>
      </c>
      <c r="Y184" s="450">
        <f>AVT187In!BI20</f>
        <v>0</v>
      </c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50">
        <f>'AVT-celny-2x187In'!AZ41</f>
        <v>0</v>
      </c>
      <c r="AU184" s="450">
        <f>'AVT-celny-2x187In'!BI20</f>
        <v>0</v>
      </c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203"/>
      <c r="BP184" s="203"/>
      <c r="BQ184" s="203"/>
      <c r="BR184" s="203"/>
      <c r="BS184" s="203"/>
      <c r="BT184" s="203"/>
      <c r="BU184" s="203"/>
      <c r="BV184" s="203"/>
      <c r="BW184" s="62"/>
      <c r="BX184" s="185"/>
      <c r="BY184" s="35"/>
      <c r="BZ184" s="27"/>
      <c r="CA184" s="27"/>
      <c r="CB184" s="27"/>
      <c r="CC184" s="27"/>
      <c r="CD184" s="27"/>
      <c r="CE184" s="27"/>
      <c r="CF184" s="27"/>
    </row>
    <row r="185" spans="1:84" ht="15" customHeight="1">
      <c r="A185" s="4"/>
      <c r="B185" s="439">
        <f>CENY!B444</f>
        <v>9268677</v>
      </c>
      <c r="C185" s="48" t="str">
        <f>VLOOKUP(B185,CENY!$B$11:$G$1034,2,FALSE)</f>
        <v>AVANTECH YOU ADAPTÉR NA 8 MM PRO BOK INLAY</v>
      </c>
      <c r="D185" s="490">
        <f>VLOOKUP(B185,CENY!$B$11:$G$1034,3,FALSE)</f>
        <v>1</v>
      </c>
      <c r="E185" s="63" t="str">
        <f>IF(VLOOKUP(B185,CENY!$B$11:$G$1034,4,FALSE)=0,"",VLOOKUP(B185,CENY!$B$11:$G$1034,4,FALSE))</f>
        <v/>
      </c>
      <c r="F185" s="45" t="str">
        <f>IF(J185&lt;&gt;"",J185,IF(N185=0,"",N185))</f>
        <v/>
      </c>
      <c r="G185" s="59">
        <f>VLOOKUP(B185,CENY!$B$11:$M$1034,12,FALSE)</f>
        <v>26.57</v>
      </c>
      <c r="H185" s="61" t="str">
        <f t="shared" si="24"/>
        <v xml:space="preserve"> CZK</v>
      </c>
      <c r="I185" s="46" t="str">
        <f t="shared" si="25"/>
        <v/>
      </c>
      <c r="J185" s="138"/>
      <c r="K185" s="47">
        <f>VLOOKUP(B185,CENY!$B$11:$M$1034,8,FALSE)</f>
        <v>0</v>
      </c>
      <c r="L185" s="47" t="str">
        <f>VLOOKUP(B185,CENY!$B$11:$M$1034,9,FALSE)</f>
        <v xml:space="preserve"> </v>
      </c>
      <c r="M185" s="55"/>
      <c r="N185" s="38">
        <f t="shared" si="29"/>
        <v>0</v>
      </c>
      <c r="O185" s="39">
        <v>0</v>
      </c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203"/>
      <c r="BP185" s="203"/>
      <c r="BQ185" s="203"/>
      <c r="BR185" s="203"/>
      <c r="BS185" s="203"/>
      <c r="BT185" s="203"/>
      <c r="BU185" s="203"/>
      <c r="BV185" s="203"/>
      <c r="BW185" s="62"/>
      <c r="BX185" s="185"/>
      <c r="BY185" s="35"/>
      <c r="BZ185" s="27"/>
      <c r="CA185" s="27"/>
      <c r="CB185" s="27"/>
      <c r="CC185" s="27"/>
      <c r="CD185" s="27"/>
      <c r="CE185" s="27"/>
      <c r="CF185" s="27"/>
    </row>
    <row r="186" spans="1:84" ht="8.1" customHeight="1">
      <c r="A186" s="4"/>
      <c r="B186" s="439"/>
      <c r="C186" s="48"/>
      <c r="D186" s="44"/>
      <c r="E186" s="63"/>
      <c r="F186" s="45"/>
      <c r="G186" s="59"/>
      <c r="H186" s="61"/>
      <c r="I186" s="46"/>
      <c r="J186" s="138"/>
      <c r="K186" s="47"/>
      <c r="L186" s="47"/>
      <c r="M186" s="55"/>
      <c r="N186" s="38"/>
      <c r="O186" s="39">
        <v>0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203"/>
      <c r="BP186" s="203"/>
      <c r="BQ186" s="203"/>
      <c r="BR186" s="203"/>
      <c r="BS186" s="203"/>
      <c r="BT186" s="203"/>
      <c r="BU186" s="203"/>
      <c r="BV186" s="203"/>
      <c r="BW186" s="62"/>
      <c r="BX186" s="185"/>
      <c r="BY186" s="35"/>
      <c r="BZ186" s="27"/>
      <c r="CA186" s="27"/>
      <c r="CB186" s="27"/>
      <c r="CC186" s="27"/>
      <c r="CD186" s="27"/>
      <c r="CE186" s="27"/>
      <c r="CF186" s="27"/>
    </row>
    <row r="187" spans="1:84" ht="15" customHeight="1">
      <c r="A187" s="4"/>
      <c r="B187" s="439">
        <f>IF($Q$8=$Q$7,CENY!B446,IF($Q$7=$Q$9,CENY!B449,CENY!B452))</f>
        <v>9257269</v>
      </c>
      <c r="C187" s="48" t="str">
        <f>VLOOKUP(B187,CENY!$B$11:$G$1034,2,FALSE)</f>
        <v>AVANTECH YOU ALU PROFIL VNITŘNÍ ČELO V101 MM L2000 MM STŘÍBRNÁ</v>
      </c>
      <c r="D187" s="490">
        <f>VLOOKUP(B187,CENY!$B$11:$G$1034,3,FALSE)</f>
        <v>1</v>
      </c>
      <c r="E187" s="63" t="str">
        <f>IF(VLOOKUP(B187,CENY!$B$11:$G$1034,4,FALSE)=0,"",VLOOKUP(B187,CENY!$B$11:$G$1034,4,FALSE))</f>
        <v/>
      </c>
      <c r="F187" s="45" t="str">
        <f>IF(J187&lt;&gt;"",J187,IF(N187=0,"",N187))</f>
        <v/>
      </c>
      <c r="G187" s="59">
        <f>VLOOKUP(B187,CENY!$B$11:$M$1034,12,FALSE)</f>
        <v>1421.71</v>
      </c>
      <c r="H187" s="61" t="str">
        <f t="shared" si="24"/>
        <v xml:space="preserve"> CZK</v>
      </c>
      <c r="I187" s="46" t="str">
        <f t="shared" si="25"/>
        <v/>
      </c>
      <c r="J187" s="138"/>
      <c r="K187" s="47">
        <f>VLOOKUP(B187,CENY!$B$11:$M$1034,8,FALSE)</f>
        <v>0</v>
      </c>
      <c r="L187" s="47" t="str">
        <f>VLOOKUP(B187,CENY!$B$11:$M$1034,9,FALSE)</f>
        <v xml:space="preserve"> </v>
      </c>
      <c r="M187" s="55"/>
      <c r="N187" s="38">
        <f>SUM(P187:BX187)</f>
        <v>0</v>
      </c>
      <c r="O187" s="39">
        <v>0</v>
      </c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66">
        <f>'AVT101(vn-A)'!AZ83</f>
        <v>0</v>
      </c>
      <c r="AA187" s="466">
        <f>'AVT101(vn-A)'!BI128</f>
        <v>0</v>
      </c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203"/>
      <c r="BP187" s="203"/>
      <c r="BQ187" s="203"/>
      <c r="BR187" s="203"/>
      <c r="BS187" s="203"/>
      <c r="BT187" s="203"/>
      <c r="BU187" s="203"/>
      <c r="BV187" s="203"/>
      <c r="BW187" s="62"/>
      <c r="BX187" s="185"/>
      <c r="BY187" s="35"/>
      <c r="BZ187" s="27"/>
      <c r="CA187" s="27"/>
      <c r="CB187" s="27"/>
      <c r="CC187" s="27"/>
      <c r="CD187" s="27"/>
      <c r="CE187" s="27"/>
      <c r="CF187" s="27"/>
    </row>
    <row r="188" spans="1:84" ht="15" customHeight="1">
      <c r="A188" s="4"/>
      <c r="B188" s="439">
        <f>IF($Q$8=$Q$7,CENY!B447,IF($Q$7=$Q$9,CENY!B450,CENY!B453))</f>
        <v>9257270</v>
      </c>
      <c r="C188" s="48" t="str">
        <f>VLOOKUP(B188,CENY!$B$11:$G$1034,2,FALSE)</f>
        <v>AVANTECH YOU ALU PROFIL VNITŘNÍ ČELO V139 MM L2000 MM STŘÍBRNÁ</v>
      </c>
      <c r="D188" s="490">
        <f>VLOOKUP(B188,CENY!$B$11:$G$1034,3,FALSE)</f>
        <v>1</v>
      </c>
      <c r="E188" s="63" t="str">
        <f>IF(VLOOKUP(B188,CENY!$B$11:$G$1034,4,FALSE)=0,"",VLOOKUP(B188,CENY!$B$11:$G$1034,4,FALSE))</f>
        <v/>
      </c>
      <c r="F188" s="45" t="str">
        <f>IF(J188&lt;&gt;"",J188,IF(N188=0,"",N188))</f>
        <v/>
      </c>
      <c r="G188" s="59">
        <f>VLOOKUP(B188,CENY!$B$11:$M$1034,12,FALSE)</f>
        <v>1700.74</v>
      </c>
      <c r="H188" s="61" t="str">
        <f t="shared" si="24"/>
        <v xml:space="preserve"> CZK</v>
      </c>
      <c r="I188" s="46" t="str">
        <f t="shared" si="25"/>
        <v/>
      </c>
      <c r="J188" s="138"/>
      <c r="K188" s="47">
        <f>VLOOKUP(B188,CENY!$B$11:$M$1034,8,FALSE)</f>
        <v>0</v>
      </c>
      <c r="L188" s="47" t="str">
        <f>VLOOKUP(B188,CENY!$B$11:$M$1034,9,FALSE)</f>
        <v xml:space="preserve"> </v>
      </c>
      <c r="M188" s="55"/>
      <c r="N188" s="38">
        <f>SUM(P188:BX188)</f>
        <v>0</v>
      </c>
      <c r="O188" s="39">
        <v>0</v>
      </c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66">
        <f>'AVT139(vn-A)'!AZ83</f>
        <v>0</v>
      </c>
      <c r="AC188" s="466">
        <f>'AVT139(vn-A)'!BI110</f>
        <v>0</v>
      </c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203"/>
      <c r="BP188" s="203"/>
      <c r="BQ188" s="203"/>
      <c r="BR188" s="203"/>
      <c r="BS188" s="203"/>
      <c r="BT188" s="203"/>
      <c r="BU188" s="203"/>
      <c r="BV188" s="203"/>
      <c r="BW188" s="62"/>
      <c r="BX188" s="185"/>
      <c r="BY188" s="35"/>
      <c r="BZ188" s="27"/>
      <c r="CA188" s="27"/>
      <c r="CB188" s="27"/>
      <c r="CC188" s="27"/>
      <c r="CD188" s="27"/>
      <c r="CE188" s="27"/>
      <c r="CF188" s="27"/>
    </row>
    <row r="189" spans="1:84" ht="15" customHeight="1">
      <c r="A189" s="4"/>
      <c r="B189" s="439">
        <f>IF($Q$8=$Q$7,CENY!B448,IF($Q$7=$Q$9,CENY!B451,CENY!B454))</f>
        <v>9257271</v>
      </c>
      <c r="C189" s="48" t="str">
        <f>VLOOKUP(B189,CENY!$B$11:$G$1034,2,FALSE)</f>
        <v>AVANTECH YOU ALU PROFIL VNITŘNÍ ČELO V187 MM L2000 MM STŘÍBRNÁ</v>
      </c>
      <c r="D189" s="490">
        <f>VLOOKUP(B189,CENY!$B$11:$G$1034,3,FALSE)</f>
        <v>1</v>
      </c>
      <c r="E189" s="63" t="str">
        <f>IF(VLOOKUP(B189,CENY!$B$11:$G$1034,4,FALSE)=0,"",VLOOKUP(B189,CENY!$B$11:$G$1034,4,FALSE))</f>
        <v/>
      </c>
      <c r="F189" s="45" t="str">
        <f>IF(J189&lt;&gt;"",J189,IF(N189=0,"",N189))</f>
        <v/>
      </c>
      <c r="G189" s="59">
        <f>VLOOKUP(B189,CENY!$B$11:$M$1034,12,FALSE)</f>
        <v>2125.92</v>
      </c>
      <c r="H189" s="61" t="str">
        <f t="shared" si="24"/>
        <v xml:space="preserve"> CZK</v>
      </c>
      <c r="I189" s="46" t="str">
        <f t="shared" si="25"/>
        <v/>
      </c>
      <c r="J189" s="138"/>
      <c r="K189" s="47">
        <f>VLOOKUP(B189,CENY!$B$11:$M$1034,8,FALSE)</f>
        <v>0</v>
      </c>
      <c r="L189" s="47" t="str">
        <f>VLOOKUP(B189,CENY!$B$11:$M$1034,9,FALSE)</f>
        <v xml:space="preserve"> </v>
      </c>
      <c r="M189" s="55"/>
      <c r="N189" s="38">
        <f>SUM(P189:BX189)</f>
        <v>0</v>
      </c>
      <c r="O189" s="39">
        <v>0</v>
      </c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66">
        <f>'AVT187(vn-A)'!AZ83</f>
        <v>0</v>
      </c>
      <c r="AE189" s="466">
        <f>'AVT187(vn-A)'!BI128</f>
        <v>0</v>
      </c>
      <c r="AF189" s="466">
        <f>'AVT187In(vn-A)'!AZ83</f>
        <v>0</v>
      </c>
      <c r="AG189" s="466">
        <f>'AVT187In(vn-A)'!BI102</f>
        <v>0</v>
      </c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203"/>
      <c r="BP189" s="203"/>
      <c r="BQ189" s="203"/>
      <c r="BR189" s="203"/>
      <c r="BS189" s="203"/>
      <c r="BT189" s="203"/>
      <c r="BU189" s="203"/>
      <c r="BV189" s="203"/>
      <c r="BW189" s="62"/>
      <c r="BX189" s="185"/>
      <c r="BY189" s="35"/>
      <c r="BZ189" s="27"/>
      <c r="CA189" s="27"/>
      <c r="CB189" s="27"/>
      <c r="CC189" s="27"/>
      <c r="CD189" s="27"/>
      <c r="CE189" s="27"/>
      <c r="CF189" s="27"/>
    </row>
    <row r="190" spans="1:84" ht="8.1" customHeight="1">
      <c r="A190" s="4"/>
      <c r="B190" s="439"/>
      <c r="C190" s="48"/>
      <c r="D190" s="44"/>
      <c r="E190" s="63"/>
      <c r="F190" s="67"/>
      <c r="G190" s="59"/>
      <c r="H190" s="61"/>
      <c r="I190" s="46"/>
      <c r="J190" s="138"/>
      <c r="K190" s="47"/>
      <c r="L190" s="47"/>
      <c r="M190" s="55"/>
      <c r="N190" s="38"/>
      <c r="O190" s="39">
        <v>0</v>
      </c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203"/>
      <c r="BP190" s="203"/>
      <c r="BQ190" s="203"/>
      <c r="BR190" s="203"/>
      <c r="BS190" s="203"/>
      <c r="BT190" s="203"/>
      <c r="BU190" s="203"/>
      <c r="BV190" s="203"/>
      <c r="BW190" s="62"/>
      <c r="BX190" s="185"/>
      <c r="BY190" s="35"/>
      <c r="BZ190" s="27"/>
      <c r="CA190" s="27"/>
      <c r="CB190" s="27"/>
      <c r="CC190" s="27"/>
      <c r="CD190" s="27"/>
      <c r="CE190" s="27"/>
      <c r="CF190" s="27"/>
    </row>
    <row r="191" spans="1:84" ht="15" customHeight="1">
      <c r="A191" s="4"/>
      <c r="B191" s="439">
        <f>IF($Q$8=$Q$7,CENY!B455,IF($Q$7=$Q$9,CENY!B458,CENY!B461))</f>
        <v>9257611</v>
      </c>
      <c r="C191" s="48" t="str">
        <f>VLOOKUP(B191,CENY!$B$11:$G$1034,2,FALSE)</f>
        <v>AVANTECH YOU SADA SPOJEK PRO VNITŘNÍ ČELO K BOKŮM V101 MM STŘÍBRNÁ</v>
      </c>
      <c r="D191" s="501">
        <f>VLOOKUP(B191,CENY!$B$11:$G$1034,3,FALSE)</f>
        <v>1</v>
      </c>
      <c r="E191" s="63" t="str">
        <f>IF(VLOOKUP(B191,CENY!$B$11:$G$1034,4,FALSE)=0,"",VLOOKUP(B191,CENY!$B$11:$G$1034,4,FALSE))</f>
        <v/>
      </c>
      <c r="F191" s="45" t="str">
        <f>IF(J191&lt;&gt;"",J191,IF(N191=0,"",N191))</f>
        <v/>
      </c>
      <c r="G191" s="59">
        <f>VLOOKUP(B191,CENY!$B$11:$M$1034,12,FALSE)</f>
        <v>76.28</v>
      </c>
      <c r="H191" s="61" t="str">
        <f t="shared" si="24"/>
        <v xml:space="preserve"> CZK</v>
      </c>
      <c r="I191" s="46" t="str">
        <f t="shared" si="25"/>
        <v/>
      </c>
      <c r="J191" s="138"/>
      <c r="K191" s="47">
        <f>VLOOKUP(B191,CENY!$B$11:$M$1034,8,FALSE)</f>
        <v>0</v>
      </c>
      <c r="L191" s="47" t="str">
        <f>VLOOKUP(B191,CENY!$B$11:$M$1034,9,FALSE)</f>
        <v xml:space="preserve"> </v>
      </c>
      <c r="M191" s="55"/>
      <c r="N191" s="38">
        <f>SUM(P191:BX191)</f>
        <v>0</v>
      </c>
      <c r="O191" s="39">
        <v>0</v>
      </c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66">
        <f>'AVT101(vn-A)'!AZ84</f>
        <v>0</v>
      </c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203"/>
      <c r="BP191" s="203"/>
      <c r="BQ191" s="203"/>
      <c r="BR191" s="203"/>
      <c r="BS191" s="203"/>
      <c r="BT191" s="203"/>
      <c r="BU191" s="203"/>
      <c r="BV191" s="203"/>
      <c r="BW191" s="62"/>
      <c r="BX191" s="185"/>
      <c r="BY191" s="35"/>
      <c r="BZ191" s="27"/>
      <c r="CA191" s="27"/>
      <c r="CB191" s="27"/>
      <c r="CC191" s="27"/>
      <c r="CD191" s="27"/>
      <c r="CE191" s="27"/>
      <c r="CF191" s="27"/>
    </row>
    <row r="192" spans="1:84" ht="15" customHeight="1">
      <c r="A192" s="4"/>
      <c r="B192" s="439">
        <f>IF($Q$8=$Q$7,CENY!B456,IF($Q$7=$Q$9,CENY!B459,CENY!B462))</f>
        <v>9257612</v>
      </c>
      <c r="C192" s="48" t="str">
        <f>VLOOKUP(B192,CENY!$B$11:$G$1034,2,FALSE)</f>
        <v>AVANTECH YOU SADA SPOJEK PRO VNITŘNÍ ČELO K BOKŮM V139 MM STŘÍBRNÁ</v>
      </c>
      <c r="D192" s="501">
        <f>VLOOKUP(B192,CENY!$B$11:$G$1034,3,FALSE)</f>
        <v>1</v>
      </c>
      <c r="E192" s="63" t="str">
        <f>IF(VLOOKUP(B192,CENY!$B$11:$G$1034,4,FALSE)=0,"",VLOOKUP(B192,CENY!$B$11:$G$1034,4,FALSE))</f>
        <v/>
      </c>
      <c r="F192" s="45" t="str">
        <f>IF(J192&lt;&gt;"",J192,IF(N192=0,"",N192))</f>
        <v/>
      </c>
      <c r="G192" s="59">
        <f>VLOOKUP(B192,CENY!$B$11:$M$1034,12,FALSE)</f>
        <v>96.7</v>
      </c>
      <c r="H192" s="61" t="str">
        <f t="shared" si="24"/>
        <v xml:space="preserve"> CZK</v>
      </c>
      <c r="I192" s="46" t="str">
        <f t="shared" si="25"/>
        <v/>
      </c>
      <c r="J192" s="138"/>
      <c r="K192" s="47">
        <f>VLOOKUP(B192,CENY!$B$11:$M$1034,8,FALSE)</f>
        <v>0</v>
      </c>
      <c r="L192" s="47" t="str">
        <f>VLOOKUP(B192,CENY!$B$11:$M$1034,9,FALSE)</f>
        <v xml:space="preserve"> </v>
      </c>
      <c r="M192" s="55"/>
      <c r="N192" s="38">
        <f>SUM(P192:BX192)</f>
        <v>0</v>
      </c>
      <c r="O192" s="39">
        <v>0</v>
      </c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66">
        <f>'AVT139(vn-A)'!AZ84</f>
        <v>0</v>
      </c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203"/>
      <c r="BP192" s="203"/>
      <c r="BQ192" s="203"/>
      <c r="BR192" s="203"/>
      <c r="BS192" s="203"/>
      <c r="BT192" s="203"/>
      <c r="BU192" s="203"/>
      <c r="BV192" s="203"/>
      <c r="BW192" s="62"/>
      <c r="BX192" s="185"/>
      <c r="BY192" s="35"/>
      <c r="BZ192" s="27"/>
      <c r="CA192" s="27"/>
      <c r="CB192" s="27"/>
      <c r="CC192" s="27"/>
      <c r="CD192" s="27"/>
      <c r="CE192" s="27"/>
      <c r="CF192" s="27"/>
    </row>
    <row r="193" spans="1:84" ht="15" customHeight="1">
      <c r="A193" s="4"/>
      <c r="B193" s="439">
        <f>IF($Q$8=$Q$7,CENY!B457,IF($Q$7=$Q$9,CENY!B460,CENY!B463))</f>
        <v>9257613</v>
      </c>
      <c r="C193" s="48" t="str">
        <f>VLOOKUP(B193,CENY!$B$11:$G$1034,2,FALSE)</f>
        <v>AVANTECH YOU SADA SPOJEK PRO VNITŘNÍ ČELO K BOKŮM V187 MM STŘÍBRNÁ</v>
      </c>
      <c r="D193" s="501">
        <f>VLOOKUP(B193,CENY!$B$11:$G$1034,3,FALSE)</f>
        <v>1</v>
      </c>
      <c r="E193" s="63" t="str">
        <f>IF(VLOOKUP(B193,CENY!$B$11:$G$1034,4,FALSE)=0,"",VLOOKUP(B193,CENY!$B$11:$G$1034,4,FALSE))</f>
        <v/>
      </c>
      <c r="F193" s="45" t="str">
        <f>IF(J193&lt;&gt;"",J193,IF(N193=0,"",N193))</f>
        <v/>
      </c>
      <c r="G193" s="59">
        <f>VLOOKUP(B193,CENY!$B$11:$M$1034,12,FALSE)</f>
        <v>135.11000000000001</v>
      </c>
      <c r="H193" s="61" t="str">
        <f t="shared" si="24"/>
        <v xml:space="preserve"> CZK</v>
      </c>
      <c r="I193" s="46" t="str">
        <f t="shared" si="25"/>
        <v/>
      </c>
      <c r="J193" s="138"/>
      <c r="K193" s="47">
        <f>VLOOKUP(B193,CENY!$B$11:$M$1034,8,FALSE)</f>
        <v>0</v>
      </c>
      <c r="L193" s="47" t="str">
        <f>VLOOKUP(B193,CENY!$B$11:$M$1034,9,FALSE)</f>
        <v xml:space="preserve"> </v>
      </c>
      <c r="M193" s="55"/>
      <c r="N193" s="38">
        <f>SUM(P193:BX193)</f>
        <v>0</v>
      </c>
      <c r="O193" s="39">
        <v>0</v>
      </c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66">
        <f>'AVT187(vn-A)'!AZ84</f>
        <v>0</v>
      </c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203"/>
      <c r="BP193" s="203"/>
      <c r="BQ193" s="203"/>
      <c r="BR193" s="203"/>
      <c r="BS193" s="203"/>
      <c r="BT193" s="203"/>
      <c r="BU193" s="203"/>
      <c r="BV193" s="203"/>
      <c r="BW193" s="62"/>
      <c r="BX193" s="185"/>
      <c r="BY193" s="35"/>
      <c r="BZ193" s="27"/>
      <c r="CA193" s="27"/>
      <c r="CB193" s="27"/>
      <c r="CC193" s="27"/>
      <c r="CD193" s="27"/>
      <c r="CE193" s="27"/>
      <c r="CF193" s="27"/>
    </row>
    <row r="194" spans="1:84" ht="15" customHeight="1">
      <c r="A194" s="4"/>
      <c r="B194" s="439">
        <f>IF($Q$8=$Q$7,CENY!B464,IF($Q$7=$Q$9,CENY!B465,CENY!B466))</f>
        <v>9257623</v>
      </c>
      <c r="C194" s="48" t="str">
        <f>VLOOKUP(B194,CENY!$B$11:$G$1034,2,FALSE)</f>
        <v>AVANTECH YOU SADA SPOJEK PRO VNITŘNÍ ČELO K BOKŮM INLAY V187 MM STŘÍBRNÁ</v>
      </c>
      <c r="D194" s="501">
        <f>VLOOKUP(B194,CENY!$B$11:$G$1034,3,FALSE)</f>
        <v>1</v>
      </c>
      <c r="E194" s="63" t="str">
        <f>IF(VLOOKUP(B194,CENY!$B$11:$G$1034,4,FALSE)=0,"",VLOOKUP(B194,CENY!$B$11:$G$1034,4,FALSE))</f>
        <v/>
      </c>
      <c r="F194" s="45" t="str">
        <f>IF(J194&lt;&gt;"",J194,IF(N194=0,"",N194))</f>
        <v/>
      </c>
      <c r="G194" s="59">
        <f>VLOOKUP(B194,CENY!$B$11:$M$1034,12,FALSE)</f>
        <v>121.83</v>
      </c>
      <c r="H194" s="61" t="str">
        <f t="shared" si="24"/>
        <v xml:space="preserve"> CZK</v>
      </c>
      <c r="I194" s="46" t="str">
        <f t="shared" si="25"/>
        <v/>
      </c>
      <c r="J194" s="138"/>
      <c r="K194" s="47">
        <f>VLOOKUP(B194,CENY!$B$11:$M$1034,8,FALSE)</f>
        <v>0</v>
      </c>
      <c r="L194" s="47" t="str">
        <f>VLOOKUP(B194,CENY!$B$11:$M$1034,9,FALSE)</f>
        <v xml:space="preserve"> </v>
      </c>
      <c r="M194" s="55"/>
      <c r="N194" s="38">
        <f>SUM(P194:BX194)</f>
        <v>0</v>
      </c>
      <c r="O194" s="39">
        <v>0</v>
      </c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66">
        <f>'AVT187In(vn-A)'!AZ84</f>
        <v>0</v>
      </c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203"/>
      <c r="BP194" s="203"/>
      <c r="BQ194" s="203"/>
      <c r="BR194" s="203"/>
      <c r="BS194" s="203"/>
      <c r="BT194" s="203"/>
      <c r="BU194" s="203"/>
      <c r="BV194" s="203"/>
      <c r="BW194" s="62"/>
      <c r="BX194" s="185"/>
      <c r="BY194" s="35"/>
      <c r="BZ194" s="27"/>
      <c r="CA194" s="27"/>
      <c r="CB194" s="27"/>
      <c r="CC194" s="27"/>
      <c r="CD194" s="27"/>
      <c r="CE194" s="27"/>
      <c r="CF194" s="27"/>
    </row>
    <row r="195" spans="1:84" ht="8.1" customHeight="1">
      <c r="A195" s="4"/>
      <c r="B195" s="439"/>
      <c r="C195" s="48"/>
      <c r="D195" s="44"/>
      <c r="E195" s="63"/>
      <c r="F195" s="45"/>
      <c r="G195" s="59"/>
      <c r="H195" s="61"/>
      <c r="I195" s="46"/>
      <c r="J195" s="138"/>
      <c r="K195" s="47"/>
      <c r="L195" s="47"/>
      <c r="M195" s="55"/>
      <c r="N195" s="38"/>
      <c r="O195" s="39">
        <v>0</v>
      </c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203"/>
      <c r="BP195" s="203"/>
      <c r="BQ195" s="203"/>
      <c r="BR195" s="203"/>
      <c r="BS195" s="203"/>
      <c r="BT195" s="203"/>
      <c r="BU195" s="203"/>
      <c r="BV195" s="203"/>
      <c r="BW195" s="62"/>
      <c r="BX195" s="185"/>
      <c r="BY195" s="35"/>
      <c r="BZ195" s="27"/>
      <c r="CA195" s="27"/>
      <c r="CB195" s="27"/>
      <c r="CC195" s="27"/>
      <c r="CD195" s="27"/>
      <c r="CE195" s="27"/>
      <c r="CF195" s="27"/>
    </row>
    <row r="196" spans="1:84" ht="15" customHeight="1">
      <c r="A196" s="4"/>
      <c r="B196" s="439">
        <f>CENY!B467</f>
        <v>9257641</v>
      </c>
      <c r="C196" s="48" t="str">
        <f>VLOOKUP(B196,CENY!$B$11:$G$1034,2,FALSE)</f>
        <v>AVANTECH YOU STABILIZÁTOR ČELA VNITŘNÍ ZÁSUVKY</v>
      </c>
      <c r="D196" s="488">
        <f>VLOOKUP(B196,CENY!$B$11:$G$1034,3,FALSE)</f>
        <v>100</v>
      </c>
      <c r="E196" s="63" t="str">
        <f>IF(VLOOKUP(B196,CENY!$B$11:$G$1034,4,FALSE)=0,"",VLOOKUP(B196,CENY!$B$11:$G$1034,4,FALSE))</f>
        <v/>
      </c>
      <c r="F196" s="45" t="str">
        <f>IF(J196&lt;&gt;"",J196,IF(N196=0,"",N196))</f>
        <v/>
      </c>
      <c r="G196" s="59">
        <f>VLOOKUP(B196,CENY!$B$11:$M$1034,12,FALSE)</f>
        <v>26.51</v>
      </c>
      <c r="H196" s="61" t="str">
        <f t="shared" si="24"/>
        <v xml:space="preserve"> CZK</v>
      </c>
      <c r="I196" s="46" t="str">
        <f t="shared" si="25"/>
        <v/>
      </c>
      <c r="J196" s="138"/>
      <c r="K196" s="47">
        <f>VLOOKUP(B196,CENY!$B$11:$M$1034,8,FALSE)</f>
        <v>0</v>
      </c>
      <c r="L196" s="47" t="str">
        <f>VLOOKUP(B196,CENY!$B$11:$M$1034,9,FALSE)</f>
        <v xml:space="preserve"> </v>
      </c>
      <c r="M196" s="55"/>
      <c r="N196" s="38">
        <f>SUM(P196:BX196)</f>
        <v>0</v>
      </c>
      <c r="O196" s="39">
        <v>0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66">
        <f>'AVT101(vn-A)'!BI130</f>
        <v>0</v>
      </c>
      <c r="AB196" s="41"/>
      <c r="AC196" s="466">
        <f>'AVT139(vn-A)'!BI112</f>
        <v>0</v>
      </c>
      <c r="AD196" s="41"/>
      <c r="AE196" s="466">
        <f>'AVT187(vn-A)'!BI130</f>
        <v>0</v>
      </c>
      <c r="AF196" s="41"/>
      <c r="AG196" s="466">
        <f>'AVT187In(vn-A)'!BI104</f>
        <v>0</v>
      </c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203"/>
      <c r="BP196" s="203"/>
      <c r="BQ196" s="203"/>
      <c r="BR196" s="203"/>
      <c r="BS196" s="203"/>
      <c r="BT196" s="203"/>
      <c r="BU196" s="203"/>
      <c r="BV196" s="203"/>
      <c r="BW196" s="62"/>
      <c r="BX196" s="185"/>
      <c r="BY196" s="35"/>
      <c r="BZ196" s="27"/>
      <c r="CA196" s="27"/>
      <c r="CB196" s="27"/>
      <c r="CC196" s="27"/>
      <c r="CD196" s="27"/>
      <c r="CE196" s="27"/>
      <c r="CF196" s="27"/>
    </row>
    <row r="197" spans="1:84" ht="15" customHeight="1">
      <c r="A197" s="4"/>
      <c r="B197" s="439">
        <f>IF($Q$8=$Q$7,CENY!B471,IF($Q$7=$Q$9,CENY!B474,CENY!B477))</f>
        <v>9257629</v>
      </c>
      <c r="C197" s="48" t="str">
        <f>VLOOKUP(B197,CENY!$B$11:$G$1034,2,FALSE)</f>
        <v>AVANTECH YOU KONCOVÁ KRYTKA ČELA VNITŘNÍ ZÁSUVKY V101 STŘÍBRNÁ</v>
      </c>
      <c r="D197" s="488">
        <f>VLOOKUP(B197,CENY!$B$11:$G$1034,3,FALSE)</f>
        <v>200</v>
      </c>
      <c r="E197" s="63" t="str">
        <f>IF(VLOOKUP(B197,CENY!$B$11:$G$1034,4,FALSE)=0,"",VLOOKUP(B197,CENY!$B$11:$G$1034,4,FALSE))</f>
        <v/>
      </c>
      <c r="F197" s="45" t="str">
        <f>IF(J197&lt;&gt;"",J197,IF(N197=0,"",N197))</f>
        <v/>
      </c>
      <c r="G197" s="59">
        <f>VLOOKUP(B197,CENY!$B$11:$M$1034,12,FALSE)</f>
        <v>3.59</v>
      </c>
      <c r="H197" s="61" t="str">
        <f t="shared" si="24"/>
        <v xml:space="preserve"> CZK</v>
      </c>
      <c r="I197" s="46" t="str">
        <f t="shared" si="25"/>
        <v/>
      </c>
      <c r="J197" s="138"/>
      <c r="K197" s="47">
        <f>VLOOKUP(B197,CENY!$B$11:$M$1034,8,FALSE)</f>
        <v>0</v>
      </c>
      <c r="L197" s="47" t="str">
        <f>VLOOKUP(B197,CENY!$B$11:$M$1034,9,FALSE)</f>
        <v xml:space="preserve"> </v>
      </c>
      <c r="M197" s="55"/>
      <c r="N197" s="38">
        <f>SUM(P197:BX197)</f>
        <v>0</v>
      </c>
      <c r="O197" s="39">
        <v>0</v>
      </c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66">
        <f>'AVT101(vn-A)'!BI131</f>
        <v>0</v>
      </c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203"/>
      <c r="BP197" s="203"/>
      <c r="BQ197" s="203"/>
      <c r="BR197" s="203"/>
      <c r="BS197" s="203"/>
      <c r="BT197" s="203"/>
      <c r="BU197" s="203"/>
      <c r="BV197" s="203"/>
      <c r="BW197" s="62"/>
      <c r="BX197" s="185"/>
      <c r="BY197" s="35"/>
      <c r="BZ197" s="27"/>
      <c r="CA197" s="27"/>
      <c r="CB197" s="27"/>
      <c r="CC197" s="27"/>
      <c r="CD197" s="27"/>
      <c r="CE197" s="27"/>
      <c r="CF197" s="27"/>
    </row>
    <row r="198" spans="1:84" ht="15" customHeight="1">
      <c r="A198" s="4"/>
      <c r="B198" s="439">
        <f>IF($Q$8=$Q$7,CENY!B472,IF($Q$7=$Q$9,CENY!B475,CENY!B478))</f>
        <v>9257630</v>
      </c>
      <c r="C198" s="48" t="str">
        <f>VLOOKUP(B198,CENY!$B$11:$G$1034,2,FALSE)</f>
        <v>AVANTECH YOU KONCOVÁ KRYTKA ČELA VNITŘNÍ ZÁSUVKY V139 STŘÍBRNÁ</v>
      </c>
      <c r="D198" s="488">
        <f>VLOOKUP(B198,CENY!$B$11:$G$1034,3,FALSE)</f>
        <v>200</v>
      </c>
      <c r="E198" s="63" t="str">
        <f>IF(VLOOKUP(B198,CENY!$B$11:$G$1034,4,FALSE)=0,"",VLOOKUP(B198,CENY!$B$11:$G$1034,4,FALSE))</f>
        <v/>
      </c>
      <c r="F198" s="45" t="str">
        <f>IF(J198&lt;&gt;"",J198,IF(N198=0,"",N198))</f>
        <v/>
      </c>
      <c r="G198" s="59">
        <f>VLOOKUP(B198,CENY!$B$11:$M$1034,12,FALSE)</f>
        <v>4.95</v>
      </c>
      <c r="H198" s="61" t="str">
        <f t="shared" si="24"/>
        <v xml:space="preserve"> CZK</v>
      </c>
      <c r="I198" s="46" t="str">
        <f t="shared" si="25"/>
        <v/>
      </c>
      <c r="J198" s="138"/>
      <c r="K198" s="47">
        <f>VLOOKUP(B198,CENY!$B$11:$M$1034,8,FALSE)</f>
        <v>0</v>
      </c>
      <c r="L198" s="47" t="str">
        <f>VLOOKUP(B198,CENY!$B$11:$M$1034,9,FALSE)</f>
        <v xml:space="preserve"> </v>
      </c>
      <c r="M198" s="55"/>
      <c r="N198" s="38">
        <f>SUM(P198:BX198)</f>
        <v>0</v>
      </c>
      <c r="O198" s="39">
        <v>0</v>
      </c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66">
        <f>'AVT139(vn-A)'!BI113</f>
        <v>0</v>
      </c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203"/>
      <c r="BP198" s="203"/>
      <c r="BQ198" s="203"/>
      <c r="BR198" s="203"/>
      <c r="BS198" s="203"/>
      <c r="BT198" s="203"/>
      <c r="BU198" s="203"/>
      <c r="BV198" s="203"/>
      <c r="BW198" s="62"/>
      <c r="BX198" s="185"/>
      <c r="BY198" s="35"/>
      <c r="BZ198" s="27"/>
      <c r="CA198" s="27"/>
      <c r="CB198" s="27"/>
      <c r="CC198" s="27"/>
      <c r="CD198" s="27"/>
      <c r="CE198" s="27"/>
      <c r="CF198" s="27"/>
    </row>
    <row r="199" spans="1:84" ht="15" customHeight="1">
      <c r="A199" s="4"/>
      <c r="B199" s="439">
        <f>IF($Q$8=$Q$7,CENY!B473,IF($Q$7=$Q$9,CENY!B476,CENY!B479))</f>
        <v>9257631</v>
      </c>
      <c r="C199" s="48" t="str">
        <f>VLOOKUP(B199,CENY!$B$11:$G$1034,2,FALSE)</f>
        <v>AVANTECH YOU KONCOVÁ KRYTKA ČELA VNITŘNÍ ZÁSUVKY V187 STŘÍBRNÁ</v>
      </c>
      <c r="D199" s="488">
        <f>VLOOKUP(B199,CENY!$B$11:$G$1034,3,FALSE)</f>
        <v>200</v>
      </c>
      <c r="E199" s="63" t="str">
        <f>IF(VLOOKUP(B199,CENY!$B$11:$G$1034,4,FALSE)=0,"",VLOOKUP(B199,CENY!$B$11:$G$1034,4,FALSE))</f>
        <v/>
      </c>
      <c r="F199" s="45" t="str">
        <f>IF(J199&lt;&gt;"",J199,IF(N199=0,"",N199))</f>
        <v/>
      </c>
      <c r="G199" s="59">
        <f>VLOOKUP(B199,CENY!$B$11:$M$1034,12,FALSE)</f>
        <v>6.44</v>
      </c>
      <c r="H199" s="61" t="str">
        <f t="shared" si="24"/>
        <v xml:space="preserve"> CZK</v>
      </c>
      <c r="I199" s="46" t="str">
        <f t="shared" si="25"/>
        <v/>
      </c>
      <c r="J199" s="138"/>
      <c r="K199" s="47">
        <f>VLOOKUP(B199,CENY!$B$11:$M$1034,8,FALSE)</f>
        <v>0</v>
      </c>
      <c r="L199" s="47" t="str">
        <f>VLOOKUP(B199,CENY!$B$11:$M$1034,9,FALSE)</f>
        <v xml:space="preserve"> </v>
      </c>
      <c r="M199" s="55"/>
      <c r="N199" s="38">
        <f>SUM(P199:BX199)</f>
        <v>0</v>
      </c>
      <c r="O199" s="39">
        <v>0</v>
      </c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66">
        <f>'AVT187(vn-A)'!BI131</f>
        <v>0</v>
      </c>
      <c r="AF199" s="41"/>
      <c r="AG199" s="466">
        <f>'AVT187In(vn-A)'!BI105</f>
        <v>0</v>
      </c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203"/>
      <c r="BP199" s="203"/>
      <c r="BQ199" s="203"/>
      <c r="BR199" s="203"/>
      <c r="BS199" s="203"/>
      <c r="BT199" s="203"/>
      <c r="BU199" s="203"/>
      <c r="BV199" s="203"/>
      <c r="BW199" s="62"/>
      <c r="BX199" s="185"/>
      <c r="BY199" s="35"/>
      <c r="BZ199" s="27"/>
      <c r="CA199" s="27"/>
      <c r="CB199" s="27"/>
      <c r="CC199" s="27"/>
      <c r="CD199" s="27"/>
      <c r="CE199" s="27"/>
      <c r="CF199" s="27"/>
    </row>
    <row r="200" spans="1:84" ht="8.1" customHeight="1">
      <c r="A200" s="4"/>
      <c r="B200" s="142"/>
      <c r="C200" s="48"/>
      <c r="D200" s="44"/>
      <c r="E200" s="63"/>
      <c r="F200" s="67"/>
      <c r="G200" s="59"/>
      <c r="H200" s="61"/>
      <c r="I200" s="46"/>
      <c r="J200" s="138"/>
      <c r="K200" s="47"/>
      <c r="L200" s="47"/>
      <c r="M200" s="55"/>
      <c r="N200" s="38"/>
      <c r="O200" s="39">
        <v>0</v>
      </c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203"/>
      <c r="BP200" s="203"/>
      <c r="BQ200" s="203"/>
      <c r="BR200" s="203"/>
      <c r="BS200" s="203"/>
      <c r="BT200" s="203"/>
      <c r="BU200" s="203"/>
      <c r="BV200" s="203"/>
      <c r="BW200" s="62"/>
      <c r="BX200" s="185"/>
      <c r="BY200" s="35"/>
      <c r="BZ200" s="27"/>
      <c r="CA200" s="27"/>
      <c r="CB200" s="27"/>
      <c r="CC200" s="27"/>
      <c r="CD200" s="27"/>
      <c r="CE200" s="27"/>
      <c r="CF200" s="27"/>
    </row>
    <row r="201" spans="1:84" ht="15" customHeight="1">
      <c r="A201" s="4"/>
      <c r="B201" s="439">
        <f>IF($Q$8=$Q$7,CENY!B468,IF($Q$7=$Q$9,CENY!B469,CENY!B470))</f>
        <v>9257734</v>
      </c>
      <c r="C201" s="48" t="str">
        <f>VLOOKUP(B201,CENY!$B$11:$G$1034,2,FALSE)</f>
        <v>AVANTECH YOU UNAŠEČ PRO VNITŘNÍ ČELO SADA STŘÍBRNÁ</v>
      </c>
      <c r="D201" s="490">
        <f>VLOOKUP(B201,CENY!$B$11:$G$1034,3,FALSE)</f>
        <v>1</v>
      </c>
      <c r="E201" s="63" t="str">
        <f>IF(VLOOKUP(B201,CENY!$B$11:$G$1034,4,FALSE)=0,"",VLOOKUP(B201,CENY!$B$11:$G$1034,4,FALSE))</f>
        <v/>
      </c>
      <c r="F201" s="45" t="str">
        <f>IF(J201&lt;&gt;"",J201,IF(N201=0,"",N201))</f>
        <v/>
      </c>
      <c r="G201" s="59">
        <f>VLOOKUP(B201,CENY!$B$11:$M$1034,12,FALSE)</f>
        <v>139.51</v>
      </c>
      <c r="H201" s="61" t="str">
        <f t="shared" si="24"/>
        <v xml:space="preserve"> CZK</v>
      </c>
      <c r="I201" s="46" t="str">
        <f t="shared" si="25"/>
        <v/>
      </c>
      <c r="J201" s="138"/>
      <c r="K201" s="47">
        <f>VLOOKUP(B201,CENY!$B$11:$M$1034,8,FALSE)</f>
        <v>0</v>
      </c>
      <c r="L201" s="47" t="str">
        <f>VLOOKUP(B201,CENY!$B$11:$M$1034,9,FALSE)</f>
        <v xml:space="preserve"> </v>
      </c>
      <c r="M201" s="55"/>
      <c r="N201" s="38">
        <f>SUM(P201:BX201)</f>
        <v>0</v>
      </c>
      <c r="O201" s="39">
        <v>0</v>
      </c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203"/>
      <c r="BP201" s="203"/>
      <c r="BQ201" s="203"/>
      <c r="BR201" s="203"/>
      <c r="BS201" s="203"/>
      <c r="BT201" s="203"/>
      <c r="BU201" s="203"/>
      <c r="BV201" s="203"/>
      <c r="BW201" s="62"/>
      <c r="BX201" s="185"/>
      <c r="BY201" s="35"/>
      <c r="BZ201" s="27"/>
      <c r="CA201" s="27"/>
      <c r="CB201" s="27"/>
      <c r="CC201" s="27"/>
      <c r="CD201" s="27"/>
      <c r="CE201" s="27"/>
      <c r="CF201" s="27"/>
    </row>
    <row r="202" spans="1:84" ht="8.1" customHeight="1">
      <c r="A202" s="4"/>
      <c r="B202" s="142"/>
      <c r="C202" s="48"/>
      <c r="D202" s="44"/>
      <c r="E202" s="63"/>
      <c r="F202" s="67"/>
      <c r="G202" s="59"/>
      <c r="H202" s="61"/>
      <c r="I202" s="46"/>
      <c r="J202" s="138"/>
      <c r="K202" s="47"/>
      <c r="L202" s="47"/>
      <c r="M202" s="55"/>
      <c r="N202" s="38"/>
      <c r="O202" s="39">
        <v>0</v>
      </c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203"/>
      <c r="BP202" s="203"/>
      <c r="BQ202" s="203"/>
      <c r="BR202" s="203"/>
      <c r="BS202" s="203"/>
      <c r="BT202" s="203"/>
      <c r="BU202" s="203"/>
      <c r="BV202" s="203"/>
      <c r="BW202" s="62"/>
      <c r="BX202" s="185"/>
      <c r="BY202" s="35"/>
      <c r="BZ202" s="27"/>
      <c r="CA202" s="27"/>
      <c r="CB202" s="27"/>
      <c r="CC202" s="27"/>
      <c r="CD202" s="27"/>
      <c r="CE202" s="27"/>
      <c r="CF202" s="27"/>
    </row>
    <row r="203" spans="1:84" ht="15" customHeight="1">
      <c r="A203" s="4"/>
      <c r="B203" s="439">
        <f>IF($Q$8=$Q$7,CENY!B480,IF($Q$7=$Q$9,CENY!B481,CENY!B482))</f>
        <v>9257663</v>
      </c>
      <c r="C203" s="48" t="str">
        <f>VLOOKUP(B203,CENY!$B$11:$G$1034,2,FALSE)</f>
        <v>AVANTECH YOU NOSNÝ PROFIL PRO VNITŘNÍ ČELO INLAY L2000 MM STŘÍBRNÁ</v>
      </c>
      <c r="D203" s="490">
        <f>VLOOKUP(B203,CENY!$B$11:$G$1034,3,FALSE)</f>
        <v>1</v>
      </c>
      <c r="E203" s="63" t="str">
        <f>IF(VLOOKUP(B203,CENY!$B$11:$G$1034,4,FALSE)=0,"",VLOOKUP(B203,CENY!$B$11:$G$1034,4,FALSE))</f>
        <v/>
      </c>
      <c r="F203" s="45" t="str">
        <f>IF(J203&lt;&gt;"",J203,IF(N203=0,"",N203))</f>
        <v/>
      </c>
      <c r="G203" s="59">
        <f>VLOOKUP(B203,CENY!$B$11:$M$1034,12,FALSE)</f>
        <v>710.85</v>
      </c>
      <c r="H203" s="61" t="str">
        <f t="shared" si="24"/>
        <v xml:space="preserve"> CZK</v>
      </c>
      <c r="I203" s="46" t="str">
        <f t="shared" si="25"/>
        <v/>
      </c>
      <c r="J203" s="138"/>
      <c r="K203" s="47">
        <f>VLOOKUP(B203,CENY!$B$11:$M$1034,8,FALSE)</f>
        <v>0</v>
      </c>
      <c r="L203" s="47" t="str">
        <f>VLOOKUP(B203,CENY!$B$11:$M$1034,9,FALSE)</f>
        <v xml:space="preserve"> </v>
      </c>
      <c r="M203" s="55"/>
      <c r="N203" s="38">
        <f>SUM(P203:BX203)</f>
        <v>0</v>
      </c>
      <c r="O203" s="39">
        <v>0</v>
      </c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70">
        <f>'AVT187(vn-S)'!AZ83</f>
        <v>0</v>
      </c>
      <c r="AI203" s="470">
        <f>'AVT187(vn-S)'!BI128</f>
        <v>0</v>
      </c>
      <c r="AJ203" s="470">
        <f>'AVT187In(vn-S)'!AZ83</f>
        <v>0</v>
      </c>
      <c r="AK203" s="470">
        <f>'AVT187In(vn-S)'!BI102</f>
        <v>0</v>
      </c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203"/>
      <c r="BP203" s="203"/>
      <c r="BQ203" s="203"/>
      <c r="BR203" s="203"/>
      <c r="BS203" s="203"/>
      <c r="BT203" s="203"/>
      <c r="BU203" s="203"/>
      <c r="BV203" s="203"/>
      <c r="BW203" s="62"/>
      <c r="BX203" s="185"/>
      <c r="BY203" s="35"/>
      <c r="BZ203" s="27"/>
      <c r="CA203" s="27"/>
      <c r="CB203" s="27"/>
      <c r="CC203" s="27"/>
      <c r="CD203" s="27"/>
      <c r="CE203" s="27"/>
      <c r="CF203" s="27"/>
    </row>
    <row r="204" spans="1:84" ht="15" customHeight="1">
      <c r="A204" s="4"/>
      <c r="B204" s="439">
        <f>IF($Q$8=$Q$7,CENY!B483,IF($Q$7=$Q$9,CENY!B484,CENY!B485))</f>
        <v>9257651</v>
      </c>
      <c r="C204" s="48" t="str">
        <f>VLOOKUP(B204,CENY!$B$11:$G$1034,2,FALSE)</f>
        <v>AVANTECH YOU SADA SPOJEK PRO VNITŘNÍ ČELO INLAY K BOKŮM STANDARD V187 MM STŘÍBRNÁ</v>
      </c>
      <c r="D204" s="490">
        <f>VLOOKUP(B204,CENY!$B$11:$G$1034,3,FALSE)</f>
        <v>1</v>
      </c>
      <c r="E204" s="63" t="str">
        <f>IF(VLOOKUP(B204,CENY!$B$11:$G$1034,4,FALSE)=0,"",VLOOKUP(B204,CENY!$B$11:$G$1034,4,FALSE))</f>
        <v/>
      </c>
      <c r="F204" s="45" t="str">
        <f>IF(J204&lt;&gt;"",J204,IF(N204=0,"",N204))</f>
        <v/>
      </c>
      <c r="G204" s="59">
        <f>VLOOKUP(B204,CENY!$B$11:$M$1034,12,FALSE)</f>
        <v>492.14</v>
      </c>
      <c r="H204" s="61" t="str">
        <f t="shared" si="24"/>
        <v xml:space="preserve"> CZK</v>
      </c>
      <c r="I204" s="46" t="str">
        <f t="shared" si="25"/>
        <v/>
      </c>
      <c r="J204" s="138"/>
      <c r="K204" s="47">
        <f>VLOOKUP(B204,CENY!$B$11:$M$1034,8,FALSE)</f>
        <v>0</v>
      </c>
      <c r="L204" s="47" t="str">
        <f>VLOOKUP(B204,CENY!$B$11:$M$1034,9,FALSE)</f>
        <v xml:space="preserve"> </v>
      </c>
      <c r="M204" s="55"/>
      <c r="N204" s="38">
        <f>SUM(P204:BX204)</f>
        <v>0</v>
      </c>
      <c r="O204" s="39">
        <v>0</v>
      </c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70">
        <f>'AVT187(vn-S)'!AZ84</f>
        <v>0</v>
      </c>
      <c r="AI204" s="470">
        <f>'AVT187(vn-S)'!BI129</f>
        <v>0</v>
      </c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203"/>
      <c r="BP204" s="203"/>
      <c r="BQ204" s="203"/>
      <c r="BR204" s="203"/>
      <c r="BS204" s="203"/>
      <c r="BT204" s="203"/>
      <c r="BU204" s="203"/>
      <c r="BV204" s="203"/>
      <c r="BW204" s="62"/>
      <c r="BX204" s="185"/>
      <c r="BY204" s="35"/>
      <c r="BZ204" s="27"/>
      <c r="CA204" s="27"/>
      <c r="CB204" s="27"/>
      <c r="CC204" s="27"/>
      <c r="CD204" s="27"/>
      <c r="CE204" s="27"/>
      <c r="CF204" s="27"/>
    </row>
    <row r="205" spans="1:84" ht="15" customHeight="1">
      <c r="A205" s="4"/>
      <c r="B205" s="439">
        <f>IF($Q$8=$Q$7,CENY!B486,IF($Q$7=$Q$9,CENY!B487,CENY!B488))</f>
        <v>9257657</v>
      </c>
      <c r="C205" s="48" t="str">
        <f>VLOOKUP(B205,CENY!$B$11:$G$1034,2,FALSE)</f>
        <v>AVANTECH YOU SADA SPOJEK PRO VNITŘNÍ ČELO INLAY K BOKŮM INLAY V187 MM STŘÍBRNÁ</v>
      </c>
      <c r="D205" s="490">
        <f>VLOOKUP(B205,CENY!$B$11:$G$1034,3,FALSE)</f>
        <v>1</v>
      </c>
      <c r="E205" s="63" t="str">
        <f>IF(VLOOKUP(B205,CENY!$B$11:$G$1034,4,FALSE)=0,"",VLOOKUP(B205,CENY!$B$11:$G$1034,4,FALSE))</f>
        <v/>
      </c>
      <c r="F205" s="45" t="str">
        <f>IF(J205&lt;&gt;"",J205,IF(N205=0,"",N205))</f>
        <v/>
      </c>
      <c r="G205" s="59">
        <f>VLOOKUP(B205,CENY!$B$11:$M$1034,12,FALSE)</f>
        <v>492.14</v>
      </c>
      <c r="H205" s="61" t="str">
        <f t="shared" si="24"/>
        <v xml:space="preserve"> CZK</v>
      </c>
      <c r="I205" s="46" t="str">
        <f t="shared" si="25"/>
        <v/>
      </c>
      <c r="J205" s="138"/>
      <c r="K205" s="47">
        <f>VLOOKUP(B205,CENY!$B$11:$M$1034,8,FALSE)</f>
        <v>0</v>
      </c>
      <c r="L205" s="47" t="str">
        <f>VLOOKUP(B205,CENY!$B$11:$M$1034,9,FALSE)</f>
        <v xml:space="preserve"> </v>
      </c>
      <c r="M205" s="55"/>
      <c r="N205" s="38">
        <f>SUM(P205:BX205)</f>
        <v>0</v>
      </c>
      <c r="O205" s="39">
        <v>0</v>
      </c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70">
        <f>'AVT187In(vn-S)'!AZ84</f>
        <v>0</v>
      </c>
      <c r="AK205" s="470">
        <f>'AVT187In(vn-S)'!BI103</f>
        <v>0</v>
      </c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203"/>
      <c r="BP205" s="203"/>
      <c r="BQ205" s="203"/>
      <c r="BR205" s="203"/>
      <c r="BS205" s="203"/>
      <c r="BT205" s="203"/>
      <c r="BU205" s="203"/>
      <c r="BV205" s="203"/>
      <c r="BW205" s="62"/>
      <c r="BX205" s="185"/>
      <c r="BY205" s="35"/>
      <c r="BZ205" s="27"/>
      <c r="CA205" s="27"/>
      <c r="CB205" s="27"/>
      <c r="CC205" s="27"/>
      <c r="CD205" s="27"/>
      <c r="CE205" s="27"/>
      <c r="CF205" s="27"/>
    </row>
    <row r="206" spans="1:84" ht="8.1" customHeight="1">
      <c r="A206" s="4"/>
      <c r="B206" s="142"/>
      <c r="C206" s="48"/>
      <c r="D206" s="44"/>
      <c r="E206" s="63"/>
      <c r="F206" s="67"/>
      <c r="G206" s="59"/>
      <c r="H206" s="61"/>
      <c r="I206" s="46"/>
      <c r="J206" s="138"/>
      <c r="K206" s="47"/>
      <c r="L206" s="47"/>
      <c r="M206" s="55"/>
      <c r="N206" s="38"/>
      <c r="O206" s="39">
        <v>0</v>
      </c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203"/>
      <c r="BP206" s="203"/>
      <c r="BQ206" s="203"/>
      <c r="BR206" s="203"/>
      <c r="BS206" s="203"/>
      <c r="BT206" s="203"/>
      <c r="BU206" s="203"/>
      <c r="BV206" s="203"/>
      <c r="BW206" s="62"/>
      <c r="BX206" s="185"/>
      <c r="BY206" s="35"/>
      <c r="BZ206" s="27"/>
      <c r="CA206" s="27"/>
      <c r="CB206" s="27"/>
      <c r="CC206" s="27"/>
      <c r="CD206" s="27"/>
      <c r="CE206" s="27"/>
      <c r="CF206" s="27"/>
    </row>
    <row r="207" spans="1:84" ht="15" customHeight="1">
      <c r="A207" s="4"/>
      <c r="B207" s="439">
        <f>VLOOKUP(FORM!AM21,FORM!AW16:AX22,2,FALSE)</f>
        <v>0</v>
      </c>
      <c r="C207" s="48" t="str">
        <f>IF(B207=0,"",VLOOKUP(B207,CENY!$B$11:$G$1034,2,FALSE))</f>
        <v/>
      </c>
      <c r="D207" s="488" t="str">
        <f>IF(B207=0,"",VLOOKUP(B207,CENY!$B$11:$G$1034,3,FALSE))</f>
        <v/>
      </c>
      <c r="E207" s="448" t="str">
        <f>IF(B207=0,"",IF(VLOOKUP(B207,CENY!$B$11:$G$1034,4,FALSE)=0,"",VLOOKUP(B207,CENY!$B$11:$G$1034,4,FALSE)))</f>
        <v/>
      </c>
      <c r="F207" s="45" t="str">
        <f>IF(J207&lt;&gt;"",J207,IF(N207=0,"",N207))</f>
        <v/>
      </c>
      <c r="G207" s="59" t="str">
        <f>IF(B207=0,"",VLOOKUP(B207,CENY!$B$11:$M$1034,12,FALSE))</f>
        <v/>
      </c>
      <c r="H207" s="61" t="str">
        <f>IF(G207="","",$H$22)</f>
        <v/>
      </c>
      <c r="I207" s="46" t="str">
        <f>IF(F207="","",G207*F207)</f>
        <v/>
      </c>
      <c r="J207" s="138"/>
      <c r="K207" s="47" t="str">
        <f>IF(B207=0,"",VLOOKUP(B207,CENY!$B$11:$M$1034,8,FALSE))</f>
        <v/>
      </c>
      <c r="L207" s="47" t="str">
        <f>IF(B207=0,"",VLOOKUP(B207,CENY!$B$11:$M$1034,9,FALSE))</f>
        <v/>
      </c>
      <c r="M207" s="55"/>
      <c r="N207" s="38">
        <f>SUM(P207:BX207)</f>
        <v>0</v>
      </c>
      <c r="O207" s="39">
        <v>0</v>
      </c>
      <c r="P207" s="450">
        <f>'AVT101'!AZ80</f>
        <v>0</v>
      </c>
      <c r="Q207" s="450">
        <f>'AVT101'!BI125</f>
        <v>0</v>
      </c>
      <c r="R207" s="450">
        <f>'AVT139'!AZ70</f>
        <v>0</v>
      </c>
      <c r="S207" s="450">
        <f>'AVT139'!BI107</f>
        <v>0</v>
      </c>
      <c r="T207" s="450">
        <f>'AVT187'!AZ80</f>
        <v>0</v>
      </c>
      <c r="U207" s="450">
        <f>'AVT187'!BI125</f>
        <v>0</v>
      </c>
      <c r="V207" s="450">
        <f>'AVT251'!AZ67</f>
        <v>0</v>
      </c>
      <c r="W207" s="450">
        <f>'AVT251'!BI100</f>
        <v>0</v>
      </c>
      <c r="X207" s="450">
        <f>AVT187In!AZ66</f>
        <v>0</v>
      </c>
      <c r="Y207" s="450">
        <f>AVT187In!BI99</f>
        <v>0</v>
      </c>
      <c r="Z207" s="450">
        <f>'AVT101(vn-A)'!AZ80</f>
        <v>0</v>
      </c>
      <c r="AA207" s="450">
        <f>'AVT101(vn-A)'!BI125</f>
        <v>0</v>
      </c>
      <c r="AB207" s="450">
        <f>'AVT139(vn-A)'!AZ70</f>
        <v>0</v>
      </c>
      <c r="AC207" s="450">
        <f>'AVT139(vn-A)'!BI107</f>
        <v>0</v>
      </c>
      <c r="AD207" s="450">
        <f>'AVT187(vn-A)'!AZ80</f>
        <v>0</v>
      </c>
      <c r="AE207" s="450">
        <f>'AVT187(vn-A)'!BI125</f>
        <v>0</v>
      </c>
      <c r="AF207" s="450">
        <f>'AVT187In(vn-A)'!AZ66</f>
        <v>0</v>
      </c>
      <c r="AG207" s="450">
        <f>'AVT187In(vn-A)'!BI99</f>
        <v>0</v>
      </c>
      <c r="AH207" s="450">
        <f>'AVT187(vn-S)'!AZ80</f>
        <v>0</v>
      </c>
      <c r="AI207" s="450">
        <f>'AVT187(vn-S)'!BI125</f>
        <v>0</v>
      </c>
      <c r="AJ207" s="450">
        <f>'AVT187In(vn-S)'!AZ66</f>
        <v>0</v>
      </c>
      <c r="AK207" s="450">
        <f>'AVT187In(vn-S)'!BI99</f>
        <v>0</v>
      </c>
      <c r="AL207" s="450">
        <f>'AVT77'!AZ48</f>
        <v>0</v>
      </c>
      <c r="AM207" s="450">
        <f>'AVT77'!BI68</f>
        <v>0</v>
      </c>
      <c r="AN207" s="450">
        <f>'AVT-celny-101+187'!AZ62</f>
        <v>0</v>
      </c>
      <c r="AO207" s="450">
        <f>'AVT-celny-101+187'!BI102</f>
        <v>0</v>
      </c>
      <c r="AP207" s="450">
        <f>'AVT-celny-139+187'!AZ53</f>
        <v>0</v>
      </c>
      <c r="AQ207" s="450">
        <f>'AVT-celny-139+187'!BI86</f>
        <v>0</v>
      </c>
      <c r="AR207" s="450">
        <f>'AVT-celny-2x187'!AZ51</f>
        <v>0</v>
      </c>
      <c r="AS207" s="450">
        <f>'AVT-celny-2x187'!BI82</f>
        <v>0</v>
      </c>
      <c r="AT207" s="450">
        <f>'AVT-celny-2x187In'!AZ43</f>
        <v>0</v>
      </c>
      <c r="AU207" s="450">
        <f>'AVT-celny-2x187In'!BI68</f>
        <v>0</v>
      </c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203"/>
      <c r="BP207" s="203"/>
      <c r="BQ207" s="203"/>
      <c r="BR207" s="203"/>
      <c r="BS207" s="203"/>
      <c r="BT207" s="203"/>
      <c r="BU207" s="203"/>
      <c r="BV207" s="203"/>
      <c r="BW207" s="62"/>
      <c r="BX207" s="185"/>
      <c r="BY207" s="35"/>
      <c r="BZ207" s="27"/>
      <c r="CA207" s="27"/>
      <c r="CB207" s="27"/>
      <c r="CC207" s="27"/>
      <c r="CD207" s="27"/>
      <c r="CE207" s="27"/>
      <c r="CF207" s="27"/>
    </row>
    <row r="208" spans="1:84" ht="8.1" customHeight="1">
      <c r="A208" s="4"/>
      <c r="B208" s="142"/>
      <c r="C208" s="48"/>
      <c r="D208" s="44"/>
      <c r="E208" s="63"/>
      <c r="F208" s="67"/>
      <c r="G208" s="59"/>
      <c r="H208" s="61"/>
      <c r="I208" s="46"/>
      <c r="J208" s="138"/>
      <c r="K208" s="47"/>
      <c r="L208" s="47"/>
      <c r="M208" s="55"/>
      <c r="N208" s="38"/>
      <c r="O208" s="39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203"/>
      <c r="BP208" s="203"/>
      <c r="BQ208" s="203"/>
      <c r="BR208" s="203"/>
      <c r="BS208" s="203"/>
      <c r="BT208" s="203"/>
      <c r="BU208" s="203"/>
      <c r="BV208" s="203"/>
      <c r="BW208" s="62"/>
      <c r="BX208" s="185"/>
      <c r="BY208" s="35"/>
      <c r="BZ208" s="27"/>
      <c r="CA208" s="27"/>
      <c r="CB208" s="27"/>
      <c r="CC208" s="27"/>
      <c r="CD208" s="27"/>
      <c r="CE208" s="27"/>
      <c r="CF208" s="27"/>
    </row>
    <row r="209" spans="1:84" ht="15" customHeight="1">
      <c r="A209" s="4"/>
      <c r="B209" s="439">
        <f>CENY!B549</f>
        <v>9283178</v>
      </c>
      <c r="C209" s="48" t="str">
        <f>VLOOKUP(B209,CENY!$B$11:$G$1034,2,FALSE)</f>
        <v>AVANTECH YOU SKLENĚNÁ VÝPLŇ 10 MM K BOKŮM INLAY NL350 MM</v>
      </c>
      <c r="D209" s="490">
        <f>VLOOKUP(B209,CENY!$B$11:$G$1034,3,FALSE)</f>
        <v>1</v>
      </c>
      <c r="E209" s="63" t="str">
        <f>IF(VLOOKUP(B209,CENY!$B$11:$G$1034,4,FALSE)=0,"",VLOOKUP(B209,CENY!$B$11:$G$1034,4,FALSE))</f>
        <v/>
      </c>
      <c r="F209" s="45" t="str">
        <f t="shared" ref="F209:F215" si="30">IF(J209&lt;&gt;"",J209,IF(N209=0,"",N209))</f>
        <v/>
      </c>
      <c r="G209" s="59">
        <f>VLOOKUP(B209,CENY!$B$11:$M$1034,12,FALSE)</f>
        <v>670.1</v>
      </c>
      <c r="H209" s="61" t="str">
        <f t="shared" ref="H209:H215" si="31">IF(G209="","",$H$22)</f>
        <v xml:space="preserve"> CZK</v>
      </c>
      <c r="I209" s="46" t="str">
        <f t="shared" ref="I209:I215" si="32">IF(F209="","",G209*F209)</f>
        <v/>
      </c>
      <c r="J209" s="138"/>
      <c r="K209" s="47">
        <f>VLOOKUP(B209,CENY!$B$11:$M$1034,8,FALSE)</f>
        <v>0</v>
      </c>
      <c r="L209" s="47" t="str">
        <f>VLOOKUP(B209,CENY!$B$11:$M$1034,9,FALSE)</f>
        <v xml:space="preserve"> </v>
      </c>
      <c r="M209" s="55"/>
      <c r="N209" s="38">
        <f t="shared" ref="N209:N215" si="33">SUM(P209:BX209)</f>
        <v>0</v>
      </c>
      <c r="O209" s="39">
        <v>0</v>
      </c>
      <c r="P209" s="41"/>
      <c r="Q209" s="41"/>
      <c r="R209" s="41"/>
      <c r="S209" s="41"/>
      <c r="T209" s="41"/>
      <c r="U209" s="41"/>
      <c r="V209" s="41"/>
      <c r="W209" s="41"/>
      <c r="X209" s="450">
        <f>AVT187In!AZ13</f>
        <v>0</v>
      </c>
      <c r="Y209" s="450">
        <f>AVT187In!BI23</f>
        <v>0</v>
      </c>
      <c r="Z209" s="41"/>
      <c r="AA209" s="41"/>
      <c r="AB209" s="41"/>
      <c r="AC209" s="41"/>
      <c r="AD209" s="41"/>
      <c r="AE209" s="41"/>
      <c r="AF209" s="450">
        <f>'AVT187In(vn-A)'!AZ13</f>
        <v>0</v>
      </c>
      <c r="AG209" s="450">
        <f>'AVT187In(vn-A)'!BI23</f>
        <v>0</v>
      </c>
      <c r="AH209" s="41"/>
      <c r="AI209" s="41"/>
      <c r="AJ209" s="450">
        <f>'AVT187In(vn-S)'!AZ13</f>
        <v>0</v>
      </c>
      <c r="AK209" s="450">
        <f>'AVT187In(vn-S)'!BI23</f>
        <v>0</v>
      </c>
      <c r="AL209" s="41"/>
      <c r="AM209" s="41"/>
      <c r="AN209" s="41"/>
      <c r="AO209" s="41"/>
      <c r="AP209" s="41"/>
      <c r="AQ209" s="41"/>
      <c r="AR209" s="41"/>
      <c r="AS209" s="41"/>
      <c r="AT209" s="450">
        <f>'AVT-celny-2x187In'!AZ13</f>
        <v>0</v>
      </c>
      <c r="AU209" s="450">
        <f>'AVT-celny-2x187In'!BI23</f>
        <v>0</v>
      </c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203"/>
      <c r="BP209" s="203"/>
      <c r="BQ209" s="203"/>
      <c r="BR209" s="203"/>
      <c r="BS209" s="203"/>
      <c r="BT209" s="203"/>
      <c r="BU209" s="203"/>
      <c r="BV209" s="203"/>
      <c r="BW209" s="62"/>
      <c r="BX209" s="185"/>
      <c r="BY209" s="35"/>
      <c r="BZ209" s="27"/>
      <c r="CA209" s="27"/>
      <c r="CB209" s="27"/>
      <c r="CC209" s="27"/>
      <c r="CD209" s="27"/>
      <c r="CE209" s="27"/>
      <c r="CF209" s="27"/>
    </row>
    <row r="210" spans="1:84" ht="15" customHeight="1">
      <c r="A210" s="4"/>
      <c r="B210" s="439">
        <f>CENY!B550</f>
        <v>9283179</v>
      </c>
      <c r="C210" s="48" t="str">
        <f>VLOOKUP(B210,CENY!$B$11:$G$1034,2,FALSE)</f>
        <v>AVANTECH YOU SKLENĚNÁ VÝPLŇ 10 MM K BOKŮM INLAY NL400 MM</v>
      </c>
      <c r="D210" s="490">
        <f>VLOOKUP(B210,CENY!$B$11:$G$1034,3,FALSE)</f>
        <v>1</v>
      </c>
      <c r="E210" s="63" t="str">
        <f>IF(VLOOKUP(B210,CENY!$B$11:$G$1034,4,FALSE)=0,"",VLOOKUP(B210,CENY!$B$11:$G$1034,4,FALSE))</f>
        <v/>
      </c>
      <c r="F210" s="45" t="str">
        <f t="shared" si="30"/>
        <v/>
      </c>
      <c r="G210" s="59">
        <f>VLOOKUP(B210,CENY!$B$11:$M$1034,12,FALSE)</f>
        <v>708.04</v>
      </c>
      <c r="H210" s="61" t="str">
        <f t="shared" si="31"/>
        <v xml:space="preserve"> CZK</v>
      </c>
      <c r="I210" s="46" t="str">
        <f t="shared" si="32"/>
        <v/>
      </c>
      <c r="J210" s="138"/>
      <c r="K210" s="47">
        <f>VLOOKUP(B210,CENY!$B$11:$M$1034,8,FALSE)</f>
        <v>0</v>
      </c>
      <c r="L210" s="47" t="str">
        <f>VLOOKUP(B210,CENY!$B$11:$M$1034,9,FALSE)</f>
        <v xml:space="preserve"> </v>
      </c>
      <c r="M210" s="55"/>
      <c r="N210" s="38">
        <f t="shared" si="33"/>
        <v>0</v>
      </c>
      <c r="O210" s="39">
        <v>0</v>
      </c>
      <c r="P210" s="41"/>
      <c r="Q210" s="41"/>
      <c r="R210" s="41"/>
      <c r="S210" s="41"/>
      <c r="T210" s="41"/>
      <c r="U210" s="41"/>
      <c r="V210" s="41"/>
      <c r="W210" s="41"/>
      <c r="X210" s="450">
        <f>AVT187In!AZ14</f>
        <v>0</v>
      </c>
      <c r="Y210" s="450">
        <f>AVT187In!BI24</f>
        <v>0</v>
      </c>
      <c r="Z210" s="41"/>
      <c r="AA210" s="41"/>
      <c r="AB210" s="41"/>
      <c r="AC210" s="41"/>
      <c r="AD210" s="41"/>
      <c r="AE210" s="41"/>
      <c r="AF210" s="450">
        <f>'AVT187In(vn-A)'!AZ14</f>
        <v>0</v>
      </c>
      <c r="AG210" s="450">
        <f>'AVT187In(vn-A)'!BI24</f>
        <v>0</v>
      </c>
      <c r="AH210" s="41"/>
      <c r="AI210" s="41"/>
      <c r="AJ210" s="450">
        <f>'AVT187In(vn-S)'!AZ14</f>
        <v>0</v>
      </c>
      <c r="AK210" s="450">
        <f>'AVT187In(vn-S)'!BI24</f>
        <v>0</v>
      </c>
      <c r="AL210" s="41"/>
      <c r="AM210" s="41"/>
      <c r="AN210" s="41"/>
      <c r="AO210" s="41"/>
      <c r="AP210" s="41"/>
      <c r="AQ210" s="41"/>
      <c r="AR210" s="41"/>
      <c r="AS210" s="41"/>
      <c r="AT210" s="450">
        <f>'AVT-celny-2x187In'!AZ14</f>
        <v>0</v>
      </c>
      <c r="AU210" s="450">
        <f>'AVT-celny-2x187In'!BI24</f>
        <v>0</v>
      </c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203"/>
      <c r="BP210" s="203"/>
      <c r="BQ210" s="203"/>
      <c r="BR210" s="203"/>
      <c r="BS210" s="203"/>
      <c r="BT210" s="203"/>
      <c r="BU210" s="203"/>
      <c r="BV210" s="203"/>
      <c r="BW210" s="62"/>
      <c r="BX210" s="185"/>
      <c r="BY210" s="35"/>
      <c r="BZ210" s="27"/>
      <c r="CA210" s="27"/>
      <c r="CB210" s="27"/>
      <c r="CC210" s="27"/>
      <c r="CD210" s="27"/>
      <c r="CE210" s="27"/>
      <c r="CF210" s="27"/>
    </row>
    <row r="211" spans="1:84" ht="15" customHeight="1">
      <c r="A211" s="4"/>
      <c r="B211" s="439">
        <f>CENY!B551</f>
        <v>9283180</v>
      </c>
      <c r="C211" s="48" t="str">
        <f>VLOOKUP(B211,CENY!$B$11:$G$1034,2,FALSE)</f>
        <v>AVANTECH YOU SKLENĚNÁ VÝPLŇ 10 MM K BOKŮM INLAY NL450 MM</v>
      </c>
      <c r="D211" s="490">
        <f>VLOOKUP(B211,CENY!$B$11:$G$1034,3,FALSE)</f>
        <v>1</v>
      </c>
      <c r="E211" s="63" t="str">
        <f>IF(VLOOKUP(B211,CENY!$B$11:$G$1034,4,FALSE)=0,"",VLOOKUP(B211,CENY!$B$11:$G$1034,4,FALSE))</f>
        <v/>
      </c>
      <c r="F211" s="45" t="str">
        <f t="shared" si="30"/>
        <v/>
      </c>
      <c r="G211" s="59">
        <f>VLOOKUP(B211,CENY!$B$11:$M$1034,12,FALSE)</f>
        <v>745.99</v>
      </c>
      <c r="H211" s="61" t="str">
        <f t="shared" si="31"/>
        <v xml:space="preserve"> CZK</v>
      </c>
      <c r="I211" s="46" t="str">
        <f t="shared" si="32"/>
        <v/>
      </c>
      <c r="J211" s="138"/>
      <c r="K211" s="47">
        <f>VLOOKUP(B211,CENY!$B$11:$M$1034,8,FALSE)</f>
        <v>0</v>
      </c>
      <c r="L211" s="47" t="str">
        <f>VLOOKUP(B211,CENY!$B$11:$M$1034,9,FALSE)</f>
        <v xml:space="preserve"> </v>
      </c>
      <c r="M211" s="55"/>
      <c r="N211" s="38">
        <f t="shared" si="33"/>
        <v>0</v>
      </c>
      <c r="O211" s="39">
        <v>0</v>
      </c>
      <c r="P211" s="41"/>
      <c r="Q211" s="41"/>
      <c r="R211" s="41"/>
      <c r="S211" s="41"/>
      <c r="T211" s="41"/>
      <c r="U211" s="41"/>
      <c r="V211" s="41"/>
      <c r="W211" s="41"/>
      <c r="X211" s="450">
        <f>AVT187In!AZ15</f>
        <v>0</v>
      </c>
      <c r="Y211" s="450">
        <f>AVT187In!BI25</f>
        <v>0</v>
      </c>
      <c r="Z211" s="41"/>
      <c r="AA211" s="41"/>
      <c r="AB211" s="41"/>
      <c r="AC211" s="41"/>
      <c r="AD211" s="41"/>
      <c r="AE211" s="41"/>
      <c r="AF211" s="450">
        <f>'AVT187In(vn-A)'!AZ15</f>
        <v>0</v>
      </c>
      <c r="AG211" s="450">
        <f>'AVT187In(vn-A)'!BI25</f>
        <v>0</v>
      </c>
      <c r="AH211" s="41"/>
      <c r="AI211" s="41"/>
      <c r="AJ211" s="450">
        <f>'AVT187In(vn-S)'!AZ15</f>
        <v>0</v>
      </c>
      <c r="AK211" s="450">
        <f>'AVT187In(vn-S)'!BI25</f>
        <v>0</v>
      </c>
      <c r="AL211" s="41"/>
      <c r="AM211" s="41"/>
      <c r="AN211" s="41"/>
      <c r="AO211" s="41"/>
      <c r="AP211" s="41"/>
      <c r="AQ211" s="41"/>
      <c r="AR211" s="41"/>
      <c r="AS211" s="41"/>
      <c r="AT211" s="450">
        <f>'AVT-celny-2x187In'!AZ15</f>
        <v>0</v>
      </c>
      <c r="AU211" s="450">
        <f>'AVT-celny-2x187In'!BI25</f>
        <v>0</v>
      </c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203"/>
      <c r="BP211" s="203"/>
      <c r="BQ211" s="203"/>
      <c r="BR211" s="203"/>
      <c r="BS211" s="203"/>
      <c r="BT211" s="203"/>
      <c r="BU211" s="203"/>
      <c r="BV211" s="203"/>
      <c r="BW211" s="62"/>
      <c r="BX211" s="185"/>
      <c r="BY211" s="35"/>
      <c r="BZ211" s="27"/>
      <c r="CA211" s="27"/>
      <c r="CB211" s="27"/>
      <c r="CC211" s="27"/>
      <c r="CD211" s="27"/>
      <c r="CE211" s="27"/>
      <c r="CF211" s="27"/>
    </row>
    <row r="212" spans="1:84" ht="15" customHeight="1">
      <c r="A212" s="4"/>
      <c r="B212" s="439">
        <f>CENY!B552</f>
        <v>9283181</v>
      </c>
      <c r="C212" s="48" t="str">
        <f>VLOOKUP(B212,CENY!$B$11:$G$1034,2,FALSE)</f>
        <v>AVANTECH YOU SKLENĚNÁ VÝPLŇ 10 MM K BOKŮM INLAY NL500 MM</v>
      </c>
      <c r="D212" s="490">
        <f>VLOOKUP(B212,CENY!$B$11:$G$1034,3,FALSE)</f>
        <v>1</v>
      </c>
      <c r="E212" s="63" t="str">
        <f>IF(VLOOKUP(B212,CENY!$B$11:$G$1034,4,FALSE)=0,"",VLOOKUP(B212,CENY!$B$11:$G$1034,4,FALSE))</f>
        <v/>
      </c>
      <c r="F212" s="45" t="str">
        <f t="shared" si="30"/>
        <v/>
      </c>
      <c r="G212" s="59">
        <f>VLOOKUP(B212,CENY!$B$11:$M$1034,12,FALSE)</f>
        <v>783.93</v>
      </c>
      <c r="H212" s="61" t="str">
        <f t="shared" si="31"/>
        <v xml:space="preserve"> CZK</v>
      </c>
      <c r="I212" s="46" t="str">
        <f t="shared" si="32"/>
        <v/>
      </c>
      <c r="J212" s="138"/>
      <c r="K212" s="47">
        <f>VLOOKUP(B212,CENY!$B$11:$M$1034,8,FALSE)</f>
        <v>0</v>
      </c>
      <c r="L212" s="47" t="str">
        <f>VLOOKUP(B212,CENY!$B$11:$M$1034,9,FALSE)</f>
        <v xml:space="preserve"> </v>
      </c>
      <c r="M212" s="55"/>
      <c r="N212" s="38">
        <f t="shared" si="33"/>
        <v>0</v>
      </c>
      <c r="O212" s="39">
        <v>0</v>
      </c>
      <c r="P212" s="41"/>
      <c r="Q212" s="41"/>
      <c r="R212" s="41"/>
      <c r="S212" s="41"/>
      <c r="T212" s="41"/>
      <c r="U212" s="41"/>
      <c r="V212" s="41"/>
      <c r="W212" s="41"/>
      <c r="X212" s="450">
        <f>AVT187In!AZ16</f>
        <v>0</v>
      </c>
      <c r="Y212" s="450">
        <f>AVT187In!BI26</f>
        <v>0</v>
      </c>
      <c r="Z212" s="41"/>
      <c r="AA212" s="41"/>
      <c r="AB212" s="41"/>
      <c r="AC212" s="41"/>
      <c r="AD212" s="41"/>
      <c r="AE212" s="41"/>
      <c r="AF212" s="450">
        <f>'AVT187In(vn-A)'!AZ16</f>
        <v>0</v>
      </c>
      <c r="AG212" s="450">
        <f>'AVT187In(vn-A)'!BI26</f>
        <v>0</v>
      </c>
      <c r="AH212" s="41"/>
      <c r="AI212" s="41"/>
      <c r="AJ212" s="450">
        <f>'AVT187In(vn-S)'!AZ16</f>
        <v>0</v>
      </c>
      <c r="AK212" s="450">
        <f>'AVT187In(vn-S)'!BI26</f>
        <v>0</v>
      </c>
      <c r="AL212" s="41"/>
      <c r="AM212" s="41"/>
      <c r="AN212" s="41"/>
      <c r="AO212" s="41"/>
      <c r="AP212" s="41"/>
      <c r="AQ212" s="41"/>
      <c r="AR212" s="41"/>
      <c r="AS212" s="41"/>
      <c r="AT212" s="450">
        <f>'AVT-celny-2x187In'!AZ16</f>
        <v>0</v>
      </c>
      <c r="AU212" s="450">
        <f>'AVT-celny-2x187In'!BI26</f>
        <v>0</v>
      </c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203"/>
      <c r="BP212" s="203"/>
      <c r="BQ212" s="203"/>
      <c r="BR212" s="203"/>
      <c r="BS212" s="203"/>
      <c r="BT212" s="203"/>
      <c r="BU212" s="203"/>
      <c r="BV212" s="203"/>
      <c r="BW212" s="62"/>
      <c r="BX212" s="185"/>
      <c r="BY212" s="35"/>
      <c r="BZ212" s="27"/>
      <c r="CA212" s="27"/>
      <c r="CB212" s="27"/>
      <c r="CC212" s="27"/>
      <c r="CD212" s="27"/>
      <c r="CE212" s="27"/>
      <c r="CF212" s="27"/>
    </row>
    <row r="213" spans="1:84" ht="15" customHeight="1">
      <c r="A213" s="4"/>
      <c r="B213" s="439">
        <f>CENY!B553</f>
        <v>9283182</v>
      </c>
      <c r="C213" s="48" t="str">
        <f>VLOOKUP(B213,CENY!$B$11:$G$1034,2,FALSE)</f>
        <v>AVANTECH YOU SKLENĚNÁ VÝPLŇ 10 MM K BOKŮM INLAY NL550 MM</v>
      </c>
      <c r="D213" s="490">
        <f>VLOOKUP(B213,CENY!$B$11:$G$1034,3,FALSE)</f>
        <v>1</v>
      </c>
      <c r="E213" s="63" t="str">
        <f>IF(VLOOKUP(B213,CENY!$B$11:$G$1034,4,FALSE)=0,"",VLOOKUP(B213,CENY!$B$11:$G$1034,4,FALSE))</f>
        <v/>
      </c>
      <c r="F213" s="45" t="str">
        <f t="shared" si="30"/>
        <v/>
      </c>
      <c r="G213" s="59">
        <f>VLOOKUP(B213,CENY!$B$11:$M$1034,12,FALSE)</f>
        <v>859.8</v>
      </c>
      <c r="H213" s="61" t="str">
        <f t="shared" si="31"/>
        <v xml:space="preserve"> CZK</v>
      </c>
      <c r="I213" s="46" t="str">
        <f t="shared" si="32"/>
        <v/>
      </c>
      <c r="J213" s="138"/>
      <c r="K213" s="47">
        <f>VLOOKUP(B213,CENY!$B$11:$M$1034,8,FALSE)</f>
        <v>0</v>
      </c>
      <c r="L213" s="47" t="str">
        <f>VLOOKUP(B213,CENY!$B$11:$M$1034,9,FALSE)</f>
        <v xml:space="preserve"> </v>
      </c>
      <c r="M213" s="55"/>
      <c r="N213" s="38">
        <f t="shared" si="33"/>
        <v>0</v>
      </c>
      <c r="O213" s="39">
        <v>0</v>
      </c>
      <c r="P213" s="41"/>
      <c r="Q213" s="41"/>
      <c r="R213" s="41"/>
      <c r="S213" s="41"/>
      <c r="T213" s="41"/>
      <c r="U213" s="41"/>
      <c r="V213" s="41"/>
      <c r="W213" s="41"/>
      <c r="X213" s="450">
        <f>AVT187In!AZ17</f>
        <v>0</v>
      </c>
      <c r="Y213" s="450">
        <f>AVT187In!BI27</f>
        <v>0</v>
      </c>
      <c r="Z213" s="41"/>
      <c r="AA213" s="41"/>
      <c r="AB213" s="41"/>
      <c r="AC213" s="41"/>
      <c r="AD213" s="41"/>
      <c r="AE213" s="41"/>
      <c r="AF213" s="450">
        <f>'AVT187In(vn-A)'!AZ17</f>
        <v>0</v>
      </c>
      <c r="AG213" s="450">
        <f>'AVT187In(vn-A)'!BI27</f>
        <v>0</v>
      </c>
      <c r="AH213" s="41"/>
      <c r="AI213" s="41"/>
      <c r="AJ213" s="450">
        <f>'AVT187In(vn-S)'!AZ17</f>
        <v>0</v>
      </c>
      <c r="AK213" s="450">
        <f>'AVT187In(vn-S)'!BI27</f>
        <v>0</v>
      </c>
      <c r="AL213" s="41"/>
      <c r="AM213" s="41"/>
      <c r="AN213" s="41"/>
      <c r="AO213" s="41"/>
      <c r="AP213" s="41"/>
      <c r="AQ213" s="41"/>
      <c r="AR213" s="41"/>
      <c r="AS213" s="41"/>
      <c r="AT213" s="450">
        <f>'AVT-celny-2x187In'!AZ17</f>
        <v>0</v>
      </c>
      <c r="AU213" s="450">
        <f>'AVT-celny-2x187In'!BI27</f>
        <v>0</v>
      </c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203"/>
      <c r="BP213" s="203"/>
      <c r="BQ213" s="203"/>
      <c r="BR213" s="203"/>
      <c r="BS213" s="203"/>
      <c r="BT213" s="203"/>
      <c r="BU213" s="203"/>
      <c r="BV213" s="203"/>
      <c r="BW213" s="62"/>
      <c r="BX213" s="185"/>
      <c r="BY213" s="35"/>
      <c r="BZ213" s="27"/>
      <c r="CA213" s="27"/>
      <c r="CB213" s="27"/>
      <c r="CC213" s="27"/>
      <c r="CD213" s="27"/>
      <c r="CE213" s="27"/>
      <c r="CF213" s="27"/>
    </row>
    <row r="214" spans="1:84" ht="15" customHeight="1">
      <c r="A214" s="4"/>
      <c r="B214" s="439">
        <f>CENY!B554</f>
        <v>9283183</v>
      </c>
      <c r="C214" s="48" t="str">
        <f>VLOOKUP(B214,CENY!$B$11:$G$1034,2,FALSE)</f>
        <v>AVANTECH YOU SKLENĚNÁ VÝPLŇ 10 MM K BOKŮM INLAY NL600 MM</v>
      </c>
      <c r="D214" s="490">
        <f>VLOOKUP(B214,CENY!$B$11:$G$1034,3,FALSE)</f>
        <v>1</v>
      </c>
      <c r="E214" s="63" t="str">
        <f>IF(VLOOKUP(B214,CENY!$B$11:$G$1034,4,FALSE)=0,"",VLOOKUP(B214,CENY!$B$11:$G$1034,4,FALSE))</f>
        <v/>
      </c>
      <c r="F214" s="45" t="str">
        <f t="shared" si="30"/>
        <v/>
      </c>
      <c r="G214" s="59">
        <f>VLOOKUP(B214,CENY!$B$11:$M$1034,12,FALSE)</f>
        <v>935.66</v>
      </c>
      <c r="H214" s="61" t="str">
        <f t="shared" si="31"/>
        <v xml:space="preserve"> CZK</v>
      </c>
      <c r="I214" s="46" t="str">
        <f t="shared" si="32"/>
        <v/>
      </c>
      <c r="J214" s="138"/>
      <c r="K214" s="47">
        <f>VLOOKUP(B214,CENY!$B$11:$M$1034,8,FALSE)</f>
        <v>0</v>
      </c>
      <c r="L214" s="47" t="str">
        <f>VLOOKUP(B214,CENY!$B$11:$M$1034,9,FALSE)</f>
        <v xml:space="preserve"> </v>
      </c>
      <c r="M214" s="55"/>
      <c r="N214" s="38">
        <f t="shared" si="33"/>
        <v>0</v>
      </c>
      <c r="O214" s="39">
        <v>0</v>
      </c>
      <c r="P214" s="41"/>
      <c r="Q214" s="41"/>
      <c r="R214" s="41"/>
      <c r="S214" s="41"/>
      <c r="T214" s="41"/>
      <c r="U214" s="41"/>
      <c r="V214" s="41"/>
      <c r="W214" s="41"/>
      <c r="X214" s="450">
        <f>AVT187In!AZ18</f>
        <v>0</v>
      </c>
      <c r="Y214" s="450">
        <f>AVT187In!BI28</f>
        <v>0</v>
      </c>
      <c r="Z214" s="41"/>
      <c r="AA214" s="41"/>
      <c r="AB214" s="41"/>
      <c r="AC214" s="41"/>
      <c r="AD214" s="41"/>
      <c r="AE214" s="41"/>
      <c r="AF214" s="450">
        <f>'AVT187In(vn-A)'!AZ18</f>
        <v>0</v>
      </c>
      <c r="AG214" s="450">
        <f>'AVT187In(vn-A)'!BI28</f>
        <v>0</v>
      </c>
      <c r="AH214" s="41"/>
      <c r="AI214" s="41"/>
      <c r="AJ214" s="450">
        <f>'AVT187In(vn-S)'!AZ18</f>
        <v>0</v>
      </c>
      <c r="AK214" s="450">
        <f>'AVT187In(vn-S)'!BI28</f>
        <v>0</v>
      </c>
      <c r="AL214" s="41"/>
      <c r="AM214" s="41"/>
      <c r="AN214" s="41"/>
      <c r="AO214" s="41"/>
      <c r="AP214" s="41"/>
      <c r="AQ214" s="41"/>
      <c r="AR214" s="41"/>
      <c r="AS214" s="41"/>
      <c r="AT214" s="450">
        <f>'AVT-celny-2x187In'!AZ18</f>
        <v>0</v>
      </c>
      <c r="AU214" s="450">
        <f>'AVT-celny-2x187In'!BI28</f>
        <v>0</v>
      </c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203"/>
      <c r="BP214" s="203"/>
      <c r="BQ214" s="203"/>
      <c r="BR214" s="203"/>
      <c r="BS214" s="203"/>
      <c r="BT214" s="203"/>
      <c r="BU214" s="203"/>
      <c r="BV214" s="203"/>
      <c r="BW214" s="62"/>
      <c r="BX214" s="185"/>
      <c r="BY214" s="35"/>
      <c r="BZ214" s="27"/>
      <c r="CA214" s="27"/>
      <c r="CB214" s="27"/>
      <c r="CC214" s="27"/>
      <c r="CD214" s="27"/>
      <c r="CE214" s="27"/>
      <c r="CF214" s="27"/>
    </row>
    <row r="215" spans="1:84" ht="15" customHeight="1">
      <c r="A215" s="4"/>
      <c r="B215" s="439">
        <f>CENY!B555</f>
        <v>9283184</v>
      </c>
      <c r="C215" s="48" t="str">
        <f>VLOOKUP(B215,CENY!$B$11:$G$1034,2,FALSE)</f>
        <v>AVANTECH YOU SKLENĚNÁ VÝPLŇ 10 MM K BOKŮM INLAY NL650 MM</v>
      </c>
      <c r="D215" s="490">
        <f>VLOOKUP(B215,CENY!$B$11:$G$1034,3,FALSE)</f>
        <v>1</v>
      </c>
      <c r="E215" s="63" t="str">
        <f>IF(VLOOKUP(B215,CENY!$B$11:$G$1034,4,FALSE)=0,"",VLOOKUP(B215,CENY!$B$11:$G$1034,4,FALSE))</f>
        <v/>
      </c>
      <c r="F215" s="45" t="str">
        <f t="shared" si="30"/>
        <v/>
      </c>
      <c r="G215" s="59">
        <f>VLOOKUP(B215,CENY!$B$11:$M$1034,12,FALSE)</f>
        <v>1011.52</v>
      </c>
      <c r="H215" s="61" t="str">
        <f t="shared" si="31"/>
        <v xml:space="preserve"> CZK</v>
      </c>
      <c r="I215" s="46" t="str">
        <f t="shared" si="32"/>
        <v/>
      </c>
      <c r="J215" s="138"/>
      <c r="K215" s="47">
        <f>VLOOKUP(B215,CENY!$B$11:$M$1034,8,FALSE)</f>
        <v>0</v>
      </c>
      <c r="L215" s="47" t="str">
        <f>VLOOKUP(B215,CENY!$B$11:$M$1034,9,FALSE)</f>
        <v xml:space="preserve"> </v>
      </c>
      <c r="M215" s="55"/>
      <c r="N215" s="38">
        <f t="shared" si="33"/>
        <v>0</v>
      </c>
      <c r="O215" s="39">
        <v>0</v>
      </c>
      <c r="P215" s="41"/>
      <c r="Q215" s="41"/>
      <c r="R215" s="41"/>
      <c r="S215" s="41"/>
      <c r="T215" s="41"/>
      <c r="U215" s="41"/>
      <c r="V215" s="41"/>
      <c r="W215" s="41"/>
      <c r="X215" s="450">
        <f>AVT187In!AZ19</f>
        <v>0</v>
      </c>
      <c r="Y215" s="450">
        <f>AVT187In!BI29</f>
        <v>0</v>
      </c>
      <c r="Z215" s="41"/>
      <c r="AA215" s="41"/>
      <c r="AB215" s="41"/>
      <c r="AC215" s="41"/>
      <c r="AD215" s="41"/>
      <c r="AE215" s="41"/>
      <c r="AF215" s="450">
        <f>'AVT187In(vn-A)'!AZ19</f>
        <v>0</v>
      </c>
      <c r="AG215" s="450">
        <f>'AVT187In(vn-A)'!BI29</f>
        <v>0</v>
      </c>
      <c r="AH215" s="41"/>
      <c r="AI215" s="41"/>
      <c r="AJ215" s="450">
        <f>'AVT187In(vn-S)'!AZ19</f>
        <v>0</v>
      </c>
      <c r="AK215" s="450">
        <f>'AVT187In(vn-S)'!BI29</f>
        <v>0</v>
      </c>
      <c r="AL215" s="41"/>
      <c r="AM215" s="41"/>
      <c r="AN215" s="41"/>
      <c r="AO215" s="41"/>
      <c r="AP215" s="41"/>
      <c r="AQ215" s="41"/>
      <c r="AR215" s="41"/>
      <c r="AS215" s="41"/>
      <c r="AT215" s="450">
        <f>'AVT-celny-2x187In'!AZ19</f>
        <v>0</v>
      </c>
      <c r="AU215" s="450">
        <f>'AVT-celny-2x187In'!BI29</f>
        <v>0</v>
      </c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203"/>
      <c r="BP215" s="203"/>
      <c r="BQ215" s="203"/>
      <c r="BR215" s="203"/>
      <c r="BS215" s="203"/>
      <c r="BT215" s="203"/>
      <c r="BU215" s="203"/>
      <c r="BV215" s="203"/>
      <c r="BW215" s="62"/>
      <c r="BX215" s="185"/>
      <c r="BY215" s="35"/>
      <c r="BZ215" s="27"/>
      <c r="CA215" s="27"/>
      <c r="CB215" s="27"/>
      <c r="CC215" s="27"/>
      <c r="CD215" s="27"/>
      <c r="CE215" s="27"/>
      <c r="CF215" s="27"/>
    </row>
    <row r="216" spans="1:84" ht="8.1" customHeight="1">
      <c r="A216" s="4"/>
      <c r="B216" s="142"/>
      <c r="C216" s="48"/>
      <c r="D216" s="44"/>
      <c r="E216" s="63"/>
      <c r="F216" s="67"/>
      <c r="G216" s="59"/>
      <c r="H216" s="61"/>
      <c r="I216" s="46"/>
      <c r="J216" s="138"/>
      <c r="K216" s="47"/>
      <c r="L216" s="47"/>
      <c r="M216" s="55"/>
      <c r="N216" s="38"/>
      <c r="O216" s="39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203"/>
      <c r="BP216" s="203"/>
      <c r="BQ216" s="203"/>
      <c r="BR216" s="203"/>
      <c r="BS216" s="203"/>
      <c r="BT216" s="203"/>
      <c r="BU216" s="203"/>
      <c r="BV216" s="203"/>
      <c r="BW216" s="62"/>
      <c r="BX216" s="185"/>
      <c r="BY216" s="35"/>
      <c r="BZ216" s="27"/>
      <c r="CA216" s="27"/>
      <c r="CB216" s="27"/>
      <c r="CC216" s="27"/>
      <c r="CD216" s="27"/>
      <c r="CE216" s="27"/>
      <c r="CF216" s="27"/>
    </row>
    <row r="217" spans="1:84" ht="15" customHeight="1">
      <c r="A217" s="4"/>
      <c r="B217" s="439">
        <f>IF($Y$8=$Y$7,CENY!B557,IF($Y$7=$Y$9,CENY!B561,CENY!B565))</f>
        <v>9283228</v>
      </c>
      <c r="C217" s="48" t="str">
        <f>VLOOKUP(B217,CENY!$B$11:$G$1034,2,FALSE)</f>
        <v>AVANTECH YOU SKLENĚNÁ VÝPLŇ 10 MM K ČELU INLAY V66 MM Š450 MM KD18 MM</v>
      </c>
      <c r="D217" s="490">
        <f>VLOOKUP(B217,CENY!$B$11:$G$1034,3,FALSE)</f>
        <v>1</v>
      </c>
      <c r="E217" s="63" t="str">
        <f>IF(VLOOKUP(B217,CENY!$B$11:$G$1034,4,FALSE)=0,"",VLOOKUP(B217,CENY!$B$11:$G$1034,4,FALSE))</f>
        <v/>
      </c>
      <c r="F217" s="45" t="str">
        <f t="shared" ref="F217:F224" si="34">IF(J217&lt;&gt;"",J217,IF(N217=0,"",N217))</f>
        <v/>
      </c>
      <c r="G217" s="59">
        <f>VLOOKUP(B217,CENY!$B$11:$M$1034,12,FALSE)</f>
        <v>289.77</v>
      </c>
      <c r="H217" s="61" t="str">
        <f t="shared" si="24"/>
        <v xml:space="preserve"> CZK</v>
      </c>
      <c r="I217" s="46" t="str">
        <f t="shared" si="25"/>
        <v/>
      </c>
      <c r="J217" s="138"/>
      <c r="K217" s="47">
        <f>VLOOKUP(B217,CENY!$B$11:$M$1034,8,FALSE)</f>
        <v>0</v>
      </c>
      <c r="L217" s="47" t="str">
        <f>VLOOKUP(B217,CENY!$B$11:$M$1034,9,FALSE)</f>
        <v xml:space="preserve"> </v>
      </c>
      <c r="M217" s="55"/>
      <c r="N217" s="38">
        <f t="shared" ref="N217:N224" si="35">SUM(P217:BX217)</f>
        <v>0</v>
      </c>
      <c r="O217" s="39">
        <v>0</v>
      </c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70">
        <f>'AVT187(vn-S)'!AZ85</f>
        <v>0</v>
      </c>
      <c r="AI217" s="470">
        <f>'AVT187(vn-S)'!BI130</f>
        <v>0</v>
      </c>
      <c r="AJ217" s="470">
        <f>'AVT187In(vn-S)'!AZ85</f>
        <v>0</v>
      </c>
      <c r="AK217" s="470">
        <f>'AVT187In(vn-S)'!BI104</f>
        <v>0</v>
      </c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203"/>
      <c r="BP217" s="203"/>
      <c r="BQ217" s="203"/>
      <c r="BR217" s="203"/>
      <c r="BS217" s="203"/>
      <c r="BT217" s="203"/>
      <c r="BU217" s="203"/>
      <c r="BV217" s="203"/>
      <c r="BW217" s="62"/>
      <c r="BX217" s="185"/>
      <c r="BY217" s="35"/>
      <c r="BZ217" s="27"/>
      <c r="CA217" s="27"/>
      <c r="CB217" s="27"/>
      <c r="CC217" s="27"/>
      <c r="CD217" s="27"/>
      <c r="CE217" s="27"/>
      <c r="CF217" s="27"/>
    </row>
    <row r="218" spans="1:84" ht="15" customHeight="1">
      <c r="A218" s="4"/>
      <c r="B218" s="439">
        <f>IF($Y$8=$Y$7,CENY!B558,IF($Y$7=$Y$9,CENY!B562,CENY!B566))</f>
        <v>9283229</v>
      </c>
      <c r="C218" s="48" t="str">
        <f>VLOOKUP(B218,CENY!$B$11:$G$1034,2,FALSE)</f>
        <v>AVANTECH YOU SKLENĚNÁ VÝPLŇ 10 MM K ČELU INLAY V66 MM Š600 MM KD18 MM</v>
      </c>
      <c r="D218" s="490">
        <f>VLOOKUP(B218,CENY!$B$11:$G$1034,3,FALSE)</f>
        <v>1</v>
      </c>
      <c r="E218" s="63" t="str">
        <f>IF(VLOOKUP(B218,CENY!$B$11:$G$1034,4,FALSE)=0,"",VLOOKUP(B218,CENY!$B$11:$G$1034,4,FALSE))</f>
        <v/>
      </c>
      <c r="F218" s="45" t="str">
        <f t="shared" si="34"/>
        <v/>
      </c>
      <c r="G218" s="59">
        <f>VLOOKUP(B218,CENY!$B$11:$M$1034,12,FALSE)</f>
        <v>332.18</v>
      </c>
      <c r="H218" s="61" t="str">
        <f t="shared" si="24"/>
        <v xml:space="preserve"> CZK</v>
      </c>
      <c r="I218" s="46" t="str">
        <f t="shared" si="25"/>
        <v/>
      </c>
      <c r="J218" s="138"/>
      <c r="K218" s="47">
        <f>VLOOKUP(B218,CENY!$B$11:$M$1034,8,FALSE)</f>
        <v>0</v>
      </c>
      <c r="L218" s="47" t="str">
        <f>VLOOKUP(B218,CENY!$B$11:$M$1034,9,FALSE)</f>
        <v xml:space="preserve"> </v>
      </c>
      <c r="M218" s="55"/>
      <c r="N218" s="38">
        <f t="shared" si="35"/>
        <v>0</v>
      </c>
      <c r="O218" s="39">
        <v>0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70">
        <f>'AVT187(vn-S)'!AZ86</f>
        <v>0</v>
      </c>
      <c r="AI218" s="470">
        <f>'AVT187(vn-S)'!BI131</f>
        <v>0</v>
      </c>
      <c r="AJ218" s="470">
        <f>'AVT187In(vn-S)'!AZ86</f>
        <v>0</v>
      </c>
      <c r="AK218" s="470">
        <f>'AVT187In(vn-S)'!BI105</f>
        <v>0</v>
      </c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203"/>
      <c r="BP218" s="203"/>
      <c r="BQ218" s="203"/>
      <c r="BR218" s="203"/>
      <c r="BS218" s="203"/>
      <c r="BT218" s="203"/>
      <c r="BU218" s="203"/>
      <c r="BV218" s="203"/>
      <c r="BW218" s="62"/>
      <c r="BX218" s="185"/>
      <c r="BY218" s="35"/>
      <c r="BZ218" s="27"/>
      <c r="CA218" s="27"/>
      <c r="CB218" s="27"/>
      <c r="CC218" s="27"/>
      <c r="CD218" s="27"/>
      <c r="CE218" s="27"/>
      <c r="CF218" s="27"/>
    </row>
    <row r="219" spans="1:84" ht="15" customHeight="1">
      <c r="A219" s="4"/>
      <c r="B219" s="439">
        <f>IF($Y$8=$Y$7,CENY!B559,IF($Y$7=$Y$9,CENY!B563,CENY!B567))</f>
        <v>9283231</v>
      </c>
      <c r="C219" s="48" t="str">
        <f>VLOOKUP(B219,CENY!$B$11:$G$1034,2,FALSE)</f>
        <v>AVANTECH YOU SKLENĚNÁ VÝPLŇ 10 MM K ČELU INLAY V66 MM Š900 MM KD18 MM</v>
      </c>
      <c r="D219" s="490">
        <f>VLOOKUP(B219,CENY!$B$11:$G$1034,3,FALSE)</f>
        <v>1</v>
      </c>
      <c r="E219" s="63" t="str">
        <f>IF(VLOOKUP(B219,CENY!$B$11:$G$1034,4,FALSE)=0,"",VLOOKUP(B219,CENY!$B$11:$G$1034,4,FALSE))</f>
        <v/>
      </c>
      <c r="F219" s="45" t="str">
        <f t="shared" si="34"/>
        <v/>
      </c>
      <c r="G219" s="59">
        <f>VLOOKUP(B219,CENY!$B$11:$M$1034,12,FALSE)</f>
        <v>586.6</v>
      </c>
      <c r="H219" s="61" t="str">
        <f t="shared" si="24"/>
        <v xml:space="preserve"> CZK</v>
      </c>
      <c r="I219" s="46" t="str">
        <f t="shared" si="25"/>
        <v/>
      </c>
      <c r="J219" s="138"/>
      <c r="K219" s="47">
        <f>VLOOKUP(B219,CENY!$B$11:$M$1034,8,FALSE)</f>
        <v>0</v>
      </c>
      <c r="L219" s="47" t="str">
        <f>VLOOKUP(B219,CENY!$B$11:$M$1034,9,FALSE)</f>
        <v xml:space="preserve"> </v>
      </c>
      <c r="M219" s="55"/>
      <c r="N219" s="38">
        <f t="shared" si="35"/>
        <v>0</v>
      </c>
      <c r="O219" s="39">
        <v>0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70">
        <f>'AVT187(vn-S)'!AZ87</f>
        <v>0</v>
      </c>
      <c r="AI219" s="470">
        <f>'AVT187(vn-S)'!BI132</f>
        <v>0</v>
      </c>
      <c r="AJ219" s="470">
        <f>'AVT187In(vn-S)'!AZ87</f>
        <v>0</v>
      </c>
      <c r="AK219" s="470">
        <f>'AVT187In(vn-S)'!BI106</f>
        <v>0</v>
      </c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203"/>
      <c r="BP219" s="203"/>
      <c r="BQ219" s="203"/>
      <c r="BR219" s="203"/>
      <c r="BS219" s="203"/>
      <c r="BT219" s="203"/>
      <c r="BU219" s="203"/>
      <c r="BV219" s="203"/>
      <c r="BW219" s="62"/>
      <c r="BX219" s="185"/>
      <c r="BY219" s="35"/>
      <c r="BZ219" s="27"/>
      <c r="CA219" s="27"/>
      <c r="CB219" s="27"/>
      <c r="CC219" s="27"/>
      <c r="CD219" s="27"/>
      <c r="CE219" s="27"/>
      <c r="CF219" s="27"/>
    </row>
    <row r="220" spans="1:84" ht="15" customHeight="1">
      <c r="A220" s="4"/>
      <c r="B220" s="439">
        <f>IF($Y$8=$Y$7,CENY!B560,IF($Y$7=$Y$9,CENY!B564,CENY!B568))</f>
        <v>9283232</v>
      </c>
      <c r="C220" s="48" t="str">
        <f>VLOOKUP(B220,CENY!$B$11:$G$1034,2,FALSE)</f>
        <v>AVANTECH YOU SKLENĚNÁ VÝPLŇ 10 MM K ČELU INLAY V66 MM Š1200 MM KD18 MM</v>
      </c>
      <c r="D220" s="490">
        <f>VLOOKUP(B220,CENY!$B$11:$G$1034,3,FALSE)</f>
        <v>1</v>
      </c>
      <c r="E220" s="63" t="str">
        <f>IF(VLOOKUP(B220,CENY!$B$11:$G$1034,4,FALSE)=0,"",VLOOKUP(B220,CENY!$B$11:$G$1034,4,FALSE))</f>
        <v/>
      </c>
      <c r="F220" s="45" t="str">
        <f t="shared" si="34"/>
        <v/>
      </c>
      <c r="G220" s="59">
        <f>VLOOKUP(B220,CENY!$B$11:$M$1034,12,FALSE)</f>
        <v>756.22</v>
      </c>
      <c r="H220" s="61" t="str">
        <f t="shared" si="24"/>
        <v xml:space="preserve"> CZK</v>
      </c>
      <c r="I220" s="46" t="str">
        <f t="shared" si="25"/>
        <v/>
      </c>
      <c r="J220" s="138"/>
      <c r="K220" s="47">
        <f>VLOOKUP(B220,CENY!$B$11:$M$1034,8,FALSE)</f>
        <v>0</v>
      </c>
      <c r="L220" s="47" t="str">
        <f>VLOOKUP(B220,CENY!$B$11:$M$1034,9,FALSE)</f>
        <v xml:space="preserve"> </v>
      </c>
      <c r="M220" s="55"/>
      <c r="N220" s="38">
        <f t="shared" si="35"/>
        <v>0</v>
      </c>
      <c r="O220" s="39">
        <v>0</v>
      </c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70">
        <f>'AVT187(vn-S)'!AZ88</f>
        <v>0</v>
      </c>
      <c r="AI220" s="470">
        <f>'AVT187(vn-S)'!BI133</f>
        <v>0</v>
      </c>
      <c r="AJ220" s="470">
        <f>'AVT187In(vn-S)'!AZ88</f>
        <v>0</v>
      </c>
      <c r="AK220" s="470">
        <f>'AVT187In(vn-S)'!BI107</f>
        <v>0</v>
      </c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203"/>
      <c r="BP220" s="203"/>
      <c r="BQ220" s="203"/>
      <c r="BR220" s="203"/>
      <c r="BS220" s="203"/>
      <c r="BT220" s="203"/>
      <c r="BU220" s="203"/>
      <c r="BV220" s="203"/>
      <c r="BW220" s="62"/>
      <c r="BX220" s="185"/>
      <c r="BY220" s="35"/>
      <c r="BZ220" s="27"/>
      <c r="CA220" s="27"/>
      <c r="CB220" s="27"/>
      <c r="CC220" s="27"/>
      <c r="CD220" s="27"/>
      <c r="CE220" s="27"/>
      <c r="CF220" s="27"/>
    </row>
    <row r="221" spans="1:84" ht="15" customHeight="1">
      <c r="A221" s="4"/>
      <c r="B221" s="439">
        <f>IF($Y$8=$Y$7,CENY!B569,IF($Y$7=$Y$9,CENY!B573,CENY!B577))</f>
        <v>9283233</v>
      </c>
      <c r="C221" s="48" t="str">
        <f>VLOOKUP(B221,CENY!$B$11:$G$1034,2,FALSE)</f>
        <v>AVANTECH YOU SKLENĚNÁ VÝPLŇ 10 MM K ČELU INLAY V130 MM Š450 MM KD18 MM</v>
      </c>
      <c r="D221" s="490">
        <f>VLOOKUP(B221,CENY!$B$11:$G$1034,3,FALSE)</f>
        <v>1</v>
      </c>
      <c r="E221" s="63" t="str">
        <f>IF(VLOOKUP(B221,CENY!$B$11:$G$1034,4,FALSE)=0,"",VLOOKUP(B221,CENY!$B$11:$G$1034,4,FALSE))</f>
        <v/>
      </c>
      <c r="F221" s="45" t="str">
        <f t="shared" si="34"/>
        <v/>
      </c>
      <c r="G221" s="59">
        <f>VLOOKUP(B221,CENY!$B$11:$M$1034,12,FALSE)</f>
        <v>458.09</v>
      </c>
      <c r="H221" s="61" t="str">
        <f t="shared" si="24"/>
        <v xml:space="preserve"> CZK</v>
      </c>
      <c r="I221" s="46" t="str">
        <f t="shared" si="25"/>
        <v/>
      </c>
      <c r="J221" s="138"/>
      <c r="K221" s="47">
        <f>VLOOKUP(B221,CENY!$B$11:$M$1034,8,FALSE)</f>
        <v>0</v>
      </c>
      <c r="L221" s="47" t="str">
        <f>VLOOKUP(B221,CENY!$B$11:$M$1034,9,FALSE)</f>
        <v xml:space="preserve"> </v>
      </c>
      <c r="M221" s="55"/>
      <c r="N221" s="38">
        <f t="shared" si="35"/>
        <v>0</v>
      </c>
      <c r="O221" s="39">
        <v>0</v>
      </c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70">
        <f>'AVT187(vn-S)'!AZ89</f>
        <v>0</v>
      </c>
      <c r="AI221" s="470">
        <f>'AVT187(vn-S)'!BI134</f>
        <v>0</v>
      </c>
      <c r="AJ221" s="470">
        <f>'AVT187In(vn-S)'!AZ89</f>
        <v>0</v>
      </c>
      <c r="AK221" s="470">
        <f>'AVT187In(vn-S)'!BI108</f>
        <v>0</v>
      </c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203"/>
      <c r="BP221" s="203"/>
      <c r="BQ221" s="203"/>
      <c r="BR221" s="203"/>
      <c r="BS221" s="203"/>
      <c r="BT221" s="203"/>
      <c r="BU221" s="203"/>
      <c r="BV221" s="203"/>
      <c r="BW221" s="62"/>
      <c r="BX221" s="185"/>
      <c r="BY221" s="35"/>
      <c r="BZ221" s="27"/>
      <c r="CA221" s="27"/>
      <c r="CB221" s="27"/>
      <c r="CC221" s="27"/>
      <c r="CD221" s="27"/>
      <c r="CE221" s="27"/>
      <c r="CF221" s="27"/>
    </row>
    <row r="222" spans="1:84" ht="15" customHeight="1">
      <c r="A222" s="4"/>
      <c r="B222" s="439">
        <f>IF($Y$8=$Y$7,CENY!B570,IF($Y$7=$Y$9,CENY!B574,CENY!B578))</f>
        <v>9283235</v>
      </c>
      <c r="C222" s="48" t="str">
        <f>VLOOKUP(B222,CENY!$B$11:$G$1034,2,FALSE)</f>
        <v>AVANTECH YOU SKLENĚNÁ VÝPLŇ 10 MM K ČELU INLAY V130 MM Š600 MM KD18 MM</v>
      </c>
      <c r="D222" s="490">
        <f>VLOOKUP(B222,CENY!$B$11:$G$1034,3,FALSE)</f>
        <v>1</v>
      </c>
      <c r="E222" s="63" t="str">
        <f>IF(VLOOKUP(B222,CENY!$B$11:$G$1034,4,FALSE)=0,"",VLOOKUP(B222,CENY!$B$11:$G$1034,4,FALSE))</f>
        <v/>
      </c>
      <c r="F222" s="45" t="str">
        <f t="shared" si="34"/>
        <v/>
      </c>
      <c r="G222" s="59">
        <f>VLOOKUP(B222,CENY!$B$11:$M$1034,12,FALSE)</f>
        <v>520.58000000000004</v>
      </c>
      <c r="H222" s="61" t="str">
        <f t="shared" si="24"/>
        <v xml:space="preserve"> CZK</v>
      </c>
      <c r="I222" s="46" t="str">
        <f t="shared" si="25"/>
        <v/>
      </c>
      <c r="J222" s="138"/>
      <c r="K222" s="47">
        <f>VLOOKUP(B222,CENY!$B$11:$M$1034,8,FALSE)</f>
        <v>0</v>
      </c>
      <c r="L222" s="47" t="str">
        <f>VLOOKUP(B222,CENY!$B$11:$M$1034,9,FALSE)</f>
        <v xml:space="preserve"> </v>
      </c>
      <c r="M222" s="55"/>
      <c r="N222" s="38">
        <f t="shared" si="35"/>
        <v>0</v>
      </c>
      <c r="O222" s="39">
        <v>0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70">
        <f>'AVT187(vn-S)'!AZ90</f>
        <v>0</v>
      </c>
      <c r="AI222" s="470">
        <f>'AVT187(vn-S)'!BI135</f>
        <v>0</v>
      </c>
      <c r="AJ222" s="470">
        <f>'AVT187In(vn-S)'!AZ90</f>
        <v>0</v>
      </c>
      <c r="AK222" s="470">
        <f>'AVT187In(vn-S)'!BI109</f>
        <v>0</v>
      </c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203"/>
      <c r="BP222" s="203"/>
      <c r="BQ222" s="203"/>
      <c r="BR222" s="203"/>
      <c r="BS222" s="203"/>
      <c r="BT222" s="203"/>
      <c r="BU222" s="203"/>
      <c r="BV222" s="203"/>
      <c r="BW222" s="62"/>
      <c r="BX222" s="185"/>
      <c r="BY222" s="35"/>
      <c r="BZ222" s="27"/>
      <c r="CA222" s="27"/>
      <c r="CB222" s="27"/>
      <c r="CC222" s="27"/>
      <c r="CD222" s="27"/>
      <c r="CE222" s="27"/>
      <c r="CF222" s="27"/>
    </row>
    <row r="223" spans="1:84" ht="15" customHeight="1">
      <c r="A223" s="4"/>
      <c r="B223" s="439">
        <f>IF($Y$8=$Y$7,CENY!B571,IF($Y$7=$Y$9,CENY!B575,CENY!B579))</f>
        <v>9283237</v>
      </c>
      <c r="C223" s="48" t="str">
        <f>VLOOKUP(B223,CENY!$B$11:$G$1034,2,FALSE)</f>
        <v>AVANTECH YOU SKLENĚNÁ VÝPLŇ 10 MM K ČELU INLAY V130 MM Š900 MM KD18 MM</v>
      </c>
      <c r="D223" s="490">
        <f>VLOOKUP(B223,CENY!$B$11:$G$1034,3,FALSE)</f>
        <v>1</v>
      </c>
      <c r="E223" s="63" t="str">
        <f>IF(VLOOKUP(B223,CENY!$B$11:$G$1034,4,FALSE)=0,"",VLOOKUP(B223,CENY!$B$11:$G$1034,4,FALSE))</f>
        <v/>
      </c>
      <c r="F223" s="45" t="str">
        <f t="shared" si="34"/>
        <v/>
      </c>
      <c r="G223" s="59">
        <f>VLOOKUP(B223,CENY!$B$11:$M$1034,12,FALSE)</f>
        <v>867.64</v>
      </c>
      <c r="H223" s="61" t="str">
        <f t="shared" si="24"/>
        <v xml:space="preserve"> CZK</v>
      </c>
      <c r="I223" s="46" t="str">
        <f t="shared" si="25"/>
        <v/>
      </c>
      <c r="J223" s="138"/>
      <c r="K223" s="47">
        <f>VLOOKUP(B223,CENY!$B$11:$M$1034,8,FALSE)</f>
        <v>0</v>
      </c>
      <c r="L223" s="47" t="str">
        <f>VLOOKUP(B223,CENY!$B$11:$M$1034,9,FALSE)</f>
        <v xml:space="preserve"> </v>
      </c>
      <c r="M223" s="55"/>
      <c r="N223" s="38">
        <f t="shared" si="35"/>
        <v>0</v>
      </c>
      <c r="O223" s="39">
        <v>0</v>
      </c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70">
        <f>'AVT187(vn-S)'!AZ91</f>
        <v>0</v>
      </c>
      <c r="AI223" s="470">
        <f>'AVT187(vn-S)'!BI136</f>
        <v>0</v>
      </c>
      <c r="AJ223" s="470">
        <f>'AVT187In(vn-S)'!AZ91</f>
        <v>0</v>
      </c>
      <c r="AK223" s="470">
        <f>'AVT187In(vn-S)'!BI110</f>
        <v>0</v>
      </c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203"/>
      <c r="BP223" s="203"/>
      <c r="BQ223" s="203"/>
      <c r="BR223" s="203"/>
      <c r="BS223" s="203"/>
      <c r="BT223" s="203"/>
      <c r="BU223" s="203"/>
      <c r="BV223" s="203"/>
      <c r="BW223" s="62"/>
      <c r="BX223" s="185"/>
      <c r="BY223" s="35"/>
      <c r="BZ223" s="27"/>
      <c r="CA223" s="27"/>
      <c r="CB223" s="27"/>
      <c r="CC223" s="27"/>
      <c r="CD223" s="27"/>
      <c r="CE223" s="27"/>
      <c r="CF223" s="27"/>
    </row>
    <row r="224" spans="1:84" ht="15" customHeight="1">
      <c r="A224" s="4"/>
      <c r="B224" s="439">
        <f>IF($Y$8=$Y$7,CENY!B572,IF($Y$7=$Y$9,CENY!B576,CENY!B580))</f>
        <v>9283238</v>
      </c>
      <c r="C224" s="48" t="str">
        <f>VLOOKUP(B224,CENY!$B$11:$G$1034,2,FALSE)</f>
        <v>AVANTECH YOU SKLENĚNÁ VÝPLŇ 10 MM K ČELU INLAY V130 MM Š1200 MM KD18 MM</v>
      </c>
      <c r="D224" s="490">
        <f>VLOOKUP(B224,CENY!$B$11:$G$1034,3,FALSE)</f>
        <v>1</v>
      </c>
      <c r="E224" s="63" t="str">
        <f>IF(VLOOKUP(B224,CENY!$B$11:$G$1034,4,FALSE)=0,"",VLOOKUP(B224,CENY!$B$11:$G$1034,4,FALSE))</f>
        <v/>
      </c>
      <c r="F224" s="45" t="str">
        <f t="shared" si="34"/>
        <v/>
      </c>
      <c r="G224" s="59">
        <f>VLOOKUP(B224,CENY!$B$11:$M$1034,12,FALSE)</f>
        <v>1117.52</v>
      </c>
      <c r="H224" s="61" t="str">
        <f t="shared" si="24"/>
        <v xml:space="preserve"> CZK</v>
      </c>
      <c r="I224" s="46" t="str">
        <f t="shared" si="25"/>
        <v/>
      </c>
      <c r="J224" s="138"/>
      <c r="K224" s="47">
        <f>VLOOKUP(B224,CENY!$B$11:$M$1034,8,FALSE)</f>
        <v>0</v>
      </c>
      <c r="L224" s="47" t="str">
        <f>VLOOKUP(B224,CENY!$B$11:$M$1034,9,FALSE)</f>
        <v xml:space="preserve"> </v>
      </c>
      <c r="M224" s="55"/>
      <c r="N224" s="38">
        <f t="shared" si="35"/>
        <v>0</v>
      </c>
      <c r="O224" s="39">
        <v>0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70">
        <f>'AVT187(vn-S)'!AZ92</f>
        <v>0</v>
      </c>
      <c r="AI224" s="470">
        <f>'AVT187(vn-S)'!BI137</f>
        <v>0</v>
      </c>
      <c r="AJ224" s="470">
        <f>'AVT187In(vn-S)'!AZ92</f>
        <v>0</v>
      </c>
      <c r="AK224" s="470">
        <f>'AVT187In(vn-S)'!BI111</f>
        <v>0</v>
      </c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203"/>
      <c r="BP224" s="203"/>
      <c r="BQ224" s="203"/>
      <c r="BR224" s="203"/>
      <c r="BS224" s="203"/>
      <c r="BT224" s="203"/>
      <c r="BU224" s="203"/>
      <c r="BV224" s="203"/>
      <c r="BW224" s="62"/>
      <c r="BX224" s="185"/>
      <c r="BY224" s="35"/>
      <c r="BZ224" s="27"/>
      <c r="CA224" s="27"/>
      <c r="CB224" s="27"/>
      <c r="CC224" s="27"/>
      <c r="CD224" s="27"/>
      <c r="CE224" s="27"/>
      <c r="CF224" s="27"/>
    </row>
    <row r="225" spans="1:84" ht="8.1" customHeight="1">
      <c r="A225" s="4"/>
      <c r="B225" s="142"/>
      <c r="C225" s="48"/>
      <c r="D225" s="44"/>
      <c r="E225" s="63"/>
      <c r="F225" s="67"/>
      <c r="G225" s="59"/>
      <c r="H225" s="61"/>
      <c r="I225" s="46"/>
      <c r="J225" s="138"/>
      <c r="K225" s="47"/>
      <c r="L225" s="47"/>
      <c r="M225" s="55"/>
      <c r="N225" s="38"/>
      <c r="O225" s="39">
        <v>0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203"/>
      <c r="BP225" s="203"/>
      <c r="BQ225" s="203"/>
      <c r="BR225" s="203"/>
      <c r="BS225" s="203"/>
      <c r="BT225" s="203"/>
      <c r="BU225" s="203"/>
      <c r="BV225" s="203"/>
      <c r="BW225" s="62"/>
      <c r="BX225" s="185"/>
      <c r="BY225" s="35"/>
      <c r="BZ225" s="27"/>
      <c r="CA225" s="27"/>
      <c r="CB225" s="27"/>
      <c r="CC225" s="27"/>
      <c r="CD225" s="27"/>
      <c r="CE225" s="27"/>
      <c r="CF225" s="27"/>
    </row>
    <row r="226" spans="1:84" ht="15" customHeight="1">
      <c r="A226" s="4"/>
      <c r="B226" s="440">
        <f>CENY!B589</f>
        <v>9256968</v>
      </c>
      <c r="C226" s="48" t="str">
        <f>VLOOKUP(B226,CENY!$B$11:$G$1034,2,FALSE)</f>
        <v>ACTRO YOU 10KG PLNOVÝSUV 270 MM EB21 SILENT SYSTEM SADA</v>
      </c>
      <c r="D226" s="501">
        <f>VLOOKUP(B226,CENY!$B$11:$G$1034,3,FALSE)</f>
        <v>1</v>
      </c>
      <c r="E226" s="63" t="str">
        <f>IF(VLOOKUP(B226,CENY!$B$11:$G$1034,4,FALSE)=0,"",VLOOKUP(B226,CENY!$B$11:$G$1034,4,FALSE))</f>
        <v/>
      </c>
      <c r="F226" s="45" t="str">
        <f t="shared" ref="F226:F234" si="36">IF(J226&lt;&gt;"",J226,IF(N226=0,"",N226))</f>
        <v/>
      </c>
      <c r="G226" s="59">
        <f>VLOOKUP(B226,CENY!$B$11:$M$1034,12,FALSE)</f>
        <v>561.63</v>
      </c>
      <c r="H226" s="61" t="str">
        <f t="shared" ref="H226:H288" si="37">IF(G226="","",$H$22)</f>
        <v xml:space="preserve"> CZK</v>
      </c>
      <c r="I226" s="46" t="str">
        <f t="shared" ref="I226:I288" si="38">IF(F226="","",G226*F226)</f>
        <v/>
      </c>
      <c r="J226" s="138"/>
      <c r="K226" s="47">
        <f>VLOOKUP(B226,CENY!$B$11:$M$1034,8,FALSE)</f>
        <v>0</v>
      </c>
      <c r="L226" s="47" t="str">
        <f>VLOOKUP(B226,CENY!$B$11:$M$1034,9,FALSE)</f>
        <v xml:space="preserve"> </v>
      </c>
      <c r="M226" s="55"/>
      <c r="N226" s="38">
        <f t="shared" ref="N226:N234" si="39">SUM(P226:BX226)</f>
        <v>0</v>
      </c>
      <c r="O226" s="39">
        <v>0</v>
      </c>
      <c r="P226" s="450">
        <f>'AVT101'!AZ25</f>
        <v>0</v>
      </c>
      <c r="Q226" s="41"/>
      <c r="R226" s="41"/>
      <c r="S226" s="41"/>
      <c r="T226" s="450">
        <f>'AVT187'!AZ25</f>
        <v>0</v>
      </c>
      <c r="U226" s="41"/>
      <c r="V226" s="41"/>
      <c r="W226" s="41"/>
      <c r="X226" s="41"/>
      <c r="Y226" s="41"/>
      <c r="Z226" s="450">
        <f>'AVT101(vn-A)'!AZ25</f>
        <v>0</v>
      </c>
      <c r="AA226" s="41"/>
      <c r="AB226" s="41"/>
      <c r="AC226" s="41"/>
      <c r="AD226" s="450">
        <f>'AVT187(vn-A)'!AZ25</f>
        <v>0</v>
      </c>
      <c r="AE226" s="41"/>
      <c r="AF226" s="41"/>
      <c r="AG226" s="41"/>
      <c r="AH226" s="450">
        <f>'AVT187(vn-S)'!AZ25</f>
        <v>0</v>
      </c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203"/>
      <c r="BP226" s="203"/>
      <c r="BQ226" s="203"/>
      <c r="BR226" s="203"/>
      <c r="BS226" s="203"/>
      <c r="BT226" s="203"/>
      <c r="BU226" s="203"/>
      <c r="BV226" s="203"/>
      <c r="BW226" s="62"/>
      <c r="BX226" s="185"/>
      <c r="BY226" s="35"/>
      <c r="BZ226" s="27"/>
      <c r="CA226" s="27"/>
      <c r="CB226" s="27"/>
      <c r="CC226" s="27"/>
      <c r="CD226" s="27"/>
      <c r="CE226" s="27"/>
      <c r="CF226" s="27"/>
    </row>
    <row r="227" spans="1:84" ht="15" customHeight="1">
      <c r="A227" s="4"/>
      <c r="B227" s="440">
        <f>CENY!B590</f>
        <v>9256969</v>
      </c>
      <c r="C227" s="48" t="str">
        <f>VLOOKUP(B227,CENY!$B$11:$G$1034,2,FALSE)</f>
        <v>ACTRO YOU 10KG PLNOVÝSUV 300 MM EB21 SILENT SYSTEM SADA</v>
      </c>
      <c r="D227" s="501">
        <f>VLOOKUP(B227,CENY!$B$11:$G$1034,3,FALSE)</f>
        <v>1</v>
      </c>
      <c r="E227" s="63" t="str">
        <f>IF(VLOOKUP(B227,CENY!$B$11:$G$1034,4,FALSE)=0,"",VLOOKUP(B227,CENY!$B$11:$G$1034,4,FALSE))</f>
        <v/>
      </c>
      <c r="F227" s="45" t="str">
        <f t="shared" si="36"/>
        <v/>
      </c>
      <c r="G227" s="59">
        <f>VLOOKUP(B227,CENY!$B$11:$M$1034,12,FALSE)</f>
        <v>561.63</v>
      </c>
      <c r="H227" s="61" t="str">
        <f t="shared" si="37"/>
        <v xml:space="preserve"> CZK</v>
      </c>
      <c r="I227" s="46" t="str">
        <f t="shared" si="38"/>
        <v/>
      </c>
      <c r="J227" s="138"/>
      <c r="K227" s="47">
        <f>VLOOKUP(B227,CENY!$B$11:$M$1034,8,FALSE)</f>
        <v>0</v>
      </c>
      <c r="L227" s="47" t="str">
        <f>VLOOKUP(B227,CENY!$B$11:$M$1034,9,FALSE)</f>
        <v xml:space="preserve"> </v>
      </c>
      <c r="M227" s="55"/>
      <c r="N227" s="38">
        <f t="shared" si="39"/>
        <v>0</v>
      </c>
      <c r="O227" s="39">
        <v>0</v>
      </c>
      <c r="P227" s="450">
        <f>'AVT101'!AZ26</f>
        <v>0</v>
      </c>
      <c r="Q227" s="41"/>
      <c r="R227" s="450">
        <f>'AVT139'!AZ21</f>
        <v>0</v>
      </c>
      <c r="S227" s="41"/>
      <c r="T227" s="450">
        <f>'AVT187'!AZ26</f>
        <v>0</v>
      </c>
      <c r="U227" s="41"/>
      <c r="V227" s="41"/>
      <c r="W227" s="41"/>
      <c r="X227" s="41"/>
      <c r="Y227" s="41"/>
      <c r="Z227" s="450">
        <f>'AVT101(vn-A)'!AZ26</f>
        <v>0</v>
      </c>
      <c r="AA227" s="41"/>
      <c r="AB227" s="450">
        <f>'AVT139(vn-A)'!AZ21</f>
        <v>0</v>
      </c>
      <c r="AC227" s="41"/>
      <c r="AD227" s="450">
        <f>'AVT187(vn-A)'!AZ26</f>
        <v>0</v>
      </c>
      <c r="AE227" s="41"/>
      <c r="AF227" s="41"/>
      <c r="AG227" s="41"/>
      <c r="AH227" s="450">
        <f>'AVT187(vn-S)'!AZ26</f>
        <v>0</v>
      </c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203"/>
      <c r="BP227" s="203"/>
      <c r="BQ227" s="203"/>
      <c r="BR227" s="203"/>
      <c r="BS227" s="203"/>
      <c r="BT227" s="203"/>
      <c r="BU227" s="203"/>
      <c r="BV227" s="203"/>
      <c r="BW227" s="62"/>
      <c r="BX227" s="185"/>
      <c r="BY227" s="35"/>
      <c r="BZ227" s="27"/>
      <c r="CA227" s="27"/>
      <c r="CB227" s="27"/>
      <c r="CC227" s="27"/>
      <c r="CD227" s="27"/>
      <c r="CE227" s="27"/>
      <c r="CF227" s="27"/>
    </row>
    <row r="228" spans="1:84" ht="15" customHeight="1">
      <c r="A228" s="4"/>
      <c r="B228" s="440">
        <f>CENY!B591</f>
        <v>9256971</v>
      </c>
      <c r="C228" s="48" t="str">
        <f>VLOOKUP(B228,CENY!$B$11:$G$1034,2,FALSE)</f>
        <v>ACTRO YOU 10KG PLNOVÝSUV 350 MM EB21 SILENT SYSTEM SADA</v>
      </c>
      <c r="D228" s="501">
        <f>VLOOKUP(B228,CENY!$B$11:$G$1034,3,FALSE)</f>
        <v>1</v>
      </c>
      <c r="E228" s="63" t="str">
        <f>IF(VLOOKUP(B228,CENY!$B$11:$G$1034,4,FALSE)=0,"",VLOOKUP(B228,CENY!$B$11:$G$1034,4,FALSE))</f>
        <v/>
      </c>
      <c r="F228" s="45" t="str">
        <f t="shared" si="36"/>
        <v/>
      </c>
      <c r="G228" s="59">
        <f>VLOOKUP(B228,CENY!$B$11:$M$1034,12,FALSE)</f>
        <v>561.63</v>
      </c>
      <c r="H228" s="61" t="str">
        <f t="shared" si="37"/>
        <v xml:space="preserve"> CZK</v>
      </c>
      <c r="I228" s="46" t="str">
        <f t="shared" si="38"/>
        <v/>
      </c>
      <c r="J228" s="138"/>
      <c r="K228" s="47">
        <f>VLOOKUP(B228,CENY!$B$11:$M$1034,8,FALSE)</f>
        <v>0</v>
      </c>
      <c r="L228" s="47" t="str">
        <f>VLOOKUP(B228,CENY!$B$11:$M$1034,9,FALSE)</f>
        <v xml:space="preserve"> </v>
      </c>
      <c r="M228" s="55"/>
      <c r="N228" s="38">
        <f t="shared" si="39"/>
        <v>0</v>
      </c>
      <c r="O228" s="39">
        <v>0</v>
      </c>
      <c r="P228" s="450">
        <f>'AVT101'!AZ27</f>
        <v>0</v>
      </c>
      <c r="Q228" s="41"/>
      <c r="R228" s="450">
        <f>'AVT139'!AZ22</f>
        <v>0</v>
      </c>
      <c r="S228" s="41"/>
      <c r="T228" s="450">
        <f>'AVT187'!AZ27</f>
        <v>0</v>
      </c>
      <c r="U228" s="41"/>
      <c r="V228" s="450">
        <f>'AVT251'!AZ21</f>
        <v>0</v>
      </c>
      <c r="W228" s="41"/>
      <c r="X228" s="450">
        <f>'AVT251'!AZ21</f>
        <v>0</v>
      </c>
      <c r="Y228" s="41"/>
      <c r="Z228" s="450">
        <f>'AVT101(vn-A)'!AZ27</f>
        <v>0</v>
      </c>
      <c r="AA228" s="41"/>
      <c r="AB228" s="450">
        <f>'AVT139(vn-A)'!AZ22</f>
        <v>0</v>
      </c>
      <c r="AC228" s="41"/>
      <c r="AD228" s="450">
        <f>'AVT187(vn-A)'!AZ27</f>
        <v>0</v>
      </c>
      <c r="AE228" s="41"/>
      <c r="AF228" s="450">
        <f>'AVT187In(vn-A)'!AZ21</f>
        <v>0</v>
      </c>
      <c r="AG228" s="41"/>
      <c r="AH228" s="450">
        <f>'AVT187(vn-S)'!AZ27</f>
        <v>0</v>
      </c>
      <c r="AI228" s="41"/>
      <c r="AJ228" s="450">
        <f>'AVT187In(vn-S)'!AZ21</f>
        <v>0</v>
      </c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203"/>
      <c r="BP228" s="203"/>
      <c r="BQ228" s="203"/>
      <c r="BR228" s="203"/>
      <c r="BS228" s="203"/>
      <c r="BT228" s="203"/>
      <c r="BU228" s="203"/>
      <c r="BV228" s="203"/>
      <c r="BW228" s="62"/>
      <c r="BX228" s="185"/>
      <c r="BY228" s="35"/>
      <c r="BZ228" s="27"/>
      <c r="CA228" s="27"/>
      <c r="CB228" s="27"/>
      <c r="CC228" s="27"/>
      <c r="CD228" s="27"/>
      <c r="CE228" s="27"/>
      <c r="CF228" s="27"/>
    </row>
    <row r="229" spans="1:84" ht="15" customHeight="1">
      <c r="A229" s="4"/>
      <c r="B229" s="440">
        <f>CENY!B592</f>
        <v>9256959</v>
      </c>
      <c r="C229" s="48" t="str">
        <f>VLOOKUP(B229,CENY!$B$11:$G$1034,2,FALSE)</f>
        <v>ACTRO YOU 10KG PLNOVÝSUV 270 MM EB21 SILENT SYSTEM LEVÝ</v>
      </c>
      <c r="D229" s="488">
        <f>VLOOKUP(B229,CENY!$B$11:$G$1034,3,FALSE)</f>
        <v>10</v>
      </c>
      <c r="E229" s="63" t="str">
        <f>IF(VLOOKUP(B229,CENY!$B$11:$G$1034,4,FALSE)=0,"",VLOOKUP(B229,CENY!$B$11:$G$1034,4,FALSE))</f>
        <v/>
      </c>
      <c r="F229" s="45" t="str">
        <f t="shared" si="36"/>
        <v/>
      </c>
      <c r="G229" s="59">
        <f>VLOOKUP(B229,CENY!$B$11:$M$1034,12,FALSE)</f>
        <v>243.93</v>
      </c>
      <c r="H229" s="61" t="str">
        <f t="shared" si="37"/>
        <v xml:space="preserve"> CZK</v>
      </c>
      <c r="I229" s="46" t="str">
        <f t="shared" si="38"/>
        <v/>
      </c>
      <c r="J229" s="138"/>
      <c r="K229" s="47">
        <f>VLOOKUP(B229,CENY!$B$11:$M$1034,8,FALSE)</f>
        <v>0</v>
      </c>
      <c r="L229" s="47" t="str">
        <f>VLOOKUP(B229,CENY!$B$11:$M$1034,9,FALSE)</f>
        <v xml:space="preserve"> </v>
      </c>
      <c r="M229" s="55"/>
      <c r="N229" s="38">
        <f t="shared" si="39"/>
        <v>0</v>
      </c>
      <c r="O229" s="39">
        <v>0</v>
      </c>
      <c r="P229" s="41"/>
      <c r="Q229" s="450">
        <f>'AVT101'!BI37</f>
        <v>0</v>
      </c>
      <c r="R229" s="41"/>
      <c r="S229" s="41"/>
      <c r="T229" s="41"/>
      <c r="U229" s="450">
        <f>'AVT187'!BI37</f>
        <v>0</v>
      </c>
      <c r="V229" s="41"/>
      <c r="W229" s="41"/>
      <c r="X229" s="41"/>
      <c r="Y229" s="41"/>
      <c r="Z229" s="41"/>
      <c r="AA229" s="450">
        <f>'AVT101(vn-A)'!BI37</f>
        <v>0</v>
      </c>
      <c r="AB229" s="41"/>
      <c r="AC229" s="41"/>
      <c r="AD229" s="41"/>
      <c r="AE229" s="450">
        <f>'AVT187(vn-A)'!BI37</f>
        <v>0</v>
      </c>
      <c r="AF229" s="41"/>
      <c r="AG229" s="41"/>
      <c r="AH229" s="41"/>
      <c r="AI229" s="450">
        <f>'AVT187(vn-S)'!BI37</f>
        <v>0</v>
      </c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203"/>
      <c r="BP229" s="203"/>
      <c r="BQ229" s="203"/>
      <c r="BR229" s="203"/>
      <c r="BS229" s="203"/>
      <c r="BT229" s="203"/>
      <c r="BU229" s="203"/>
      <c r="BV229" s="203"/>
      <c r="BW229" s="62"/>
      <c r="BX229" s="185"/>
      <c r="BY229" s="35"/>
      <c r="BZ229" s="27"/>
      <c r="CA229" s="27"/>
      <c r="CB229" s="27"/>
      <c r="CC229" s="27"/>
      <c r="CD229" s="27"/>
      <c r="CE229" s="27"/>
      <c r="CF229" s="27"/>
    </row>
    <row r="230" spans="1:84" ht="15" customHeight="1">
      <c r="A230" s="4"/>
      <c r="B230" s="440">
        <f>CENY!B593</f>
        <v>9256960</v>
      </c>
      <c r="C230" s="48" t="str">
        <f>VLOOKUP(B230,CENY!$B$11:$G$1034,2,FALSE)</f>
        <v>ACTRO YOU 10KG PLNOVÝSUV 270 MM EB21 SILENT SYSTEM PRAVÝ</v>
      </c>
      <c r="D230" s="488">
        <f>VLOOKUP(B230,CENY!$B$11:$G$1034,3,FALSE)</f>
        <v>10</v>
      </c>
      <c r="E230" s="63" t="str">
        <f>IF(VLOOKUP(B230,CENY!$B$11:$G$1034,4,FALSE)=0,"",VLOOKUP(B230,CENY!$B$11:$G$1034,4,FALSE))</f>
        <v/>
      </c>
      <c r="F230" s="45" t="str">
        <f t="shared" si="36"/>
        <v/>
      </c>
      <c r="G230" s="59">
        <f>VLOOKUP(B230,CENY!$B$11:$M$1034,12,FALSE)</f>
        <v>243.93</v>
      </c>
      <c r="H230" s="61" t="str">
        <f t="shared" si="37"/>
        <v xml:space="preserve"> CZK</v>
      </c>
      <c r="I230" s="46" t="str">
        <f t="shared" si="38"/>
        <v/>
      </c>
      <c r="J230" s="138"/>
      <c r="K230" s="47">
        <f>VLOOKUP(B230,CENY!$B$11:$M$1034,8,FALSE)</f>
        <v>0</v>
      </c>
      <c r="L230" s="47" t="str">
        <f>VLOOKUP(B230,CENY!$B$11:$M$1034,9,FALSE)</f>
        <v xml:space="preserve"> </v>
      </c>
      <c r="M230" s="55"/>
      <c r="N230" s="38">
        <f t="shared" si="39"/>
        <v>0</v>
      </c>
      <c r="O230" s="39">
        <v>0</v>
      </c>
      <c r="P230" s="41"/>
      <c r="Q230" s="450">
        <f>'AVT101'!BI38</f>
        <v>0</v>
      </c>
      <c r="R230" s="41"/>
      <c r="S230" s="41"/>
      <c r="T230" s="41"/>
      <c r="U230" s="450">
        <f>'AVT187'!BI38</f>
        <v>0</v>
      </c>
      <c r="V230" s="41"/>
      <c r="W230" s="41"/>
      <c r="X230" s="41"/>
      <c r="Y230" s="41"/>
      <c r="Z230" s="41"/>
      <c r="AA230" s="450">
        <f>'AVT101(vn-A)'!BI38</f>
        <v>0</v>
      </c>
      <c r="AB230" s="41"/>
      <c r="AC230" s="41"/>
      <c r="AD230" s="41"/>
      <c r="AE230" s="450">
        <f>'AVT187(vn-A)'!BI38</f>
        <v>0</v>
      </c>
      <c r="AF230" s="41"/>
      <c r="AG230" s="41"/>
      <c r="AH230" s="41"/>
      <c r="AI230" s="450">
        <f>'AVT187(vn-S)'!BI38</f>
        <v>0</v>
      </c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203"/>
      <c r="BP230" s="203"/>
      <c r="BQ230" s="203"/>
      <c r="BR230" s="203"/>
      <c r="BS230" s="203"/>
      <c r="BT230" s="203"/>
      <c r="BU230" s="203"/>
      <c r="BV230" s="203"/>
      <c r="BW230" s="62"/>
      <c r="BX230" s="185"/>
      <c r="BY230" s="35"/>
      <c r="BZ230" s="27"/>
      <c r="CA230" s="27"/>
      <c r="CB230" s="27"/>
      <c r="CC230" s="27"/>
      <c r="CD230" s="27"/>
      <c r="CE230" s="27"/>
      <c r="CF230" s="27"/>
    </row>
    <row r="231" spans="1:84" ht="15" customHeight="1">
      <c r="A231" s="4"/>
      <c r="B231" s="440">
        <f>CENY!B594</f>
        <v>9256961</v>
      </c>
      <c r="C231" s="48" t="str">
        <f>VLOOKUP(B231,CENY!$B$11:$G$1034,2,FALSE)</f>
        <v>ACTRO YOU 10KG PLNOVÝSUV 300 MM EB21 SILENT SYSTEM LEVÝ</v>
      </c>
      <c r="D231" s="488">
        <f>VLOOKUP(B231,CENY!$B$11:$G$1034,3,FALSE)</f>
        <v>10</v>
      </c>
      <c r="E231" s="63" t="str">
        <f>IF(VLOOKUP(B231,CENY!$B$11:$G$1034,4,FALSE)=0,"",VLOOKUP(B231,CENY!$B$11:$G$1034,4,FALSE))</f>
        <v/>
      </c>
      <c r="F231" s="45" t="str">
        <f t="shared" si="36"/>
        <v/>
      </c>
      <c r="G231" s="59">
        <f>VLOOKUP(B231,CENY!$B$11:$M$1034,12,FALSE)</f>
        <v>243.93</v>
      </c>
      <c r="H231" s="61" t="str">
        <f t="shared" si="37"/>
        <v xml:space="preserve"> CZK</v>
      </c>
      <c r="I231" s="46" t="str">
        <f t="shared" si="38"/>
        <v/>
      </c>
      <c r="J231" s="138"/>
      <c r="K231" s="47">
        <f>VLOOKUP(B231,CENY!$B$11:$M$1034,8,FALSE)</f>
        <v>0</v>
      </c>
      <c r="L231" s="47" t="str">
        <f>VLOOKUP(B231,CENY!$B$11:$M$1034,9,FALSE)</f>
        <v xml:space="preserve"> </v>
      </c>
      <c r="M231" s="55"/>
      <c r="N231" s="38">
        <f t="shared" si="39"/>
        <v>0</v>
      </c>
      <c r="O231" s="39">
        <v>0</v>
      </c>
      <c r="P231" s="41"/>
      <c r="Q231" s="450">
        <f>'AVT101'!BI39</f>
        <v>0</v>
      </c>
      <c r="R231" s="41"/>
      <c r="S231" s="450">
        <f>'AVT139'!BI31</f>
        <v>0</v>
      </c>
      <c r="T231" s="41"/>
      <c r="U231" s="450">
        <f>'AVT187'!BI39</f>
        <v>0</v>
      </c>
      <c r="V231" s="41"/>
      <c r="W231" s="41"/>
      <c r="X231" s="41"/>
      <c r="Y231" s="41"/>
      <c r="Z231" s="41"/>
      <c r="AA231" s="450">
        <f>'AVT101(vn-A)'!BI39</f>
        <v>0</v>
      </c>
      <c r="AB231" s="41"/>
      <c r="AC231" s="450">
        <f>'AVT139(vn-A)'!BI31</f>
        <v>0</v>
      </c>
      <c r="AD231" s="41"/>
      <c r="AE231" s="450">
        <f>'AVT187(vn-A)'!BI39</f>
        <v>0</v>
      </c>
      <c r="AF231" s="41"/>
      <c r="AG231" s="41"/>
      <c r="AH231" s="41"/>
      <c r="AI231" s="450">
        <f>'AVT187(vn-S)'!BI39</f>
        <v>0</v>
      </c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203"/>
      <c r="BP231" s="203"/>
      <c r="BQ231" s="203"/>
      <c r="BR231" s="203"/>
      <c r="BS231" s="203"/>
      <c r="BT231" s="203"/>
      <c r="BU231" s="203"/>
      <c r="BV231" s="203"/>
      <c r="BW231" s="62"/>
      <c r="BX231" s="185"/>
      <c r="BY231" s="35"/>
      <c r="BZ231" s="27"/>
      <c r="CA231" s="27"/>
      <c r="CB231" s="27"/>
      <c r="CC231" s="27"/>
      <c r="CD231" s="27"/>
      <c r="CE231" s="27"/>
      <c r="CF231" s="27"/>
    </row>
    <row r="232" spans="1:84" ht="15" customHeight="1">
      <c r="A232" s="4"/>
      <c r="B232" s="440">
        <f>CENY!B595</f>
        <v>9256962</v>
      </c>
      <c r="C232" s="48" t="str">
        <f>VLOOKUP(B232,CENY!$B$11:$G$1034,2,FALSE)</f>
        <v>ACTRO YOU 10KG PLNOVÝSUV 300 MM EB21 SILENT SYSTEM PRAVÝ</v>
      </c>
      <c r="D232" s="488">
        <f>VLOOKUP(B232,CENY!$B$11:$G$1034,3,FALSE)</f>
        <v>10</v>
      </c>
      <c r="E232" s="63" t="str">
        <f>IF(VLOOKUP(B232,CENY!$B$11:$G$1034,4,FALSE)=0,"",VLOOKUP(B232,CENY!$B$11:$G$1034,4,FALSE))</f>
        <v/>
      </c>
      <c r="F232" s="45" t="str">
        <f t="shared" si="36"/>
        <v/>
      </c>
      <c r="G232" s="59">
        <f>VLOOKUP(B232,CENY!$B$11:$M$1034,12,FALSE)</f>
        <v>243.93</v>
      </c>
      <c r="H232" s="61" t="str">
        <f t="shared" si="37"/>
        <v xml:space="preserve"> CZK</v>
      </c>
      <c r="I232" s="46" t="str">
        <f t="shared" si="38"/>
        <v/>
      </c>
      <c r="J232" s="138"/>
      <c r="K232" s="47">
        <f>VLOOKUP(B232,CENY!$B$11:$M$1034,8,FALSE)</f>
        <v>0</v>
      </c>
      <c r="L232" s="47" t="str">
        <f>VLOOKUP(B232,CENY!$B$11:$M$1034,9,FALSE)</f>
        <v xml:space="preserve"> </v>
      </c>
      <c r="M232" s="55"/>
      <c r="N232" s="38">
        <f t="shared" si="39"/>
        <v>0</v>
      </c>
      <c r="O232" s="39">
        <v>0</v>
      </c>
      <c r="P232" s="41"/>
      <c r="Q232" s="450">
        <f>'AVT101'!BI40</f>
        <v>0</v>
      </c>
      <c r="R232" s="41"/>
      <c r="S232" s="450">
        <f>'AVT139'!BI32</f>
        <v>0</v>
      </c>
      <c r="T232" s="41"/>
      <c r="U232" s="450">
        <f>'AVT187'!BI40</f>
        <v>0</v>
      </c>
      <c r="V232" s="41"/>
      <c r="W232" s="41"/>
      <c r="X232" s="41"/>
      <c r="Y232" s="41"/>
      <c r="Z232" s="41"/>
      <c r="AA232" s="450">
        <f>'AVT101(vn-A)'!BI40</f>
        <v>0</v>
      </c>
      <c r="AB232" s="41"/>
      <c r="AC232" s="450">
        <f>'AVT139(vn-A)'!BI32</f>
        <v>0</v>
      </c>
      <c r="AD232" s="41"/>
      <c r="AE232" s="450">
        <f>'AVT187(vn-A)'!BI40</f>
        <v>0</v>
      </c>
      <c r="AF232" s="41"/>
      <c r="AG232" s="41"/>
      <c r="AH232" s="41"/>
      <c r="AI232" s="450">
        <f>'AVT187(vn-S)'!BI40</f>
        <v>0</v>
      </c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203"/>
      <c r="BP232" s="203"/>
      <c r="BQ232" s="203"/>
      <c r="BR232" s="203"/>
      <c r="BS232" s="203"/>
      <c r="BT232" s="203"/>
      <c r="BU232" s="203"/>
      <c r="BV232" s="203"/>
      <c r="BW232" s="62"/>
      <c r="BX232" s="185"/>
      <c r="BY232" s="35"/>
      <c r="BZ232" s="27"/>
      <c r="CA232" s="27"/>
      <c r="CB232" s="27"/>
      <c r="CC232" s="27"/>
      <c r="CD232" s="27"/>
      <c r="CE232" s="27"/>
      <c r="CF232" s="27"/>
    </row>
    <row r="233" spans="1:84" ht="15" customHeight="1">
      <c r="A233" s="4"/>
      <c r="B233" s="440">
        <f>CENY!B596</f>
        <v>9256965</v>
      </c>
      <c r="C233" s="48" t="str">
        <f>VLOOKUP(B233,CENY!$B$11:$G$1034,2,FALSE)</f>
        <v>ACTRO YOU 10KG PLNOVÝSUV 350 MM EB21 SILENT SYSTEM LEVÝ</v>
      </c>
      <c r="D233" s="488">
        <f>VLOOKUP(B233,CENY!$B$11:$G$1034,3,FALSE)</f>
        <v>10</v>
      </c>
      <c r="E233" s="63" t="str">
        <f>IF(VLOOKUP(B233,CENY!$B$11:$G$1034,4,FALSE)=0,"",VLOOKUP(B233,CENY!$B$11:$G$1034,4,FALSE))</f>
        <v/>
      </c>
      <c r="F233" s="45" t="str">
        <f t="shared" si="36"/>
        <v/>
      </c>
      <c r="G233" s="59">
        <f>VLOOKUP(B233,CENY!$B$11:$M$1034,12,FALSE)</f>
        <v>243.93</v>
      </c>
      <c r="H233" s="61" t="str">
        <f t="shared" si="37"/>
        <v xml:space="preserve"> CZK</v>
      </c>
      <c r="I233" s="46" t="str">
        <f t="shared" si="38"/>
        <v/>
      </c>
      <c r="J233" s="138"/>
      <c r="K233" s="47">
        <f>VLOOKUP(B233,CENY!$B$11:$M$1034,8,FALSE)</f>
        <v>0</v>
      </c>
      <c r="L233" s="47" t="str">
        <f>VLOOKUP(B233,CENY!$B$11:$M$1034,9,FALSE)</f>
        <v xml:space="preserve"> </v>
      </c>
      <c r="M233" s="55"/>
      <c r="N233" s="38">
        <f t="shared" si="39"/>
        <v>0</v>
      </c>
      <c r="O233" s="39">
        <v>0</v>
      </c>
      <c r="P233" s="41"/>
      <c r="Q233" s="450">
        <f>'AVT101'!BI41</f>
        <v>0</v>
      </c>
      <c r="R233" s="41"/>
      <c r="S233" s="450">
        <f>'AVT139'!BI33</f>
        <v>0</v>
      </c>
      <c r="T233" s="41"/>
      <c r="U233" s="450">
        <f>'AVT187'!BI41</f>
        <v>0</v>
      </c>
      <c r="V233" s="41"/>
      <c r="W233" s="450">
        <f>'AVT251'!BI32</f>
        <v>0</v>
      </c>
      <c r="X233" s="41"/>
      <c r="Y233" s="450">
        <f>AVT187In!BI31</f>
        <v>0</v>
      </c>
      <c r="Z233" s="41"/>
      <c r="AA233" s="450">
        <f>'AVT101(vn-A)'!BI41</f>
        <v>0</v>
      </c>
      <c r="AB233" s="41"/>
      <c r="AC233" s="450">
        <f>'AVT139(vn-A)'!BI33</f>
        <v>0</v>
      </c>
      <c r="AD233" s="41"/>
      <c r="AE233" s="450">
        <f>'AVT187(vn-A)'!BI41</f>
        <v>0</v>
      </c>
      <c r="AF233" s="41"/>
      <c r="AG233" s="450">
        <f>'AVT187In(vn-A)'!BI31</f>
        <v>0</v>
      </c>
      <c r="AH233" s="41"/>
      <c r="AI233" s="450">
        <f>'AVT187(vn-S)'!BI41</f>
        <v>0</v>
      </c>
      <c r="AJ233" s="41"/>
      <c r="AK233" s="450">
        <f>'AVT187In(vn-S)'!BI31</f>
        <v>0</v>
      </c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203"/>
      <c r="BP233" s="203"/>
      <c r="BQ233" s="203"/>
      <c r="BR233" s="203"/>
      <c r="BS233" s="203"/>
      <c r="BT233" s="203"/>
      <c r="BU233" s="203"/>
      <c r="BV233" s="203"/>
      <c r="BW233" s="62"/>
      <c r="BX233" s="185"/>
      <c r="BY233" s="35"/>
      <c r="BZ233" s="27"/>
      <c r="CA233" s="27"/>
      <c r="CB233" s="27"/>
      <c r="CC233" s="27"/>
      <c r="CD233" s="27"/>
      <c r="CE233" s="27"/>
      <c r="CF233" s="27"/>
    </row>
    <row r="234" spans="1:84" ht="15" customHeight="1">
      <c r="A234" s="4"/>
      <c r="B234" s="440">
        <f>CENY!B597</f>
        <v>9256966</v>
      </c>
      <c r="C234" s="48" t="str">
        <f>VLOOKUP(B234,CENY!$B$11:$G$1034,2,FALSE)</f>
        <v>ACTRO YOU 10KG PLNOVÝSUV 350 MM EB21 SILENT SYSTEM PRAVÝ</v>
      </c>
      <c r="D234" s="488">
        <f>VLOOKUP(B234,CENY!$B$11:$G$1034,3,FALSE)</f>
        <v>10</v>
      </c>
      <c r="E234" s="63" t="str">
        <f>IF(VLOOKUP(B234,CENY!$B$11:$G$1034,4,FALSE)=0,"",VLOOKUP(B234,CENY!$B$11:$G$1034,4,FALSE))</f>
        <v/>
      </c>
      <c r="F234" s="45" t="str">
        <f t="shared" si="36"/>
        <v/>
      </c>
      <c r="G234" s="59">
        <f>VLOOKUP(B234,CENY!$B$11:$M$1034,12,FALSE)</f>
        <v>243.93</v>
      </c>
      <c r="H234" s="61" t="str">
        <f t="shared" si="37"/>
        <v xml:space="preserve"> CZK</v>
      </c>
      <c r="I234" s="46" t="str">
        <f t="shared" si="38"/>
        <v/>
      </c>
      <c r="J234" s="138"/>
      <c r="K234" s="47">
        <f>VLOOKUP(B234,CENY!$B$11:$M$1034,8,FALSE)</f>
        <v>0</v>
      </c>
      <c r="L234" s="47" t="str">
        <f>VLOOKUP(B234,CENY!$B$11:$M$1034,9,FALSE)</f>
        <v xml:space="preserve"> </v>
      </c>
      <c r="M234" s="55"/>
      <c r="N234" s="38">
        <f t="shared" si="39"/>
        <v>0</v>
      </c>
      <c r="O234" s="39">
        <v>0</v>
      </c>
      <c r="P234" s="41"/>
      <c r="Q234" s="450">
        <f>'AVT101'!BI42</f>
        <v>0</v>
      </c>
      <c r="R234" s="41"/>
      <c r="S234" s="450">
        <f>'AVT139'!BI34</f>
        <v>0</v>
      </c>
      <c r="T234" s="41"/>
      <c r="U234" s="450">
        <f>'AVT187'!BI42</f>
        <v>0</v>
      </c>
      <c r="V234" s="41"/>
      <c r="W234" s="450">
        <f>'AVT251'!BI33</f>
        <v>0</v>
      </c>
      <c r="X234" s="41"/>
      <c r="Y234" s="450">
        <f>AVT187In!BI32</f>
        <v>0</v>
      </c>
      <c r="Z234" s="41"/>
      <c r="AA234" s="450">
        <f>'AVT101(vn-A)'!BI42</f>
        <v>0</v>
      </c>
      <c r="AB234" s="41"/>
      <c r="AC234" s="450">
        <f>'AVT139(vn-A)'!BI34</f>
        <v>0</v>
      </c>
      <c r="AD234" s="41"/>
      <c r="AE234" s="450">
        <f>'AVT187(vn-A)'!BI42</f>
        <v>0</v>
      </c>
      <c r="AF234" s="41"/>
      <c r="AG234" s="450">
        <f>'AVT187In(vn-A)'!BI32</f>
        <v>0</v>
      </c>
      <c r="AH234" s="41"/>
      <c r="AI234" s="450">
        <f>'AVT187(vn-S)'!BI42</f>
        <v>0</v>
      </c>
      <c r="AJ234" s="41"/>
      <c r="AK234" s="450">
        <f>'AVT187In(vn-S)'!BI32</f>
        <v>0</v>
      </c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203"/>
      <c r="BP234" s="203"/>
      <c r="BQ234" s="203"/>
      <c r="BR234" s="203"/>
      <c r="BS234" s="203"/>
      <c r="BT234" s="203"/>
      <c r="BU234" s="203"/>
      <c r="BV234" s="203"/>
      <c r="BW234" s="62"/>
      <c r="BX234" s="185"/>
      <c r="BY234" s="35"/>
      <c r="BZ234" s="27"/>
      <c r="CA234" s="27"/>
      <c r="CB234" s="27"/>
      <c r="CC234" s="27"/>
      <c r="CD234" s="27"/>
      <c r="CE234" s="27"/>
      <c r="CF234" s="27"/>
    </row>
    <row r="235" spans="1:84" ht="8.1" customHeight="1">
      <c r="A235" s="4"/>
      <c r="B235" s="142"/>
      <c r="C235" s="48"/>
      <c r="D235" s="44"/>
      <c r="E235" s="63"/>
      <c r="F235" s="67"/>
      <c r="G235" s="59"/>
      <c r="H235" s="61"/>
      <c r="I235" s="46"/>
      <c r="J235" s="138"/>
      <c r="K235" s="47"/>
      <c r="L235" s="47"/>
      <c r="M235" s="55"/>
      <c r="N235" s="38"/>
      <c r="O235" s="39">
        <v>0</v>
      </c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203"/>
      <c r="BP235" s="203"/>
      <c r="BQ235" s="203"/>
      <c r="BR235" s="203"/>
      <c r="BS235" s="203"/>
      <c r="BT235" s="203"/>
      <c r="BU235" s="203"/>
      <c r="BV235" s="203"/>
      <c r="BW235" s="62"/>
      <c r="BX235" s="185"/>
      <c r="BY235" s="35"/>
      <c r="BZ235" s="27"/>
      <c r="CA235" s="27"/>
      <c r="CB235" s="27"/>
      <c r="CC235" s="27"/>
      <c r="CD235" s="27"/>
      <c r="CE235" s="27"/>
      <c r="CF235" s="27"/>
    </row>
    <row r="236" spans="1:84" ht="15" customHeight="1">
      <c r="A236" s="4"/>
      <c r="B236" s="440">
        <f>CENY!B599</f>
        <v>9256999</v>
      </c>
      <c r="C236" s="48" t="str">
        <f>VLOOKUP(B236,CENY!$B$11:$G$1034,2,FALSE)</f>
        <v>ACTRO YOU 40KG PLNOVÝSUV 270 MM EB21 SILENT SYSTEM SADA</v>
      </c>
      <c r="D236" s="501">
        <f>VLOOKUP(B236,CENY!$B$11:$G$1034,3,FALSE)</f>
        <v>1</v>
      </c>
      <c r="E236" s="63" t="str">
        <f>IF(VLOOKUP(B236,CENY!$B$11:$G$1034,4,FALSE)=0,"",VLOOKUP(B236,CENY!$B$11:$G$1034,4,FALSE))</f>
        <v/>
      </c>
      <c r="F236" s="45" t="str">
        <f t="shared" ref="F236:F259" si="40">IF(J236&lt;&gt;"",J236,IF(N236=0,"",N236))</f>
        <v/>
      </c>
      <c r="G236" s="59">
        <f>VLOOKUP(B236,CENY!$B$11:$M$1034,12,FALSE)</f>
        <v>561.63</v>
      </c>
      <c r="H236" s="61" t="str">
        <f t="shared" si="37"/>
        <v xml:space="preserve"> CZK</v>
      </c>
      <c r="I236" s="46" t="str">
        <f t="shared" si="38"/>
        <v/>
      </c>
      <c r="J236" s="138"/>
      <c r="K236" s="47">
        <f>VLOOKUP(B236,CENY!$B$11:$M$1034,8,FALSE)</f>
        <v>0</v>
      </c>
      <c r="L236" s="47" t="str">
        <f>VLOOKUP(B236,CENY!$B$11:$M$1034,9,FALSE)</f>
        <v xml:space="preserve"> </v>
      </c>
      <c r="M236" s="55"/>
      <c r="N236" s="38">
        <f t="shared" ref="N236:N259" si="41">SUM(P236:BX236)</f>
        <v>0</v>
      </c>
      <c r="O236" s="39">
        <v>0</v>
      </c>
      <c r="P236" s="450">
        <f>'AVT101'!AZ29</f>
        <v>0</v>
      </c>
      <c r="Q236" s="41"/>
      <c r="R236" s="41"/>
      <c r="S236" s="41"/>
      <c r="T236" s="450">
        <f>'AVT187'!AZ29</f>
        <v>0</v>
      </c>
      <c r="U236" s="41"/>
      <c r="V236" s="41"/>
      <c r="W236" s="41"/>
      <c r="X236" s="41"/>
      <c r="Y236" s="41"/>
      <c r="Z236" s="450">
        <f>'AVT101(vn-A)'!AZ29</f>
        <v>0</v>
      </c>
      <c r="AA236" s="41"/>
      <c r="AB236" s="41"/>
      <c r="AC236" s="41"/>
      <c r="AD236" s="450">
        <f>'AVT187(vn-A)'!AZ29</f>
        <v>0</v>
      </c>
      <c r="AE236" s="41"/>
      <c r="AF236" s="41"/>
      <c r="AG236" s="41"/>
      <c r="AH236" s="450">
        <f>'AVT187(vn-S)'!AZ29</f>
        <v>0</v>
      </c>
      <c r="AI236" s="41"/>
      <c r="AJ236" s="41"/>
      <c r="AK236" s="41"/>
      <c r="AL236" s="41"/>
      <c r="AM236" s="41"/>
      <c r="AN236" s="450">
        <f>'AVT-celny-101+187'!AZ35</f>
        <v>0</v>
      </c>
      <c r="AO236" s="41"/>
      <c r="AP236" s="41"/>
      <c r="AQ236" s="41"/>
      <c r="AR236" s="450">
        <f>'AVT-celny-2x187'!AZ25</f>
        <v>0</v>
      </c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203"/>
      <c r="BP236" s="203"/>
      <c r="BQ236" s="203"/>
      <c r="BR236" s="203"/>
      <c r="BS236" s="203"/>
      <c r="BT236" s="203"/>
      <c r="BU236" s="203"/>
      <c r="BV236" s="203"/>
      <c r="BW236" s="62"/>
      <c r="BX236" s="185"/>
      <c r="BY236" s="35"/>
      <c r="BZ236" s="27"/>
      <c r="CA236" s="27"/>
      <c r="CB236" s="27"/>
      <c r="CC236" s="27"/>
      <c r="CD236" s="27"/>
      <c r="CE236" s="27"/>
      <c r="CF236" s="27"/>
    </row>
    <row r="237" spans="1:84" ht="15" customHeight="1">
      <c r="A237" s="4"/>
      <c r="B237" s="440">
        <f>CENY!B600</f>
        <v>9257000</v>
      </c>
      <c r="C237" s="48" t="str">
        <f>VLOOKUP(B237,CENY!$B$11:$G$1034,2,FALSE)</f>
        <v>ACTRO YOU 40KG PLNOVÝSUV 300 MM EB21 SILENT SYSTEM SADA</v>
      </c>
      <c r="D237" s="501">
        <f>VLOOKUP(B237,CENY!$B$11:$G$1034,3,FALSE)</f>
        <v>1</v>
      </c>
      <c r="E237" s="63" t="str">
        <f>IF(VLOOKUP(B237,CENY!$B$11:$G$1034,4,FALSE)=0,"",VLOOKUP(B237,CENY!$B$11:$G$1034,4,FALSE))</f>
        <v/>
      </c>
      <c r="F237" s="45" t="str">
        <f t="shared" si="40"/>
        <v/>
      </c>
      <c r="G237" s="59">
        <f>VLOOKUP(B237,CENY!$B$11:$M$1034,12,FALSE)</f>
        <v>561.63</v>
      </c>
      <c r="H237" s="61" t="str">
        <f t="shared" si="37"/>
        <v xml:space="preserve"> CZK</v>
      </c>
      <c r="I237" s="46" t="str">
        <f t="shared" si="38"/>
        <v/>
      </c>
      <c r="J237" s="138"/>
      <c r="K237" s="47">
        <f>VLOOKUP(B237,CENY!$B$11:$M$1034,8,FALSE)</f>
        <v>0</v>
      </c>
      <c r="L237" s="47" t="str">
        <f>VLOOKUP(B237,CENY!$B$11:$M$1034,9,FALSE)</f>
        <v xml:space="preserve"> </v>
      </c>
      <c r="M237" s="55"/>
      <c r="N237" s="38">
        <f t="shared" si="41"/>
        <v>0</v>
      </c>
      <c r="O237" s="39">
        <v>0</v>
      </c>
      <c r="P237" s="450">
        <f>'AVT101'!AZ30</f>
        <v>0</v>
      </c>
      <c r="Q237" s="41"/>
      <c r="R237" s="450">
        <f>'AVT139'!AZ24</f>
        <v>0</v>
      </c>
      <c r="S237" s="41"/>
      <c r="T237" s="450">
        <f>'AVT187'!AZ30</f>
        <v>0</v>
      </c>
      <c r="U237" s="41"/>
      <c r="V237" s="41"/>
      <c r="W237" s="41"/>
      <c r="X237" s="41"/>
      <c r="Y237" s="41"/>
      <c r="Z237" s="450">
        <f>'AVT101(vn-A)'!AZ30</f>
        <v>0</v>
      </c>
      <c r="AA237" s="41"/>
      <c r="AB237" s="450">
        <f>'AVT139(vn-A)'!AZ24</f>
        <v>0</v>
      </c>
      <c r="AC237" s="41"/>
      <c r="AD237" s="450">
        <f>'AVT187(vn-A)'!AZ30</f>
        <v>0</v>
      </c>
      <c r="AE237" s="41"/>
      <c r="AF237" s="41"/>
      <c r="AG237" s="41"/>
      <c r="AH237" s="450">
        <f>'AVT187(vn-S)'!AZ30</f>
        <v>0</v>
      </c>
      <c r="AI237" s="41"/>
      <c r="AJ237" s="41"/>
      <c r="AK237" s="41"/>
      <c r="AL237" s="41"/>
      <c r="AM237" s="41"/>
      <c r="AN237" s="450">
        <f>'AVT-celny-101+187'!AZ36</f>
        <v>0</v>
      </c>
      <c r="AO237" s="41"/>
      <c r="AP237" s="450">
        <f>'AVT-celny-139+187'!AZ29</f>
        <v>0</v>
      </c>
      <c r="AQ237" s="41"/>
      <c r="AR237" s="450">
        <f>'AVT-celny-2x187'!AZ26</f>
        <v>0</v>
      </c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203"/>
      <c r="BP237" s="203"/>
      <c r="BQ237" s="203"/>
      <c r="BR237" s="203"/>
      <c r="BS237" s="203"/>
      <c r="BT237" s="203"/>
      <c r="BU237" s="203"/>
      <c r="BV237" s="203"/>
      <c r="BW237" s="62"/>
      <c r="BX237" s="185"/>
      <c r="BY237" s="35"/>
      <c r="BZ237" s="27"/>
      <c r="CA237" s="27"/>
      <c r="CB237" s="27"/>
      <c r="CC237" s="27"/>
      <c r="CD237" s="27"/>
      <c r="CE237" s="27"/>
      <c r="CF237" s="27"/>
    </row>
    <row r="238" spans="1:84" ht="15" customHeight="1">
      <c r="A238" s="4"/>
      <c r="B238" s="440">
        <f>CENY!B601</f>
        <v>9257002</v>
      </c>
      <c r="C238" s="48" t="str">
        <f>VLOOKUP(B238,CENY!$B$11:$G$1034,2,FALSE)</f>
        <v>ACTRO YOU 40KG PLNOVÝSUV 350 MM EB21 SILENT SYSTEM SADA</v>
      </c>
      <c r="D238" s="501">
        <f>VLOOKUP(B238,CENY!$B$11:$G$1034,3,FALSE)</f>
        <v>1</v>
      </c>
      <c r="E238" s="63" t="str">
        <f>IF(VLOOKUP(B238,CENY!$B$11:$G$1034,4,FALSE)=0,"",VLOOKUP(B238,CENY!$B$11:$G$1034,4,FALSE))</f>
        <v/>
      </c>
      <c r="F238" s="45" t="str">
        <f t="shared" si="40"/>
        <v/>
      </c>
      <c r="G238" s="59">
        <f>VLOOKUP(B238,CENY!$B$11:$M$1034,12,FALSE)</f>
        <v>561.63</v>
      </c>
      <c r="H238" s="61" t="str">
        <f t="shared" si="37"/>
        <v xml:space="preserve"> CZK</v>
      </c>
      <c r="I238" s="46" t="str">
        <f t="shared" si="38"/>
        <v/>
      </c>
      <c r="J238" s="138"/>
      <c r="K238" s="47">
        <f>VLOOKUP(B238,CENY!$B$11:$M$1034,8,FALSE)</f>
        <v>0</v>
      </c>
      <c r="L238" s="47" t="str">
        <f>VLOOKUP(B238,CENY!$B$11:$M$1034,9,FALSE)</f>
        <v xml:space="preserve"> </v>
      </c>
      <c r="M238" s="55"/>
      <c r="N238" s="38">
        <f t="shared" si="41"/>
        <v>0</v>
      </c>
      <c r="O238" s="39">
        <v>0</v>
      </c>
      <c r="P238" s="450">
        <f>'AVT101'!AZ31</f>
        <v>0</v>
      </c>
      <c r="Q238" s="41"/>
      <c r="R238" s="450">
        <f>'AVT139'!AZ25</f>
        <v>0</v>
      </c>
      <c r="S238" s="41"/>
      <c r="T238" s="450">
        <f>'AVT187'!AZ31</f>
        <v>0</v>
      </c>
      <c r="U238" s="41"/>
      <c r="V238" s="450">
        <f>'AVT251'!AZ23</f>
        <v>0</v>
      </c>
      <c r="W238" s="41"/>
      <c r="X238" s="450">
        <f>AVT187In!AZ23</f>
        <v>0</v>
      </c>
      <c r="Y238" s="41"/>
      <c r="Z238" s="450">
        <f>'AVT101(vn-A)'!AZ31</f>
        <v>0</v>
      </c>
      <c r="AA238" s="41"/>
      <c r="AB238" s="450">
        <f>'AVT139(vn-A)'!AZ25</f>
        <v>0</v>
      </c>
      <c r="AC238" s="41"/>
      <c r="AD238" s="450">
        <f>'AVT187(vn-A)'!AZ31</f>
        <v>0</v>
      </c>
      <c r="AE238" s="41"/>
      <c r="AF238" s="450">
        <f>'AVT187In(vn-A)'!AZ23</f>
        <v>0</v>
      </c>
      <c r="AG238" s="41"/>
      <c r="AH238" s="450">
        <f>'AVT187(vn-S)'!AZ31</f>
        <v>0</v>
      </c>
      <c r="AI238" s="41"/>
      <c r="AJ238" s="450">
        <f>'AVT187In(vn-S)'!AZ23</f>
        <v>0</v>
      </c>
      <c r="AK238" s="41"/>
      <c r="AL238" s="41"/>
      <c r="AM238" s="41"/>
      <c r="AN238" s="450">
        <f>'AVT-celny-101+187'!AZ37</f>
        <v>0</v>
      </c>
      <c r="AO238" s="41"/>
      <c r="AP238" s="450">
        <f>'AVT-celny-139+187'!AZ30</f>
        <v>0</v>
      </c>
      <c r="AQ238" s="41"/>
      <c r="AR238" s="450">
        <f>'AVT-celny-2x187'!AZ27</f>
        <v>0</v>
      </c>
      <c r="AS238" s="41"/>
      <c r="AT238" s="450">
        <f>'AVT-celny-2x187In'!AZ21</f>
        <v>0</v>
      </c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203"/>
      <c r="BP238" s="203"/>
      <c r="BQ238" s="203"/>
      <c r="BR238" s="203"/>
      <c r="BS238" s="203"/>
      <c r="BT238" s="203"/>
      <c r="BU238" s="203"/>
      <c r="BV238" s="203"/>
      <c r="BW238" s="62"/>
      <c r="BX238" s="185"/>
      <c r="BY238" s="35"/>
      <c r="BZ238" s="27"/>
      <c r="CA238" s="27"/>
      <c r="CB238" s="27"/>
      <c r="CC238" s="27"/>
      <c r="CD238" s="27"/>
      <c r="CE238" s="27"/>
      <c r="CF238" s="27"/>
    </row>
    <row r="239" spans="1:84" ht="15" customHeight="1">
      <c r="A239" s="4"/>
      <c r="B239" s="440">
        <f>CENY!B602</f>
        <v>9257004</v>
      </c>
      <c r="C239" s="48" t="str">
        <f>VLOOKUP(B239,CENY!$B$11:$G$1034,2,FALSE)</f>
        <v>ACTRO YOU 40KG PLNOVÝSUV 400 MM EB21 SILENT SYSTEM SADA</v>
      </c>
      <c r="D239" s="501">
        <f>VLOOKUP(B239,CENY!$B$11:$G$1034,3,FALSE)</f>
        <v>1</v>
      </c>
      <c r="E239" s="63" t="str">
        <f>IF(VLOOKUP(B239,CENY!$B$11:$G$1034,4,FALSE)=0,"",VLOOKUP(B239,CENY!$B$11:$G$1034,4,FALSE))</f>
        <v/>
      </c>
      <c r="F239" s="45" t="str">
        <f t="shared" si="40"/>
        <v/>
      </c>
      <c r="G239" s="59">
        <f>VLOOKUP(B239,CENY!$B$11:$M$1034,12,FALSE)</f>
        <v>567.85</v>
      </c>
      <c r="H239" s="61" t="str">
        <f t="shared" si="37"/>
        <v xml:space="preserve"> CZK</v>
      </c>
      <c r="I239" s="46" t="str">
        <f t="shared" si="38"/>
        <v/>
      </c>
      <c r="J239" s="138"/>
      <c r="K239" s="47">
        <f>VLOOKUP(B239,CENY!$B$11:$M$1034,8,FALSE)</f>
        <v>0</v>
      </c>
      <c r="L239" s="47" t="str">
        <f>VLOOKUP(B239,CENY!$B$11:$M$1034,9,FALSE)</f>
        <v xml:space="preserve"> </v>
      </c>
      <c r="M239" s="55"/>
      <c r="N239" s="38">
        <f t="shared" si="41"/>
        <v>0</v>
      </c>
      <c r="O239" s="39">
        <v>0</v>
      </c>
      <c r="P239" s="450">
        <f>'AVT101'!AZ32</f>
        <v>0</v>
      </c>
      <c r="Q239" s="41"/>
      <c r="R239" s="450">
        <f>'AVT139'!AZ26</f>
        <v>0</v>
      </c>
      <c r="S239" s="41"/>
      <c r="T239" s="450">
        <f>'AVT187'!AZ32</f>
        <v>0</v>
      </c>
      <c r="U239" s="41"/>
      <c r="V239" s="450">
        <f>'AVT251'!AZ24</f>
        <v>0</v>
      </c>
      <c r="W239" s="41"/>
      <c r="X239" s="450">
        <f>AVT187In!AZ24</f>
        <v>0</v>
      </c>
      <c r="Y239" s="41"/>
      <c r="Z239" s="450">
        <f>'AVT101(vn-A)'!AZ32</f>
        <v>0</v>
      </c>
      <c r="AA239" s="41"/>
      <c r="AB239" s="450">
        <f>'AVT139(vn-A)'!AZ26</f>
        <v>0</v>
      </c>
      <c r="AC239" s="41"/>
      <c r="AD239" s="450">
        <f>'AVT187(vn-A)'!AZ32</f>
        <v>0</v>
      </c>
      <c r="AE239" s="41"/>
      <c r="AF239" s="450">
        <f>'AVT187In(vn-A)'!AZ24</f>
        <v>0</v>
      </c>
      <c r="AG239" s="41"/>
      <c r="AH239" s="450">
        <f>'AVT187(vn-S)'!AZ32</f>
        <v>0</v>
      </c>
      <c r="AI239" s="41"/>
      <c r="AJ239" s="450">
        <f>'AVT187In(vn-S)'!AZ24</f>
        <v>0</v>
      </c>
      <c r="AK239" s="41"/>
      <c r="AL239" s="450">
        <f>'AVT77'!AZ15</f>
        <v>0</v>
      </c>
      <c r="AM239" s="41"/>
      <c r="AN239" s="450">
        <f>'AVT-celny-101+187'!AZ38</f>
        <v>0</v>
      </c>
      <c r="AO239" s="41"/>
      <c r="AP239" s="450">
        <f>'AVT-celny-139+187'!AZ31</f>
        <v>0</v>
      </c>
      <c r="AQ239" s="41"/>
      <c r="AR239" s="450">
        <f>'AVT-celny-2x187'!AZ28</f>
        <v>0</v>
      </c>
      <c r="AS239" s="41"/>
      <c r="AT239" s="450">
        <f>'AVT-celny-2x187In'!AZ22</f>
        <v>0</v>
      </c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203"/>
      <c r="BP239" s="203"/>
      <c r="BQ239" s="203"/>
      <c r="BR239" s="203"/>
      <c r="BS239" s="203"/>
      <c r="BT239" s="203"/>
      <c r="BU239" s="203"/>
      <c r="BV239" s="203"/>
      <c r="BW239" s="62"/>
      <c r="BX239" s="185"/>
      <c r="BY239" s="35"/>
      <c r="BZ239" s="27"/>
      <c r="CA239" s="27"/>
      <c r="CB239" s="27"/>
      <c r="CC239" s="27"/>
      <c r="CD239" s="27"/>
      <c r="CE239" s="27"/>
      <c r="CF239" s="27"/>
    </row>
    <row r="240" spans="1:84" ht="15" customHeight="1">
      <c r="A240" s="4"/>
      <c r="B240" s="440">
        <f>CENY!B603</f>
        <v>9257006</v>
      </c>
      <c r="C240" s="48" t="str">
        <f>VLOOKUP(B240,CENY!$B$11:$G$1034,2,FALSE)</f>
        <v>ACTRO YOU 40KG PLNOVÝSUV 450 MM EB21 SILENT SYSTEM SADA</v>
      </c>
      <c r="D240" s="501">
        <f>VLOOKUP(B240,CENY!$B$11:$G$1034,3,FALSE)</f>
        <v>1</v>
      </c>
      <c r="E240" s="63" t="str">
        <f>IF(VLOOKUP(B240,CENY!$B$11:$G$1034,4,FALSE)=0,"",VLOOKUP(B240,CENY!$B$11:$G$1034,4,FALSE))</f>
        <v/>
      </c>
      <c r="F240" s="45" t="str">
        <f t="shared" si="40"/>
        <v/>
      </c>
      <c r="G240" s="59">
        <f>VLOOKUP(B240,CENY!$B$11:$M$1034,12,FALSE)</f>
        <v>574.04</v>
      </c>
      <c r="H240" s="61" t="str">
        <f t="shared" si="37"/>
        <v xml:space="preserve"> CZK</v>
      </c>
      <c r="I240" s="46" t="str">
        <f t="shared" si="38"/>
        <v/>
      </c>
      <c r="J240" s="138"/>
      <c r="K240" s="47">
        <f>VLOOKUP(B240,CENY!$B$11:$M$1034,8,FALSE)</f>
        <v>0</v>
      </c>
      <c r="L240" s="47" t="str">
        <f>VLOOKUP(B240,CENY!$B$11:$M$1034,9,FALSE)</f>
        <v xml:space="preserve"> </v>
      </c>
      <c r="M240" s="55"/>
      <c r="N240" s="38">
        <f t="shared" si="41"/>
        <v>0</v>
      </c>
      <c r="O240" s="39">
        <v>0</v>
      </c>
      <c r="P240" s="450">
        <f>'AVT101'!AZ33</f>
        <v>0</v>
      </c>
      <c r="Q240" s="41"/>
      <c r="R240" s="450">
        <f>'AVT139'!AZ27</f>
        <v>0</v>
      </c>
      <c r="S240" s="41"/>
      <c r="T240" s="450">
        <f>'AVT187'!AZ33</f>
        <v>0</v>
      </c>
      <c r="U240" s="41"/>
      <c r="V240" s="450">
        <f>'AVT251'!AZ25</f>
        <v>0</v>
      </c>
      <c r="W240" s="41"/>
      <c r="X240" s="450">
        <f>AVT187In!AZ25</f>
        <v>0</v>
      </c>
      <c r="Y240" s="41"/>
      <c r="Z240" s="450">
        <f>'AVT101(vn-A)'!AZ33</f>
        <v>0</v>
      </c>
      <c r="AA240" s="41"/>
      <c r="AB240" s="450">
        <f>'AVT139(vn-A)'!AZ27</f>
        <v>0</v>
      </c>
      <c r="AC240" s="41"/>
      <c r="AD240" s="450">
        <f>'AVT187(vn-A)'!AZ33</f>
        <v>0</v>
      </c>
      <c r="AE240" s="41"/>
      <c r="AF240" s="450">
        <f>'AVT187In(vn-A)'!AZ25</f>
        <v>0</v>
      </c>
      <c r="AG240" s="41"/>
      <c r="AH240" s="450">
        <f>'AVT187(vn-S)'!AZ33</f>
        <v>0</v>
      </c>
      <c r="AI240" s="41"/>
      <c r="AJ240" s="450">
        <f>'AVT187In(vn-S)'!AZ25</f>
        <v>0</v>
      </c>
      <c r="AK240" s="41"/>
      <c r="AL240" s="450">
        <f>'AVT77'!AZ16</f>
        <v>0</v>
      </c>
      <c r="AM240" s="41"/>
      <c r="AN240" s="450">
        <f>'AVT-celny-101+187'!AZ39</f>
        <v>0</v>
      </c>
      <c r="AO240" s="41"/>
      <c r="AP240" s="450">
        <f>'AVT-celny-139+187'!AZ32</f>
        <v>0</v>
      </c>
      <c r="AQ240" s="41"/>
      <c r="AR240" s="450">
        <f>'AVT-celny-2x187'!AZ29</f>
        <v>0</v>
      </c>
      <c r="AS240" s="41"/>
      <c r="AT240" s="450">
        <f>'AVT-celny-2x187In'!AZ23</f>
        <v>0</v>
      </c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203"/>
      <c r="BP240" s="203"/>
      <c r="BQ240" s="203"/>
      <c r="BR240" s="203"/>
      <c r="BS240" s="203"/>
      <c r="BT240" s="203"/>
      <c r="BU240" s="203"/>
      <c r="BV240" s="203"/>
      <c r="BW240" s="62"/>
      <c r="BX240" s="185"/>
      <c r="BY240" s="35"/>
      <c r="BZ240" s="27"/>
      <c r="CA240" s="27"/>
      <c r="CB240" s="27"/>
      <c r="CC240" s="27"/>
      <c r="CD240" s="27"/>
      <c r="CE240" s="27"/>
      <c r="CF240" s="27"/>
    </row>
    <row r="241" spans="1:84" ht="15" customHeight="1">
      <c r="A241" s="4"/>
      <c r="B241" s="440">
        <f>CENY!B604</f>
        <v>9257008</v>
      </c>
      <c r="C241" s="48" t="str">
        <f>VLOOKUP(B241,CENY!$B$11:$G$1034,2,FALSE)</f>
        <v>ACTRO YOU 40KG PLNOVÝSUV 500 MM EB21 SILENT SYSTEM SADA</v>
      </c>
      <c r="D241" s="501">
        <f>VLOOKUP(B241,CENY!$B$11:$G$1034,3,FALSE)</f>
        <v>1</v>
      </c>
      <c r="E241" s="63" t="str">
        <f>IF(VLOOKUP(B241,CENY!$B$11:$G$1034,4,FALSE)=0,"",VLOOKUP(B241,CENY!$B$11:$G$1034,4,FALSE))</f>
        <v/>
      </c>
      <c r="F241" s="45" t="str">
        <f t="shared" si="40"/>
        <v/>
      </c>
      <c r="G241" s="59">
        <f>VLOOKUP(B241,CENY!$B$11:$M$1034,12,FALSE)</f>
        <v>580.26</v>
      </c>
      <c r="H241" s="61" t="str">
        <f t="shared" si="37"/>
        <v xml:space="preserve"> CZK</v>
      </c>
      <c r="I241" s="46" t="str">
        <f t="shared" si="38"/>
        <v/>
      </c>
      <c r="J241" s="138"/>
      <c r="K241" s="47">
        <f>VLOOKUP(B241,CENY!$B$11:$M$1034,8,FALSE)</f>
        <v>0</v>
      </c>
      <c r="L241" s="47" t="str">
        <f>VLOOKUP(B241,CENY!$B$11:$M$1034,9,FALSE)</f>
        <v xml:space="preserve"> </v>
      </c>
      <c r="M241" s="55"/>
      <c r="N241" s="38">
        <f t="shared" si="41"/>
        <v>0</v>
      </c>
      <c r="O241" s="39">
        <v>0</v>
      </c>
      <c r="P241" s="450">
        <f>'AVT101'!AZ34</f>
        <v>0</v>
      </c>
      <c r="Q241" s="41"/>
      <c r="R241" s="450">
        <f>'AVT139'!AZ28</f>
        <v>0</v>
      </c>
      <c r="S241" s="41"/>
      <c r="T241" s="450">
        <f>'AVT187'!AZ34</f>
        <v>0</v>
      </c>
      <c r="U241" s="41"/>
      <c r="V241" s="450">
        <f>'AVT251'!AZ26</f>
        <v>0</v>
      </c>
      <c r="W241" s="41"/>
      <c r="X241" s="450">
        <f>AVT187In!AZ26</f>
        <v>0</v>
      </c>
      <c r="Y241" s="41"/>
      <c r="Z241" s="450">
        <f>'AVT101(vn-A)'!AZ34</f>
        <v>0</v>
      </c>
      <c r="AA241" s="41"/>
      <c r="AB241" s="450">
        <f>'AVT139(vn-A)'!AZ28</f>
        <v>0</v>
      </c>
      <c r="AC241" s="41"/>
      <c r="AD241" s="450">
        <f>'AVT187(vn-A)'!AZ34</f>
        <v>0</v>
      </c>
      <c r="AE241" s="41"/>
      <c r="AF241" s="450">
        <f>'AVT187In(vn-A)'!AZ26</f>
        <v>0</v>
      </c>
      <c r="AG241" s="41"/>
      <c r="AH241" s="450">
        <f>'AVT187(vn-S)'!AZ34</f>
        <v>0</v>
      </c>
      <c r="AI241" s="41"/>
      <c r="AJ241" s="450">
        <f>'AVT187In(vn-S)'!AZ26</f>
        <v>0</v>
      </c>
      <c r="AK241" s="41"/>
      <c r="AL241" s="450">
        <f>'AVT77'!AZ17</f>
        <v>0</v>
      </c>
      <c r="AM241" s="41"/>
      <c r="AN241" s="450">
        <f>'AVT-celny-101+187'!AZ40</f>
        <v>0</v>
      </c>
      <c r="AO241" s="41"/>
      <c r="AP241" s="450">
        <f>'AVT-celny-139+187'!AZ33</f>
        <v>0</v>
      </c>
      <c r="AQ241" s="41"/>
      <c r="AR241" s="450">
        <f>'AVT-celny-2x187'!AZ30</f>
        <v>0</v>
      </c>
      <c r="AS241" s="41"/>
      <c r="AT241" s="450">
        <f>'AVT-celny-2x187In'!AZ24</f>
        <v>0</v>
      </c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203"/>
      <c r="BP241" s="203"/>
      <c r="BQ241" s="203"/>
      <c r="BR241" s="203"/>
      <c r="BS241" s="203"/>
      <c r="BT241" s="203"/>
      <c r="BU241" s="203"/>
      <c r="BV241" s="203"/>
      <c r="BW241" s="62"/>
      <c r="BX241" s="185"/>
      <c r="BY241" s="35"/>
      <c r="BZ241" s="27"/>
      <c r="CA241" s="27"/>
      <c r="CB241" s="27"/>
      <c r="CC241" s="27"/>
      <c r="CD241" s="27"/>
      <c r="CE241" s="27"/>
      <c r="CF241" s="27"/>
    </row>
    <row r="242" spans="1:84" ht="15" customHeight="1">
      <c r="A242" s="4"/>
      <c r="B242" s="440">
        <f>CENY!B605</f>
        <v>9257010</v>
      </c>
      <c r="C242" s="48" t="str">
        <f>VLOOKUP(B242,CENY!$B$11:$G$1034,2,FALSE)</f>
        <v>ACTRO YOU 40KG PLNOVÝSUV 550 MM EB21 SILENT SYSTEM SADA</v>
      </c>
      <c r="D242" s="501">
        <f>VLOOKUP(B242,CENY!$B$11:$G$1034,3,FALSE)</f>
        <v>1</v>
      </c>
      <c r="E242" s="63" t="str">
        <f>IF(VLOOKUP(B242,CENY!$B$11:$G$1034,4,FALSE)=0,"",VLOOKUP(B242,CENY!$B$11:$G$1034,4,FALSE))</f>
        <v/>
      </c>
      <c r="F242" s="45" t="str">
        <f t="shared" si="40"/>
        <v/>
      </c>
      <c r="G242" s="59">
        <f>VLOOKUP(B242,CENY!$B$11:$M$1034,12,FALSE)</f>
        <v>613.44000000000005</v>
      </c>
      <c r="H242" s="61" t="str">
        <f t="shared" si="37"/>
        <v xml:space="preserve"> CZK</v>
      </c>
      <c r="I242" s="46" t="str">
        <f t="shared" si="38"/>
        <v/>
      </c>
      <c r="J242" s="138"/>
      <c r="K242" s="47">
        <f>VLOOKUP(B242,CENY!$B$11:$M$1034,8,FALSE)</f>
        <v>0</v>
      </c>
      <c r="L242" s="47" t="str">
        <f>VLOOKUP(B242,CENY!$B$11:$M$1034,9,FALSE)</f>
        <v xml:space="preserve"> </v>
      </c>
      <c r="M242" s="55"/>
      <c r="N242" s="38">
        <f t="shared" si="41"/>
        <v>0</v>
      </c>
      <c r="O242" s="39">
        <v>0</v>
      </c>
      <c r="P242" s="450">
        <f>'AVT101'!AZ35</f>
        <v>0</v>
      </c>
      <c r="Q242" s="41"/>
      <c r="R242" s="450">
        <f>'AVT139'!AZ29</f>
        <v>0</v>
      </c>
      <c r="S242" s="41"/>
      <c r="T242" s="450">
        <f>'AVT187'!AZ35</f>
        <v>0</v>
      </c>
      <c r="U242" s="41"/>
      <c r="V242" s="450">
        <f>'AVT251'!AZ27</f>
        <v>0</v>
      </c>
      <c r="W242" s="41"/>
      <c r="X242" s="450">
        <f>AVT187In!AZ27</f>
        <v>0</v>
      </c>
      <c r="Y242" s="41"/>
      <c r="Z242" s="450">
        <f>'AVT101(vn-A)'!AZ35</f>
        <v>0</v>
      </c>
      <c r="AA242" s="41"/>
      <c r="AB242" s="450">
        <f>'AVT139(vn-A)'!AZ29</f>
        <v>0</v>
      </c>
      <c r="AC242" s="41"/>
      <c r="AD242" s="450">
        <f>'AVT187(vn-A)'!AZ35</f>
        <v>0</v>
      </c>
      <c r="AE242" s="41"/>
      <c r="AF242" s="450">
        <f>'AVT187In(vn-A)'!AZ27</f>
        <v>0</v>
      </c>
      <c r="AG242" s="41"/>
      <c r="AH242" s="450">
        <f>'AVT187(vn-S)'!AZ35</f>
        <v>0</v>
      </c>
      <c r="AI242" s="41"/>
      <c r="AJ242" s="450">
        <f>'AVT187In(vn-S)'!AZ27</f>
        <v>0</v>
      </c>
      <c r="AK242" s="41"/>
      <c r="AL242" s="450">
        <f>'AVT77'!AZ18</f>
        <v>0</v>
      </c>
      <c r="AM242" s="41"/>
      <c r="AN242" s="450">
        <f>'AVT-celny-101+187'!AZ41</f>
        <v>0</v>
      </c>
      <c r="AO242" s="41"/>
      <c r="AP242" s="450">
        <f>'AVT-celny-139+187'!AZ34</f>
        <v>0</v>
      </c>
      <c r="AQ242" s="41"/>
      <c r="AR242" s="450">
        <f>'AVT-celny-2x187'!AZ31</f>
        <v>0</v>
      </c>
      <c r="AS242" s="41"/>
      <c r="AT242" s="450">
        <f>'AVT-celny-2x187In'!AZ25</f>
        <v>0</v>
      </c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203"/>
      <c r="BP242" s="203"/>
      <c r="BQ242" s="203"/>
      <c r="BR242" s="203"/>
      <c r="BS242" s="203"/>
      <c r="BT242" s="203"/>
      <c r="BU242" s="203"/>
      <c r="BV242" s="203"/>
      <c r="BW242" s="62"/>
      <c r="BX242" s="185"/>
      <c r="BY242" s="35"/>
      <c r="BZ242" s="27"/>
      <c r="CA242" s="27"/>
      <c r="CB242" s="27"/>
      <c r="CC242" s="27"/>
      <c r="CD242" s="27"/>
      <c r="CE242" s="27"/>
      <c r="CF242" s="27"/>
    </row>
    <row r="243" spans="1:84" ht="15" customHeight="1">
      <c r="A243" s="4"/>
      <c r="B243" s="440">
        <f>CENY!B606</f>
        <v>9268681</v>
      </c>
      <c r="C243" s="48" t="str">
        <f>VLOOKUP(B243,CENY!$B$11:$G$1034,2,FALSE)</f>
        <v>ACTRO YOU 40KG PLNOVÝSUV 600 MM EB21 SILENT SYSTÉM SADA</v>
      </c>
      <c r="D243" s="501">
        <f>VLOOKUP(B243,CENY!$B$11:$G$1034,3,FALSE)</f>
        <v>1</v>
      </c>
      <c r="E243" s="63" t="str">
        <f>IF(VLOOKUP(B243,CENY!$B$11:$G$1034,4,FALSE)=0,"",VLOOKUP(B243,CENY!$B$11:$G$1034,4,FALSE))</f>
        <v/>
      </c>
      <c r="F243" s="45" t="str">
        <f t="shared" si="40"/>
        <v/>
      </c>
      <c r="G243" s="59">
        <f>VLOOKUP(B243,CENY!$B$11:$M$1034,12,FALSE)</f>
        <v>620.78</v>
      </c>
      <c r="H243" s="61" t="str">
        <f t="shared" si="37"/>
        <v xml:space="preserve"> CZK</v>
      </c>
      <c r="I243" s="46" t="str">
        <f t="shared" si="38"/>
        <v/>
      </c>
      <c r="J243" s="138"/>
      <c r="K243" s="47">
        <f>VLOOKUP(B243,CENY!$B$11:$M$1034,8,FALSE)</f>
        <v>0</v>
      </c>
      <c r="L243" s="47" t="str">
        <f>VLOOKUP(B243,CENY!$B$11:$M$1034,9,FALSE)</f>
        <v xml:space="preserve"> </v>
      </c>
      <c r="M243" s="55"/>
      <c r="N243" s="38">
        <f t="shared" si="41"/>
        <v>0</v>
      </c>
      <c r="O243" s="39">
        <v>0</v>
      </c>
      <c r="P243" s="450">
        <f>'AVT101'!AZ36</f>
        <v>0</v>
      </c>
      <c r="Q243" s="41"/>
      <c r="R243" s="450">
        <f>'AVT139'!AZ30</f>
        <v>0</v>
      </c>
      <c r="S243" s="41"/>
      <c r="T243" s="450">
        <f>'AVT187'!AZ36</f>
        <v>0</v>
      </c>
      <c r="U243" s="41"/>
      <c r="V243" s="450">
        <f>'AVT251'!AZ28</f>
        <v>0</v>
      </c>
      <c r="W243" s="41"/>
      <c r="X243" s="450">
        <f>AVT187In!AZ28</f>
        <v>0</v>
      </c>
      <c r="Y243" s="41"/>
      <c r="Z243" s="450">
        <f>'AVT101(vn-A)'!AZ36</f>
        <v>0</v>
      </c>
      <c r="AA243" s="41"/>
      <c r="AB243" s="450">
        <f>'AVT139(vn-A)'!AZ30</f>
        <v>0</v>
      </c>
      <c r="AC243" s="41"/>
      <c r="AD243" s="450">
        <f>'AVT187(vn-A)'!AZ36</f>
        <v>0</v>
      </c>
      <c r="AE243" s="41"/>
      <c r="AF243" s="450">
        <f>'AVT187In(vn-A)'!AZ28</f>
        <v>0</v>
      </c>
      <c r="AG243" s="41"/>
      <c r="AH243" s="450">
        <f>'AVT187(vn-S)'!AZ36</f>
        <v>0</v>
      </c>
      <c r="AI243" s="41"/>
      <c r="AJ243" s="450">
        <f>'AVT187In(vn-S)'!AZ28</f>
        <v>0</v>
      </c>
      <c r="AK243" s="41"/>
      <c r="AL243" s="41"/>
      <c r="AM243" s="41"/>
      <c r="AN243" s="450">
        <f>'AVT-celny-101+187'!AZ42</f>
        <v>0</v>
      </c>
      <c r="AO243" s="41"/>
      <c r="AP243" s="450">
        <f>'AVT-celny-139+187'!AZ35</f>
        <v>0</v>
      </c>
      <c r="AQ243" s="41"/>
      <c r="AR243" s="450">
        <f>'AVT-celny-2x187'!AZ32</f>
        <v>0</v>
      </c>
      <c r="AS243" s="41"/>
      <c r="AT243" s="450">
        <f>'AVT-celny-2x187In'!AZ26</f>
        <v>0</v>
      </c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203"/>
      <c r="BP243" s="203"/>
      <c r="BQ243" s="203"/>
      <c r="BR243" s="203"/>
      <c r="BS243" s="203"/>
      <c r="BT243" s="203"/>
      <c r="BU243" s="203"/>
      <c r="BV243" s="203"/>
      <c r="BW243" s="62"/>
      <c r="BX243" s="185"/>
      <c r="BY243" s="35"/>
      <c r="BZ243" s="27"/>
      <c r="CA243" s="27"/>
      <c r="CB243" s="27"/>
      <c r="CC243" s="27"/>
      <c r="CD243" s="27"/>
      <c r="CE243" s="27"/>
      <c r="CF243" s="27"/>
    </row>
    <row r="244" spans="1:84" ht="15" customHeight="1">
      <c r="A244" s="4"/>
      <c r="B244" s="440">
        <f>CENY!B607</f>
        <v>9256974</v>
      </c>
      <c r="C244" s="48" t="str">
        <f>VLOOKUP(B244,CENY!$B$11:$G$1034,2,FALSE)</f>
        <v>ACTRO YOU 40KG PLNOVÝSUV 270 MM EB21 SILENT SYSTEM LEVÝ</v>
      </c>
      <c r="D244" s="488">
        <f>VLOOKUP(B244,CENY!$B$11:$G$1034,3,FALSE)</f>
        <v>10</v>
      </c>
      <c r="E244" s="63" t="str">
        <f>IF(VLOOKUP(B244,CENY!$B$11:$G$1034,4,FALSE)=0,"",VLOOKUP(B244,CENY!$B$11:$G$1034,4,FALSE))</f>
        <v/>
      </c>
      <c r="F244" s="45" t="str">
        <f t="shared" si="40"/>
        <v/>
      </c>
      <c r="G244" s="59">
        <f>VLOOKUP(B244,CENY!$B$11:$M$1034,12,FALSE)</f>
        <v>243.93</v>
      </c>
      <c r="H244" s="61" t="str">
        <f t="shared" si="37"/>
        <v xml:space="preserve"> CZK</v>
      </c>
      <c r="I244" s="46" t="str">
        <f t="shared" si="38"/>
        <v/>
      </c>
      <c r="J244" s="138"/>
      <c r="K244" s="47">
        <f>VLOOKUP(B244,CENY!$B$11:$M$1034,8,FALSE)</f>
        <v>0</v>
      </c>
      <c r="L244" s="47" t="str">
        <f>VLOOKUP(B244,CENY!$B$11:$M$1034,9,FALSE)</f>
        <v xml:space="preserve"> </v>
      </c>
      <c r="M244" s="55"/>
      <c r="N244" s="38">
        <f t="shared" si="41"/>
        <v>0</v>
      </c>
      <c r="O244" s="39">
        <v>0</v>
      </c>
      <c r="P244" s="41"/>
      <c r="Q244" s="450">
        <f>'AVT101'!BI44</f>
        <v>0</v>
      </c>
      <c r="R244" s="41"/>
      <c r="S244" s="41"/>
      <c r="T244" s="41"/>
      <c r="U244" s="450">
        <f>'AVT187'!BI44</f>
        <v>0</v>
      </c>
      <c r="V244" s="41"/>
      <c r="W244" s="41"/>
      <c r="X244" s="41"/>
      <c r="Y244" s="41"/>
      <c r="Z244" s="41"/>
      <c r="AA244" s="450">
        <f>'AVT101(vn-A)'!BI44</f>
        <v>0</v>
      </c>
      <c r="AB244" s="41"/>
      <c r="AC244" s="41"/>
      <c r="AD244" s="41"/>
      <c r="AE244" s="450">
        <f>'AVT187(vn-A)'!BI44</f>
        <v>0</v>
      </c>
      <c r="AF244" s="41"/>
      <c r="AG244" s="41"/>
      <c r="AH244" s="41"/>
      <c r="AI244" s="450">
        <f>'AVT187(vn-S)'!BI44</f>
        <v>0</v>
      </c>
      <c r="AJ244" s="41"/>
      <c r="AK244" s="41"/>
      <c r="AL244" s="41"/>
      <c r="AM244" s="41"/>
      <c r="AN244" s="41"/>
      <c r="AO244" s="450">
        <f>'AVT-celny-101+187'!BI57</f>
        <v>0</v>
      </c>
      <c r="AP244" s="41"/>
      <c r="AQ244" s="41"/>
      <c r="AR244" s="41"/>
      <c r="AS244" s="450">
        <f>'AVT-celny-2x187'!BI37</f>
        <v>0</v>
      </c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203"/>
      <c r="BP244" s="203"/>
      <c r="BQ244" s="203"/>
      <c r="BR244" s="203"/>
      <c r="BS244" s="203"/>
      <c r="BT244" s="203"/>
      <c r="BU244" s="203"/>
      <c r="BV244" s="203"/>
      <c r="BW244" s="62"/>
      <c r="BX244" s="185"/>
      <c r="BY244" s="35"/>
      <c r="BZ244" s="27"/>
      <c r="CA244" s="27"/>
      <c r="CB244" s="27"/>
      <c r="CC244" s="27"/>
      <c r="CD244" s="27"/>
      <c r="CE244" s="27"/>
      <c r="CF244" s="27"/>
    </row>
    <row r="245" spans="1:84" ht="15" customHeight="1">
      <c r="A245" s="4"/>
      <c r="B245" s="440">
        <f>CENY!B608</f>
        <v>9256975</v>
      </c>
      <c r="C245" s="48" t="str">
        <f>VLOOKUP(B245,CENY!$B$11:$G$1034,2,FALSE)</f>
        <v>ACTRO YOU 40KG PLNOVÝSUV 270 MM EB21 SILENT SYSTEM PRAVÝ</v>
      </c>
      <c r="D245" s="488">
        <f>VLOOKUP(B245,CENY!$B$11:$G$1034,3,FALSE)</f>
        <v>10</v>
      </c>
      <c r="E245" s="63" t="str">
        <f>IF(VLOOKUP(B245,CENY!$B$11:$G$1034,4,FALSE)=0,"",VLOOKUP(B245,CENY!$B$11:$G$1034,4,FALSE))</f>
        <v/>
      </c>
      <c r="F245" s="45" t="str">
        <f t="shared" si="40"/>
        <v/>
      </c>
      <c r="G245" s="59">
        <f>VLOOKUP(B245,CENY!$B$11:$M$1034,12,FALSE)</f>
        <v>243.93</v>
      </c>
      <c r="H245" s="61" t="str">
        <f t="shared" si="37"/>
        <v xml:space="preserve"> CZK</v>
      </c>
      <c r="I245" s="46" t="str">
        <f t="shared" si="38"/>
        <v/>
      </c>
      <c r="J245" s="138"/>
      <c r="K245" s="47">
        <f>VLOOKUP(B245,CENY!$B$11:$M$1034,8,FALSE)</f>
        <v>0</v>
      </c>
      <c r="L245" s="47" t="str">
        <f>VLOOKUP(B245,CENY!$B$11:$M$1034,9,FALSE)</f>
        <v xml:space="preserve"> </v>
      </c>
      <c r="M245" s="55"/>
      <c r="N245" s="38">
        <f t="shared" si="41"/>
        <v>0</v>
      </c>
      <c r="O245" s="39">
        <v>0</v>
      </c>
      <c r="P245" s="41"/>
      <c r="Q245" s="450">
        <f>'AVT101'!BI45</f>
        <v>0</v>
      </c>
      <c r="R245" s="41"/>
      <c r="S245" s="41"/>
      <c r="T245" s="41"/>
      <c r="U245" s="450">
        <f>'AVT187'!BI45</f>
        <v>0</v>
      </c>
      <c r="V245" s="41"/>
      <c r="W245" s="41"/>
      <c r="X245" s="41"/>
      <c r="Y245" s="41"/>
      <c r="Z245" s="41"/>
      <c r="AA245" s="450">
        <f>'AVT101(vn-A)'!BI45</f>
        <v>0</v>
      </c>
      <c r="AB245" s="41"/>
      <c r="AC245" s="41"/>
      <c r="AD245" s="41"/>
      <c r="AE245" s="450">
        <f>'AVT187(vn-A)'!BI45</f>
        <v>0</v>
      </c>
      <c r="AF245" s="41"/>
      <c r="AG245" s="41"/>
      <c r="AH245" s="41"/>
      <c r="AI245" s="450">
        <f>'AVT187(vn-S)'!BI45</f>
        <v>0</v>
      </c>
      <c r="AJ245" s="41"/>
      <c r="AK245" s="41"/>
      <c r="AL245" s="41"/>
      <c r="AM245" s="41"/>
      <c r="AN245" s="41"/>
      <c r="AO245" s="450">
        <f>'AVT-celny-101+187'!BI58</f>
        <v>0</v>
      </c>
      <c r="AP245" s="41"/>
      <c r="AQ245" s="41"/>
      <c r="AR245" s="41"/>
      <c r="AS245" s="450">
        <f>'AVT-celny-2x187'!BI38</f>
        <v>0</v>
      </c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203"/>
      <c r="BP245" s="203"/>
      <c r="BQ245" s="203"/>
      <c r="BR245" s="203"/>
      <c r="BS245" s="203"/>
      <c r="BT245" s="203"/>
      <c r="BU245" s="203"/>
      <c r="BV245" s="203"/>
      <c r="BW245" s="62"/>
      <c r="BX245" s="185"/>
      <c r="BY245" s="35"/>
      <c r="BZ245" s="27"/>
      <c r="CA245" s="27"/>
      <c r="CB245" s="27"/>
      <c r="CC245" s="27"/>
      <c r="CD245" s="27"/>
      <c r="CE245" s="27"/>
      <c r="CF245" s="27"/>
    </row>
    <row r="246" spans="1:84" ht="15" customHeight="1">
      <c r="A246" s="4"/>
      <c r="B246" s="440">
        <f>CENY!B609</f>
        <v>9256976</v>
      </c>
      <c r="C246" s="48" t="str">
        <f>VLOOKUP(B246,CENY!$B$11:$G$1034,2,FALSE)</f>
        <v>ACTRO YOU 40KG PLNOVÝSUV 300 MM EB21 SILENT SYSTEM LEVÝ</v>
      </c>
      <c r="D246" s="488">
        <f>VLOOKUP(B246,CENY!$B$11:$G$1034,3,FALSE)</f>
        <v>10</v>
      </c>
      <c r="E246" s="63" t="str">
        <f>IF(VLOOKUP(B246,CENY!$B$11:$G$1034,4,FALSE)=0,"",VLOOKUP(B246,CENY!$B$11:$G$1034,4,FALSE))</f>
        <v/>
      </c>
      <c r="F246" s="45" t="str">
        <f t="shared" si="40"/>
        <v/>
      </c>
      <c r="G246" s="59">
        <f>VLOOKUP(B246,CENY!$B$11:$M$1034,12,FALSE)</f>
        <v>243.93</v>
      </c>
      <c r="H246" s="61" t="str">
        <f t="shared" si="37"/>
        <v xml:space="preserve"> CZK</v>
      </c>
      <c r="I246" s="46" t="str">
        <f t="shared" si="38"/>
        <v/>
      </c>
      <c r="J246" s="138"/>
      <c r="K246" s="47">
        <f>VLOOKUP(B246,CENY!$B$11:$M$1034,8,FALSE)</f>
        <v>0</v>
      </c>
      <c r="L246" s="47" t="str">
        <f>VLOOKUP(B246,CENY!$B$11:$M$1034,9,FALSE)</f>
        <v xml:space="preserve"> </v>
      </c>
      <c r="M246" s="55"/>
      <c r="N246" s="38">
        <f t="shared" si="41"/>
        <v>0</v>
      </c>
      <c r="O246" s="39">
        <v>0</v>
      </c>
      <c r="P246" s="41"/>
      <c r="Q246" s="450">
        <f>'AVT101'!BI46</f>
        <v>0</v>
      </c>
      <c r="R246" s="41"/>
      <c r="S246" s="450">
        <f>'AVT139'!BI36</f>
        <v>0</v>
      </c>
      <c r="T246" s="41"/>
      <c r="U246" s="450">
        <f>'AVT187'!BI46</f>
        <v>0</v>
      </c>
      <c r="V246" s="41"/>
      <c r="W246" s="41"/>
      <c r="X246" s="41"/>
      <c r="Y246" s="41"/>
      <c r="Z246" s="41"/>
      <c r="AA246" s="450">
        <f>'AVT101(vn-A)'!BI46</f>
        <v>0</v>
      </c>
      <c r="AB246" s="41"/>
      <c r="AC246" s="450">
        <f>'AVT139(vn-A)'!BI36</f>
        <v>0</v>
      </c>
      <c r="AD246" s="41"/>
      <c r="AE246" s="450">
        <f>'AVT187(vn-A)'!BI46</f>
        <v>0</v>
      </c>
      <c r="AF246" s="41"/>
      <c r="AG246" s="41"/>
      <c r="AH246" s="41"/>
      <c r="AI246" s="450">
        <f>'AVT187(vn-S)'!BI46</f>
        <v>0</v>
      </c>
      <c r="AJ246" s="41"/>
      <c r="AK246" s="41"/>
      <c r="AL246" s="41"/>
      <c r="AM246" s="41"/>
      <c r="AN246" s="41"/>
      <c r="AO246" s="450">
        <f>'AVT-celny-101+187'!BI59</f>
        <v>0</v>
      </c>
      <c r="AP246" s="41"/>
      <c r="AQ246" s="450">
        <f>'AVT-celny-139+187'!BI47</f>
        <v>0</v>
      </c>
      <c r="AR246" s="41"/>
      <c r="AS246" s="450">
        <f>'AVT-celny-2x187'!BI39</f>
        <v>0</v>
      </c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203"/>
      <c r="BP246" s="203"/>
      <c r="BQ246" s="203"/>
      <c r="BR246" s="203"/>
      <c r="BS246" s="203"/>
      <c r="BT246" s="203"/>
      <c r="BU246" s="203"/>
      <c r="BV246" s="203"/>
      <c r="BW246" s="62"/>
      <c r="BX246" s="185"/>
      <c r="BY246" s="35"/>
      <c r="BZ246" s="27"/>
      <c r="CA246" s="27"/>
      <c r="CB246" s="27"/>
      <c r="CC246" s="27"/>
      <c r="CD246" s="27"/>
      <c r="CE246" s="27"/>
      <c r="CF246" s="27"/>
    </row>
    <row r="247" spans="1:84" ht="15" customHeight="1">
      <c r="A247" s="4"/>
      <c r="B247" s="440">
        <f>CENY!B610</f>
        <v>9256977</v>
      </c>
      <c r="C247" s="48" t="str">
        <f>VLOOKUP(B247,CENY!$B$11:$G$1034,2,FALSE)</f>
        <v>ACTRO YOU 40KG PLNOVÝSUV 300 MM EB21 SILENT SYSTEM PRAVÝ</v>
      </c>
      <c r="D247" s="488">
        <f>VLOOKUP(B247,CENY!$B$11:$G$1034,3,FALSE)</f>
        <v>10</v>
      </c>
      <c r="E247" s="63" t="str">
        <f>IF(VLOOKUP(B247,CENY!$B$11:$G$1034,4,FALSE)=0,"",VLOOKUP(B247,CENY!$B$11:$G$1034,4,FALSE))</f>
        <v/>
      </c>
      <c r="F247" s="45" t="str">
        <f t="shared" si="40"/>
        <v/>
      </c>
      <c r="G247" s="59">
        <f>VLOOKUP(B247,CENY!$B$11:$M$1034,12,FALSE)</f>
        <v>243.93</v>
      </c>
      <c r="H247" s="61" t="str">
        <f t="shared" si="37"/>
        <v xml:space="preserve"> CZK</v>
      </c>
      <c r="I247" s="46" t="str">
        <f t="shared" si="38"/>
        <v/>
      </c>
      <c r="J247" s="138"/>
      <c r="K247" s="47">
        <f>VLOOKUP(B247,CENY!$B$11:$M$1034,8,FALSE)</f>
        <v>0</v>
      </c>
      <c r="L247" s="47" t="str">
        <f>VLOOKUP(B247,CENY!$B$11:$M$1034,9,FALSE)</f>
        <v xml:space="preserve"> </v>
      </c>
      <c r="M247" s="55"/>
      <c r="N247" s="38">
        <f t="shared" si="41"/>
        <v>0</v>
      </c>
      <c r="O247" s="39">
        <v>0</v>
      </c>
      <c r="P247" s="41"/>
      <c r="Q247" s="450">
        <f>'AVT101'!BI47</f>
        <v>0</v>
      </c>
      <c r="R247" s="41"/>
      <c r="S247" s="450">
        <f>'AVT139'!BI37</f>
        <v>0</v>
      </c>
      <c r="T247" s="41"/>
      <c r="U247" s="450">
        <f>'AVT187'!BI47</f>
        <v>0</v>
      </c>
      <c r="V247" s="41"/>
      <c r="W247" s="41"/>
      <c r="X247" s="41"/>
      <c r="Y247" s="41"/>
      <c r="Z247" s="41"/>
      <c r="AA247" s="450">
        <f>'AVT101(vn-A)'!BI47</f>
        <v>0</v>
      </c>
      <c r="AB247" s="41"/>
      <c r="AC247" s="450">
        <f>'AVT139(vn-A)'!BI37</f>
        <v>0</v>
      </c>
      <c r="AD247" s="41"/>
      <c r="AE247" s="450">
        <f>'AVT187(vn-A)'!BI47</f>
        <v>0</v>
      </c>
      <c r="AF247" s="41"/>
      <c r="AG247" s="41"/>
      <c r="AH247" s="41"/>
      <c r="AI247" s="450">
        <f>'AVT187(vn-S)'!BI47</f>
        <v>0</v>
      </c>
      <c r="AJ247" s="41"/>
      <c r="AK247" s="41"/>
      <c r="AL247" s="41"/>
      <c r="AM247" s="41"/>
      <c r="AN247" s="41"/>
      <c r="AO247" s="450">
        <f>'AVT-celny-101+187'!BI60</f>
        <v>0</v>
      </c>
      <c r="AP247" s="41"/>
      <c r="AQ247" s="450">
        <f>'AVT-celny-139+187'!BI48</f>
        <v>0</v>
      </c>
      <c r="AR247" s="41"/>
      <c r="AS247" s="450">
        <f>'AVT-celny-2x187'!BI40</f>
        <v>0</v>
      </c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203"/>
      <c r="BP247" s="203"/>
      <c r="BQ247" s="203"/>
      <c r="BR247" s="203"/>
      <c r="BS247" s="203"/>
      <c r="BT247" s="203"/>
      <c r="BU247" s="203"/>
      <c r="BV247" s="203"/>
      <c r="BW247" s="62"/>
      <c r="BX247" s="185"/>
      <c r="BY247" s="35"/>
      <c r="BZ247" s="27"/>
      <c r="CA247" s="27"/>
      <c r="CB247" s="27"/>
      <c r="CC247" s="27"/>
      <c r="CD247" s="27"/>
      <c r="CE247" s="27"/>
      <c r="CF247" s="27"/>
    </row>
    <row r="248" spans="1:84" ht="15" customHeight="1">
      <c r="A248" s="4"/>
      <c r="B248" s="440">
        <f>CENY!B611</f>
        <v>9256980</v>
      </c>
      <c r="C248" s="48" t="str">
        <f>VLOOKUP(B248,CENY!$B$11:$G$1034,2,FALSE)</f>
        <v>ACTRO YOU 40KG PLNOVÝSUV 350 MM EB21 SILENT SYSTEM LEVÝ</v>
      </c>
      <c r="D248" s="488">
        <f>VLOOKUP(B248,CENY!$B$11:$G$1034,3,FALSE)</f>
        <v>10</v>
      </c>
      <c r="E248" s="63" t="str">
        <f>IF(VLOOKUP(B248,CENY!$B$11:$G$1034,4,FALSE)=0,"",VLOOKUP(B248,CENY!$B$11:$G$1034,4,FALSE))</f>
        <v/>
      </c>
      <c r="F248" s="45" t="str">
        <f t="shared" si="40"/>
        <v/>
      </c>
      <c r="G248" s="59">
        <f>VLOOKUP(B248,CENY!$B$11:$M$1034,12,FALSE)</f>
        <v>243.93</v>
      </c>
      <c r="H248" s="61" t="str">
        <f t="shared" si="37"/>
        <v xml:space="preserve"> CZK</v>
      </c>
      <c r="I248" s="46" t="str">
        <f t="shared" si="38"/>
        <v/>
      </c>
      <c r="J248" s="138"/>
      <c r="K248" s="47">
        <f>VLOOKUP(B248,CENY!$B$11:$M$1034,8,FALSE)</f>
        <v>0</v>
      </c>
      <c r="L248" s="47" t="str">
        <f>VLOOKUP(B248,CENY!$B$11:$M$1034,9,FALSE)</f>
        <v xml:space="preserve"> </v>
      </c>
      <c r="M248" s="55"/>
      <c r="N248" s="38">
        <f t="shared" si="41"/>
        <v>0</v>
      </c>
      <c r="O248" s="39">
        <v>0</v>
      </c>
      <c r="P248" s="41"/>
      <c r="Q248" s="450">
        <f>'AVT101'!BI48</f>
        <v>0</v>
      </c>
      <c r="R248" s="41"/>
      <c r="S248" s="450">
        <f>'AVT139'!BI38</f>
        <v>0</v>
      </c>
      <c r="T248" s="41"/>
      <c r="U248" s="450">
        <f>'AVT187'!BI48</f>
        <v>0</v>
      </c>
      <c r="V248" s="41"/>
      <c r="W248" s="450">
        <f>'AVT251'!BI35</f>
        <v>0</v>
      </c>
      <c r="X248" s="41"/>
      <c r="Y248" s="450">
        <f>AVT187In!BI34</f>
        <v>0</v>
      </c>
      <c r="Z248" s="41"/>
      <c r="AA248" s="450">
        <f>'AVT101(vn-A)'!BI48</f>
        <v>0</v>
      </c>
      <c r="AB248" s="41"/>
      <c r="AC248" s="450">
        <f>'AVT139(vn-A)'!BI38</f>
        <v>0</v>
      </c>
      <c r="AD248" s="41"/>
      <c r="AE248" s="450">
        <f>'AVT187(vn-A)'!BI48</f>
        <v>0</v>
      </c>
      <c r="AF248" s="41"/>
      <c r="AG248" s="450">
        <f>'AVT187In(vn-A)'!BI34</f>
        <v>0</v>
      </c>
      <c r="AH248" s="41"/>
      <c r="AI248" s="450">
        <f>'AVT187(vn-S)'!BI48</f>
        <v>0</v>
      </c>
      <c r="AJ248" s="41"/>
      <c r="AK248" s="450">
        <f>'AVT187In(vn-S)'!BI34</f>
        <v>0</v>
      </c>
      <c r="AL248" s="41"/>
      <c r="AM248" s="41"/>
      <c r="AN248" s="41"/>
      <c r="AO248" s="450">
        <f>'AVT-celny-101+187'!BI61</f>
        <v>0</v>
      </c>
      <c r="AP248" s="41"/>
      <c r="AQ248" s="450">
        <f>'AVT-celny-139+187'!BI49</f>
        <v>0</v>
      </c>
      <c r="AR248" s="41"/>
      <c r="AS248" s="450">
        <f>'AVT-celny-2x187'!BI41</f>
        <v>0</v>
      </c>
      <c r="AT248" s="41"/>
      <c r="AU248" s="450">
        <f>'AVT-celny-2x187In'!BI31</f>
        <v>0</v>
      </c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203"/>
      <c r="BP248" s="203"/>
      <c r="BQ248" s="203"/>
      <c r="BR248" s="203"/>
      <c r="BS248" s="203"/>
      <c r="BT248" s="203"/>
      <c r="BU248" s="203"/>
      <c r="BV248" s="203"/>
      <c r="BW248" s="62"/>
      <c r="BX248" s="185"/>
      <c r="BY248" s="35"/>
      <c r="BZ248" s="27"/>
      <c r="CA248" s="27"/>
      <c r="CB248" s="27"/>
      <c r="CC248" s="27"/>
      <c r="CD248" s="27"/>
      <c r="CE248" s="27"/>
      <c r="CF248" s="27"/>
    </row>
    <row r="249" spans="1:84" ht="15" customHeight="1">
      <c r="A249" s="4"/>
      <c r="B249" s="440">
        <f>CENY!B612</f>
        <v>9256981</v>
      </c>
      <c r="C249" s="48" t="str">
        <f>VLOOKUP(B249,CENY!$B$11:$G$1034,2,FALSE)</f>
        <v>ACTRO YOU 40KG PLNOVÝSUV 350 MM EB21 SILENT SYSTEM PRAVÝ</v>
      </c>
      <c r="D249" s="488">
        <f>VLOOKUP(B249,CENY!$B$11:$G$1034,3,FALSE)</f>
        <v>10</v>
      </c>
      <c r="E249" s="63" t="str">
        <f>IF(VLOOKUP(B249,CENY!$B$11:$G$1034,4,FALSE)=0,"",VLOOKUP(B249,CENY!$B$11:$G$1034,4,FALSE))</f>
        <v/>
      </c>
      <c r="F249" s="45" t="str">
        <f t="shared" si="40"/>
        <v/>
      </c>
      <c r="G249" s="59">
        <f>VLOOKUP(B249,CENY!$B$11:$M$1034,12,FALSE)</f>
        <v>243.93</v>
      </c>
      <c r="H249" s="61" t="str">
        <f t="shared" si="37"/>
        <v xml:space="preserve"> CZK</v>
      </c>
      <c r="I249" s="46" t="str">
        <f t="shared" si="38"/>
        <v/>
      </c>
      <c r="J249" s="138"/>
      <c r="K249" s="47">
        <f>VLOOKUP(B249,CENY!$B$11:$M$1034,8,FALSE)</f>
        <v>0</v>
      </c>
      <c r="L249" s="47" t="str">
        <f>VLOOKUP(B249,CENY!$B$11:$M$1034,9,FALSE)</f>
        <v xml:space="preserve"> </v>
      </c>
      <c r="M249" s="55"/>
      <c r="N249" s="38">
        <f t="shared" si="41"/>
        <v>0</v>
      </c>
      <c r="O249" s="39">
        <v>0</v>
      </c>
      <c r="P249" s="41"/>
      <c r="Q249" s="450">
        <f>'AVT101'!BI49</f>
        <v>0</v>
      </c>
      <c r="R249" s="41"/>
      <c r="S249" s="450">
        <f>'AVT139'!BI39</f>
        <v>0</v>
      </c>
      <c r="T249" s="41"/>
      <c r="U249" s="450">
        <f>'AVT187'!BI49</f>
        <v>0</v>
      </c>
      <c r="V249" s="41"/>
      <c r="W249" s="450">
        <f>'AVT251'!BI36</f>
        <v>0</v>
      </c>
      <c r="X249" s="41"/>
      <c r="Y249" s="450">
        <f>AVT187In!BI35</f>
        <v>0</v>
      </c>
      <c r="Z249" s="41"/>
      <c r="AA249" s="450">
        <f>'AVT101(vn-A)'!BI49</f>
        <v>0</v>
      </c>
      <c r="AB249" s="41"/>
      <c r="AC249" s="450">
        <f>'AVT139(vn-A)'!BI39</f>
        <v>0</v>
      </c>
      <c r="AD249" s="41"/>
      <c r="AE249" s="450">
        <f>'AVT187(vn-A)'!BI49</f>
        <v>0</v>
      </c>
      <c r="AF249" s="41"/>
      <c r="AG249" s="450">
        <f>'AVT187In(vn-A)'!BI35</f>
        <v>0</v>
      </c>
      <c r="AH249" s="41"/>
      <c r="AI249" s="450">
        <f>'AVT187(vn-S)'!BI49</f>
        <v>0</v>
      </c>
      <c r="AJ249" s="41"/>
      <c r="AK249" s="450">
        <f>'AVT187In(vn-S)'!BI35</f>
        <v>0</v>
      </c>
      <c r="AL249" s="41"/>
      <c r="AM249" s="41"/>
      <c r="AN249" s="41"/>
      <c r="AO249" s="450">
        <f>'AVT-celny-101+187'!BI62</f>
        <v>0</v>
      </c>
      <c r="AP249" s="41"/>
      <c r="AQ249" s="450">
        <f>'AVT-celny-139+187'!BI50</f>
        <v>0</v>
      </c>
      <c r="AR249" s="41"/>
      <c r="AS249" s="450">
        <f>'AVT-celny-2x187'!BI42</f>
        <v>0</v>
      </c>
      <c r="AT249" s="41"/>
      <c r="AU249" s="450">
        <f>'AVT-celny-2x187In'!BI32</f>
        <v>0</v>
      </c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203"/>
      <c r="BP249" s="203"/>
      <c r="BQ249" s="203"/>
      <c r="BR249" s="203"/>
      <c r="BS249" s="203"/>
      <c r="BT249" s="203"/>
      <c r="BU249" s="203"/>
      <c r="BV249" s="203"/>
      <c r="BW249" s="62"/>
      <c r="BX249" s="185"/>
      <c r="BY249" s="35"/>
      <c r="BZ249" s="27"/>
      <c r="CA249" s="27"/>
      <c r="CB249" s="27"/>
      <c r="CC249" s="27"/>
      <c r="CD249" s="27"/>
      <c r="CE249" s="27"/>
      <c r="CF249" s="27"/>
    </row>
    <row r="250" spans="1:84" ht="15" customHeight="1">
      <c r="A250" s="4"/>
      <c r="B250" s="440">
        <f>CENY!B613</f>
        <v>9256984</v>
      </c>
      <c r="C250" s="48" t="str">
        <f>VLOOKUP(B250,CENY!$B$11:$G$1034,2,FALSE)</f>
        <v>ACTRO YOU 40KG PLNOVÝSUV 400 MM EB21 SILENT SYSTEM LEVÝ</v>
      </c>
      <c r="D250" s="488">
        <f>VLOOKUP(B250,CENY!$B$11:$G$1034,3,FALSE)</f>
        <v>10</v>
      </c>
      <c r="E250" s="63" t="str">
        <f>IF(VLOOKUP(B250,CENY!$B$11:$G$1034,4,FALSE)=0,"",VLOOKUP(B250,CENY!$B$11:$G$1034,4,FALSE))</f>
        <v/>
      </c>
      <c r="F250" s="45" t="str">
        <f t="shared" si="40"/>
        <v/>
      </c>
      <c r="G250" s="59">
        <f>VLOOKUP(B250,CENY!$B$11:$M$1034,12,FALSE)</f>
        <v>247.05</v>
      </c>
      <c r="H250" s="61" t="str">
        <f t="shared" si="37"/>
        <v xml:space="preserve"> CZK</v>
      </c>
      <c r="I250" s="46" t="str">
        <f t="shared" si="38"/>
        <v/>
      </c>
      <c r="J250" s="138"/>
      <c r="K250" s="47">
        <f>VLOOKUP(B250,CENY!$B$11:$M$1034,8,FALSE)</f>
        <v>0</v>
      </c>
      <c r="L250" s="47" t="str">
        <f>VLOOKUP(B250,CENY!$B$11:$M$1034,9,FALSE)</f>
        <v xml:space="preserve"> </v>
      </c>
      <c r="M250" s="55"/>
      <c r="N250" s="38">
        <f t="shared" si="41"/>
        <v>0</v>
      </c>
      <c r="O250" s="39">
        <v>0</v>
      </c>
      <c r="P250" s="41"/>
      <c r="Q250" s="450">
        <f>'AVT101'!BI50</f>
        <v>0</v>
      </c>
      <c r="R250" s="41"/>
      <c r="S250" s="450">
        <f>'AVT139'!BI40</f>
        <v>0</v>
      </c>
      <c r="T250" s="41"/>
      <c r="U250" s="450">
        <f>'AVT187'!BI50</f>
        <v>0</v>
      </c>
      <c r="V250" s="41"/>
      <c r="W250" s="450">
        <f>'AVT251'!BI37</f>
        <v>0</v>
      </c>
      <c r="X250" s="41"/>
      <c r="Y250" s="450">
        <f>AVT187In!BI36</f>
        <v>0</v>
      </c>
      <c r="Z250" s="41"/>
      <c r="AA250" s="450">
        <f>'AVT101(vn-A)'!BI50</f>
        <v>0</v>
      </c>
      <c r="AB250" s="41"/>
      <c r="AC250" s="450">
        <f>'AVT139(vn-A)'!BI40</f>
        <v>0</v>
      </c>
      <c r="AD250" s="41"/>
      <c r="AE250" s="450">
        <f>'AVT187(vn-A)'!BI50</f>
        <v>0</v>
      </c>
      <c r="AF250" s="41"/>
      <c r="AG250" s="450">
        <f>'AVT187In(vn-A)'!BI36</f>
        <v>0</v>
      </c>
      <c r="AH250" s="41"/>
      <c r="AI250" s="450">
        <f>'AVT187(vn-S)'!BI50</f>
        <v>0</v>
      </c>
      <c r="AJ250" s="41"/>
      <c r="AK250" s="450">
        <f>'AVT187In(vn-S)'!BI36</f>
        <v>0</v>
      </c>
      <c r="AL250" s="41"/>
      <c r="AM250" s="450">
        <f>'AVT77'!BI22</f>
        <v>0</v>
      </c>
      <c r="AN250" s="41"/>
      <c r="AO250" s="450">
        <f>'AVT-celny-101+187'!BI63</f>
        <v>0</v>
      </c>
      <c r="AP250" s="41"/>
      <c r="AQ250" s="450">
        <f>'AVT-celny-139+187'!BI51</f>
        <v>0</v>
      </c>
      <c r="AR250" s="41"/>
      <c r="AS250" s="450">
        <f>'AVT-celny-2x187'!BI43</f>
        <v>0</v>
      </c>
      <c r="AT250" s="41"/>
      <c r="AU250" s="450">
        <f>'AVT-celny-2x187In'!BI33</f>
        <v>0</v>
      </c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203"/>
      <c r="BP250" s="203"/>
      <c r="BQ250" s="203"/>
      <c r="BR250" s="203"/>
      <c r="BS250" s="203"/>
      <c r="BT250" s="203"/>
      <c r="BU250" s="203"/>
      <c r="BV250" s="203"/>
      <c r="BW250" s="62"/>
      <c r="BX250" s="185"/>
      <c r="BY250" s="35"/>
      <c r="BZ250" s="27"/>
      <c r="CA250" s="27"/>
      <c r="CB250" s="27"/>
      <c r="CC250" s="27"/>
      <c r="CD250" s="27"/>
      <c r="CE250" s="27"/>
      <c r="CF250" s="27"/>
    </row>
    <row r="251" spans="1:84" ht="15" customHeight="1">
      <c r="A251" s="4"/>
      <c r="B251" s="440">
        <f>CENY!B614</f>
        <v>9256985</v>
      </c>
      <c r="C251" s="48" t="str">
        <f>VLOOKUP(B251,CENY!$B$11:$G$1034,2,FALSE)</f>
        <v>ACTRO YOU 40KG PLNOVÝSUV 400 MM EB21 SILENT SYSTEM PRAVÝ</v>
      </c>
      <c r="D251" s="488">
        <f>VLOOKUP(B251,CENY!$B$11:$G$1034,3,FALSE)</f>
        <v>10</v>
      </c>
      <c r="E251" s="63" t="str">
        <f>IF(VLOOKUP(B251,CENY!$B$11:$G$1034,4,FALSE)=0,"",VLOOKUP(B251,CENY!$B$11:$G$1034,4,FALSE))</f>
        <v/>
      </c>
      <c r="F251" s="45" t="str">
        <f t="shared" si="40"/>
        <v/>
      </c>
      <c r="G251" s="59">
        <f>VLOOKUP(B251,CENY!$B$11:$M$1034,12,FALSE)</f>
        <v>247.05</v>
      </c>
      <c r="H251" s="61" t="str">
        <f t="shared" si="37"/>
        <v xml:space="preserve"> CZK</v>
      </c>
      <c r="I251" s="46" t="str">
        <f t="shared" si="38"/>
        <v/>
      </c>
      <c r="J251" s="138"/>
      <c r="K251" s="47">
        <f>VLOOKUP(B251,CENY!$B$11:$M$1034,8,FALSE)</f>
        <v>0</v>
      </c>
      <c r="L251" s="47" t="str">
        <f>VLOOKUP(B251,CENY!$B$11:$M$1034,9,FALSE)</f>
        <v xml:space="preserve"> </v>
      </c>
      <c r="M251" s="55"/>
      <c r="N251" s="38">
        <f t="shared" si="41"/>
        <v>0</v>
      </c>
      <c r="O251" s="39">
        <v>0</v>
      </c>
      <c r="P251" s="41"/>
      <c r="Q251" s="450">
        <f>'AVT101'!BI51</f>
        <v>0</v>
      </c>
      <c r="R251" s="41"/>
      <c r="S251" s="450">
        <f>'AVT139'!BI41</f>
        <v>0</v>
      </c>
      <c r="T251" s="41"/>
      <c r="U251" s="450">
        <f>'AVT187'!BI51</f>
        <v>0</v>
      </c>
      <c r="V251" s="41"/>
      <c r="W251" s="450">
        <f>'AVT251'!BI38</f>
        <v>0</v>
      </c>
      <c r="X251" s="41"/>
      <c r="Y251" s="450">
        <f>AVT187In!BI37</f>
        <v>0</v>
      </c>
      <c r="Z251" s="41"/>
      <c r="AA251" s="450">
        <f>'AVT101(vn-A)'!BI51</f>
        <v>0</v>
      </c>
      <c r="AB251" s="41"/>
      <c r="AC251" s="450">
        <f>'AVT139(vn-A)'!BI41</f>
        <v>0</v>
      </c>
      <c r="AD251" s="41"/>
      <c r="AE251" s="450">
        <f>'AVT187(vn-A)'!BI51</f>
        <v>0</v>
      </c>
      <c r="AF251" s="41"/>
      <c r="AG251" s="450">
        <f>'AVT187In(vn-A)'!BI37</f>
        <v>0</v>
      </c>
      <c r="AH251" s="41"/>
      <c r="AI251" s="450">
        <f>'AVT187(vn-S)'!BI51</f>
        <v>0</v>
      </c>
      <c r="AJ251" s="41"/>
      <c r="AK251" s="450">
        <f>'AVT187In(vn-S)'!BI37</f>
        <v>0</v>
      </c>
      <c r="AL251" s="41"/>
      <c r="AM251" s="450">
        <f>'AVT77'!BI23</f>
        <v>0</v>
      </c>
      <c r="AN251" s="41"/>
      <c r="AO251" s="450">
        <f>'AVT-celny-101+187'!BI64</f>
        <v>0</v>
      </c>
      <c r="AP251" s="41"/>
      <c r="AQ251" s="450">
        <f>'AVT-celny-139+187'!BI52</f>
        <v>0</v>
      </c>
      <c r="AR251" s="41"/>
      <c r="AS251" s="450">
        <f>'AVT-celny-2x187'!BI44</f>
        <v>0</v>
      </c>
      <c r="AT251" s="41"/>
      <c r="AU251" s="450">
        <f>'AVT-celny-2x187In'!BI34</f>
        <v>0</v>
      </c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203"/>
      <c r="BP251" s="203"/>
      <c r="BQ251" s="203"/>
      <c r="BR251" s="203"/>
      <c r="BS251" s="203"/>
      <c r="BT251" s="203"/>
      <c r="BU251" s="203"/>
      <c r="BV251" s="203"/>
      <c r="BW251" s="62"/>
      <c r="BX251" s="185"/>
      <c r="BY251" s="35"/>
      <c r="BZ251" s="27"/>
      <c r="CA251" s="27"/>
      <c r="CB251" s="27"/>
      <c r="CC251" s="27"/>
      <c r="CD251" s="27"/>
      <c r="CE251" s="27"/>
      <c r="CF251" s="27"/>
    </row>
    <row r="252" spans="1:84" ht="15" customHeight="1">
      <c r="A252" s="4"/>
      <c r="B252" s="440">
        <f>CENY!B615</f>
        <v>9256988</v>
      </c>
      <c r="C252" s="48" t="str">
        <f>VLOOKUP(B252,CENY!$B$11:$G$1034,2,FALSE)</f>
        <v>ACTRO YOU 40KG PLNOVÝSUV 450 MM EB21 SILENT SYSTEM LEVÝ</v>
      </c>
      <c r="D252" s="488">
        <f>VLOOKUP(B252,CENY!$B$11:$G$1034,3,FALSE)</f>
        <v>10</v>
      </c>
      <c r="E252" s="63" t="str">
        <f>IF(VLOOKUP(B252,CENY!$B$11:$G$1034,4,FALSE)=0,"",VLOOKUP(B252,CENY!$B$11:$G$1034,4,FALSE))</f>
        <v/>
      </c>
      <c r="F252" s="45" t="str">
        <f t="shared" si="40"/>
        <v/>
      </c>
      <c r="G252" s="59">
        <f>VLOOKUP(B252,CENY!$B$11:$M$1034,12,FALSE)</f>
        <v>250.14</v>
      </c>
      <c r="H252" s="61" t="str">
        <f t="shared" si="37"/>
        <v xml:space="preserve"> CZK</v>
      </c>
      <c r="I252" s="46" t="str">
        <f t="shared" si="38"/>
        <v/>
      </c>
      <c r="J252" s="138"/>
      <c r="K252" s="47">
        <f>VLOOKUP(B252,CENY!$B$11:$M$1034,8,FALSE)</f>
        <v>0</v>
      </c>
      <c r="L252" s="47" t="str">
        <f>VLOOKUP(B252,CENY!$B$11:$M$1034,9,FALSE)</f>
        <v xml:space="preserve"> </v>
      </c>
      <c r="M252" s="55"/>
      <c r="N252" s="38">
        <f t="shared" si="41"/>
        <v>0</v>
      </c>
      <c r="O252" s="39">
        <v>0</v>
      </c>
      <c r="P252" s="41"/>
      <c r="Q252" s="450">
        <f>'AVT101'!BI52</f>
        <v>0</v>
      </c>
      <c r="R252" s="41"/>
      <c r="S252" s="450">
        <f>'AVT139'!BI42</f>
        <v>0</v>
      </c>
      <c r="T252" s="41"/>
      <c r="U252" s="450">
        <f>'AVT187'!BI52</f>
        <v>0</v>
      </c>
      <c r="V252" s="41"/>
      <c r="W252" s="450">
        <f>'AVT251'!BI39</f>
        <v>0</v>
      </c>
      <c r="X252" s="41"/>
      <c r="Y252" s="450">
        <f>AVT187In!BI38</f>
        <v>0</v>
      </c>
      <c r="Z252" s="41"/>
      <c r="AA252" s="450">
        <f>'AVT101(vn-A)'!BI52</f>
        <v>0</v>
      </c>
      <c r="AB252" s="41"/>
      <c r="AC252" s="450">
        <f>'AVT139(vn-A)'!BI42</f>
        <v>0</v>
      </c>
      <c r="AD252" s="41"/>
      <c r="AE252" s="450">
        <f>'AVT187(vn-A)'!BI52</f>
        <v>0</v>
      </c>
      <c r="AF252" s="41"/>
      <c r="AG252" s="450">
        <f>'AVT187In(vn-A)'!BI38</f>
        <v>0</v>
      </c>
      <c r="AH252" s="41"/>
      <c r="AI252" s="450">
        <f>'AVT187(vn-S)'!BI52</f>
        <v>0</v>
      </c>
      <c r="AJ252" s="41"/>
      <c r="AK252" s="450">
        <f>'AVT187In(vn-S)'!BI38</f>
        <v>0</v>
      </c>
      <c r="AL252" s="41"/>
      <c r="AM252" s="450">
        <f>'AVT77'!BI24</f>
        <v>0</v>
      </c>
      <c r="AN252" s="41"/>
      <c r="AO252" s="450">
        <f>'AVT-celny-101+187'!BI65</f>
        <v>0</v>
      </c>
      <c r="AP252" s="41"/>
      <c r="AQ252" s="450">
        <f>'AVT-celny-139+187'!BI53</f>
        <v>0</v>
      </c>
      <c r="AR252" s="41"/>
      <c r="AS252" s="450">
        <f>'AVT-celny-2x187'!BI45</f>
        <v>0</v>
      </c>
      <c r="AT252" s="41"/>
      <c r="AU252" s="450">
        <f>'AVT-celny-2x187In'!BI35</f>
        <v>0</v>
      </c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203"/>
      <c r="BP252" s="203"/>
      <c r="BQ252" s="203"/>
      <c r="BR252" s="203"/>
      <c r="BS252" s="203"/>
      <c r="BT252" s="203"/>
      <c r="BU252" s="203"/>
      <c r="BV252" s="203"/>
      <c r="BW252" s="62"/>
      <c r="BX252" s="185"/>
      <c r="BY252" s="35"/>
      <c r="BZ252" s="27"/>
      <c r="CA252" s="27"/>
      <c r="CB252" s="27"/>
      <c r="CC252" s="27"/>
      <c r="CD252" s="27"/>
      <c r="CE252" s="27"/>
      <c r="CF252" s="27"/>
    </row>
    <row r="253" spans="1:84" ht="15" customHeight="1">
      <c r="A253" s="4"/>
      <c r="B253" s="440">
        <f>CENY!B616</f>
        <v>9256989</v>
      </c>
      <c r="C253" s="48" t="str">
        <f>VLOOKUP(B253,CENY!$B$11:$G$1034,2,FALSE)</f>
        <v>ACTRO YOU 40KG PLNOVÝSUV 450 MM EB21 SILENT SYSTEM PRAVÝ</v>
      </c>
      <c r="D253" s="488">
        <f>VLOOKUP(B253,CENY!$B$11:$G$1034,3,FALSE)</f>
        <v>10</v>
      </c>
      <c r="E253" s="63" t="str">
        <f>IF(VLOOKUP(B253,CENY!$B$11:$G$1034,4,FALSE)=0,"",VLOOKUP(B253,CENY!$B$11:$G$1034,4,FALSE))</f>
        <v/>
      </c>
      <c r="F253" s="45" t="str">
        <f t="shared" si="40"/>
        <v/>
      </c>
      <c r="G253" s="59">
        <f>VLOOKUP(B253,CENY!$B$11:$M$1034,12,FALSE)</f>
        <v>250.14</v>
      </c>
      <c r="H253" s="61" t="str">
        <f t="shared" si="37"/>
        <v xml:space="preserve"> CZK</v>
      </c>
      <c r="I253" s="46" t="str">
        <f t="shared" si="38"/>
        <v/>
      </c>
      <c r="J253" s="138"/>
      <c r="K253" s="47">
        <f>VLOOKUP(B253,CENY!$B$11:$M$1034,8,FALSE)</f>
        <v>0</v>
      </c>
      <c r="L253" s="47" t="str">
        <f>VLOOKUP(B253,CENY!$B$11:$M$1034,9,FALSE)</f>
        <v xml:space="preserve"> </v>
      </c>
      <c r="M253" s="55"/>
      <c r="N253" s="38">
        <f t="shared" si="41"/>
        <v>0</v>
      </c>
      <c r="O253" s="39">
        <v>0</v>
      </c>
      <c r="P253" s="41"/>
      <c r="Q253" s="450">
        <f>'AVT101'!BI53</f>
        <v>0</v>
      </c>
      <c r="R253" s="41"/>
      <c r="S253" s="450">
        <f>'AVT139'!BI43</f>
        <v>0</v>
      </c>
      <c r="T253" s="41"/>
      <c r="U253" s="450">
        <f>'AVT187'!BI53</f>
        <v>0</v>
      </c>
      <c r="V253" s="41"/>
      <c r="W253" s="450">
        <f>'AVT251'!BI40</f>
        <v>0</v>
      </c>
      <c r="X253" s="41"/>
      <c r="Y253" s="450">
        <f>AVT187In!BI39</f>
        <v>0</v>
      </c>
      <c r="Z253" s="41"/>
      <c r="AA253" s="450">
        <f>'AVT101(vn-A)'!BI53</f>
        <v>0</v>
      </c>
      <c r="AB253" s="41"/>
      <c r="AC253" s="450">
        <f>'AVT139(vn-A)'!BI43</f>
        <v>0</v>
      </c>
      <c r="AD253" s="41"/>
      <c r="AE253" s="450">
        <f>'AVT187(vn-A)'!BI53</f>
        <v>0</v>
      </c>
      <c r="AF253" s="41"/>
      <c r="AG253" s="450">
        <f>'AVT187In(vn-A)'!BI39</f>
        <v>0</v>
      </c>
      <c r="AH253" s="41"/>
      <c r="AI253" s="450">
        <f>'AVT187(vn-S)'!BI53</f>
        <v>0</v>
      </c>
      <c r="AJ253" s="41"/>
      <c r="AK253" s="450">
        <f>'AVT187In(vn-S)'!BI39</f>
        <v>0</v>
      </c>
      <c r="AL253" s="41"/>
      <c r="AM253" s="450">
        <f>'AVT77'!BI25</f>
        <v>0</v>
      </c>
      <c r="AN253" s="41"/>
      <c r="AO253" s="450">
        <f>'AVT-celny-101+187'!BI66</f>
        <v>0</v>
      </c>
      <c r="AP253" s="41"/>
      <c r="AQ253" s="450">
        <f>'AVT-celny-139+187'!BI54</f>
        <v>0</v>
      </c>
      <c r="AR253" s="41"/>
      <c r="AS253" s="450">
        <f>'AVT-celny-2x187'!BI46</f>
        <v>0</v>
      </c>
      <c r="AT253" s="41"/>
      <c r="AU253" s="450">
        <f>'AVT-celny-2x187In'!BI36</f>
        <v>0</v>
      </c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203"/>
      <c r="BP253" s="203"/>
      <c r="BQ253" s="203"/>
      <c r="BR253" s="203"/>
      <c r="BS253" s="203"/>
      <c r="BT253" s="203"/>
      <c r="BU253" s="203"/>
      <c r="BV253" s="203"/>
      <c r="BW253" s="62"/>
      <c r="BX253" s="185"/>
      <c r="BY253" s="35"/>
      <c r="BZ253" s="27"/>
      <c r="CA253" s="27"/>
      <c r="CB253" s="27"/>
      <c r="CC253" s="27"/>
      <c r="CD253" s="27"/>
      <c r="CE253" s="27"/>
      <c r="CF253" s="27"/>
    </row>
    <row r="254" spans="1:84" ht="15" customHeight="1">
      <c r="A254" s="4"/>
      <c r="B254" s="440">
        <f>CENY!B617</f>
        <v>9256992</v>
      </c>
      <c r="C254" s="48" t="str">
        <f>VLOOKUP(B254,CENY!$B$11:$G$1034,2,FALSE)</f>
        <v>ACTRO YOU 40KG PLNOVÝSUV 500 MM EB21 SILENT SYSTEM LEVÝ</v>
      </c>
      <c r="D254" s="488">
        <f>VLOOKUP(B254,CENY!$B$11:$G$1034,3,FALSE)</f>
        <v>10</v>
      </c>
      <c r="E254" s="63" t="str">
        <f>IF(VLOOKUP(B254,CENY!$B$11:$G$1034,4,FALSE)=0,"",VLOOKUP(B254,CENY!$B$11:$G$1034,4,FALSE))</f>
        <v/>
      </c>
      <c r="F254" s="45" t="str">
        <f t="shared" si="40"/>
        <v/>
      </c>
      <c r="G254" s="59">
        <f>VLOOKUP(B254,CENY!$B$11:$M$1034,12,FALSE)</f>
        <v>253.25</v>
      </c>
      <c r="H254" s="61" t="str">
        <f t="shared" si="37"/>
        <v xml:space="preserve"> CZK</v>
      </c>
      <c r="I254" s="46" t="str">
        <f t="shared" si="38"/>
        <v/>
      </c>
      <c r="J254" s="138"/>
      <c r="K254" s="47">
        <f>VLOOKUP(B254,CENY!$B$11:$M$1034,8,FALSE)</f>
        <v>0</v>
      </c>
      <c r="L254" s="47" t="str">
        <f>VLOOKUP(B254,CENY!$B$11:$M$1034,9,FALSE)</f>
        <v xml:space="preserve"> </v>
      </c>
      <c r="M254" s="55"/>
      <c r="N254" s="38">
        <f t="shared" si="41"/>
        <v>0</v>
      </c>
      <c r="O254" s="39">
        <v>0</v>
      </c>
      <c r="P254" s="41"/>
      <c r="Q254" s="450">
        <f>'AVT101'!BI54</f>
        <v>0</v>
      </c>
      <c r="R254" s="41"/>
      <c r="S254" s="450">
        <f>'AVT139'!BI44</f>
        <v>0</v>
      </c>
      <c r="T254" s="41"/>
      <c r="U254" s="450">
        <f>'AVT187'!BI54</f>
        <v>0</v>
      </c>
      <c r="V254" s="41"/>
      <c r="W254" s="450">
        <f>'AVT251'!BI41</f>
        <v>0</v>
      </c>
      <c r="X254" s="41"/>
      <c r="Y254" s="450">
        <f>AVT187In!BI40</f>
        <v>0</v>
      </c>
      <c r="Z254" s="41"/>
      <c r="AA254" s="450">
        <f>'AVT101(vn-A)'!BI54</f>
        <v>0</v>
      </c>
      <c r="AB254" s="41"/>
      <c r="AC254" s="450">
        <f>'AVT139(vn-A)'!BI44</f>
        <v>0</v>
      </c>
      <c r="AD254" s="41"/>
      <c r="AE254" s="450">
        <f>'AVT187(vn-A)'!BI54</f>
        <v>0</v>
      </c>
      <c r="AF254" s="41"/>
      <c r="AG254" s="450">
        <f>'AVT187In(vn-A)'!BI40</f>
        <v>0</v>
      </c>
      <c r="AH254" s="41"/>
      <c r="AI254" s="450">
        <f>'AVT187(vn-S)'!BI54</f>
        <v>0</v>
      </c>
      <c r="AJ254" s="41"/>
      <c r="AK254" s="450">
        <f>'AVT187In(vn-S)'!BI40</f>
        <v>0</v>
      </c>
      <c r="AL254" s="41"/>
      <c r="AM254" s="450">
        <f>'AVT77'!BI26</f>
        <v>0</v>
      </c>
      <c r="AN254" s="41"/>
      <c r="AO254" s="450">
        <f>'AVT-celny-101+187'!BI67</f>
        <v>0</v>
      </c>
      <c r="AP254" s="41"/>
      <c r="AQ254" s="450">
        <f>'AVT-celny-139+187'!BI55</f>
        <v>0</v>
      </c>
      <c r="AR254" s="41"/>
      <c r="AS254" s="450">
        <f>'AVT-celny-2x187'!BI47</f>
        <v>0</v>
      </c>
      <c r="AT254" s="41"/>
      <c r="AU254" s="450">
        <f>'AVT-celny-2x187In'!BI37</f>
        <v>0</v>
      </c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203"/>
      <c r="BP254" s="203"/>
      <c r="BQ254" s="203"/>
      <c r="BR254" s="203"/>
      <c r="BS254" s="203"/>
      <c r="BT254" s="203"/>
      <c r="BU254" s="203"/>
      <c r="BV254" s="203"/>
      <c r="BW254" s="62"/>
      <c r="BX254" s="185"/>
      <c r="BY254" s="35"/>
      <c r="BZ254" s="27"/>
      <c r="CA254" s="27"/>
      <c r="CB254" s="27"/>
      <c r="CC254" s="27"/>
      <c r="CD254" s="27"/>
      <c r="CE254" s="27"/>
      <c r="CF254" s="27"/>
    </row>
    <row r="255" spans="1:84" ht="15" customHeight="1">
      <c r="A255" s="4"/>
      <c r="B255" s="440">
        <f>CENY!B618</f>
        <v>9256993</v>
      </c>
      <c r="C255" s="48" t="str">
        <f>VLOOKUP(B255,CENY!$B$11:$G$1034,2,FALSE)</f>
        <v>ACTRO YOU 40KG PLNOVÝSUV 500 MM EB21 SILENT SYSTEM PRAVÝ</v>
      </c>
      <c r="D255" s="488">
        <f>VLOOKUP(B255,CENY!$B$11:$G$1034,3,FALSE)</f>
        <v>10</v>
      </c>
      <c r="E255" s="63" t="str">
        <f>IF(VLOOKUP(B255,CENY!$B$11:$G$1034,4,FALSE)=0,"",VLOOKUP(B255,CENY!$B$11:$G$1034,4,FALSE))</f>
        <v/>
      </c>
      <c r="F255" s="45" t="str">
        <f t="shared" si="40"/>
        <v/>
      </c>
      <c r="G255" s="59">
        <f>VLOOKUP(B255,CENY!$B$11:$M$1034,12,FALSE)</f>
        <v>253.25</v>
      </c>
      <c r="H255" s="61" t="str">
        <f t="shared" si="37"/>
        <v xml:space="preserve"> CZK</v>
      </c>
      <c r="I255" s="46" t="str">
        <f t="shared" si="38"/>
        <v/>
      </c>
      <c r="J255" s="138"/>
      <c r="K255" s="47">
        <f>VLOOKUP(B255,CENY!$B$11:$M$1034,8,FALSE)</f>
        <v>0</v>
      </c>
      <c r="L255" s="47" t="str">
        <f>VLOOKUP(B255,CENY!$B$11:$M$1034,9,FALSE)</f>
        <v xml:space="preserve"> </v>
      </c>
      <c r="M255" s="55"/>
      <c r="N255" s="38">
        <f t="shared" si="41"/>
        <v>0</v>
      </c>
      <c r="O255" s="39">
        <v>0</v>
      </c>
      <c r="P255" s="41"/>
      <c r="Q255" s="450">
        <f>'AVT101'!BI55</f>
        <v>0</v>
      </c>
      <c r="R255" s="41"/>
      <c r="S255" s="450">
        <f>'AVT139'!BI45</f>
        <v>0</v>
      </c>
      <c r="T255" s="41"/>
      <c r="U255" s="450">
        <f>'AVT187'!BI55</f>
        <v>0</v>
      </c>
      <c r="V255" s="41"/>
      <c r="W255" s="450">
        <f>'AVT251'!BI42</f>
        <v>0</v>
      </c>
      <c r="X255" s="41"/>
      <c r="Y255" s="450">
        <f>AVT187In!BI41</f>
        <v>0</v>
      </c>
      <c r="Z255" s="41"/>
      <c r="AA255" s="450">
        <f>'AVT101(vn-A)'!BI55</f>
        <v>0</v>
      </c>
      <c r="AB255" s="41"/>
      <c r="AC255" s="450">
        <f>'AVT139(vn-A)'!BI45</f>
        <v>0</v>
      </c>
      <c r="AD255" s="41"/>
      <c r="AE255" s="450">
        <f>'AVT187(vn-A)'!BI55</f>
        <v>0</v>
      </c>
      <c r="AF255" s="41"/>
      <c r="AG255" s="450">
        <f>'AVT187In(vn-A)'!BI41</f>
        <v>0</v>
      </c>
      <c r="AH255" s="41"/>
      <c r="AI255" s="450">
        <f>'AVT187(vn-S)'!BI55</f>
        <v>0</v>
      </c>
      <c r="AJ255" s="41"/>
      <c r="AK255" s="450">
        <f>'AVT187In(vn-S)'!BI41</f>
        <v>0</v>
      </c>
      <c r="AL255" s="41"/>
      <c r="AM255" s="450">
        <f>'AVT77'!BI27</f>
        <v>0</v>
      </c>
      <c r="AN255" s="41"/>
      <c r="AO255" s="450">
        <f>'AVT-celny-101+187'!BI68</f>
        <v>0</v>
      </c>
      <c r="AP255" s="41"/>
      <c r="AQ255" s="450">
        <f>'AVT-celny-139+187'!BI56</f>
        <v>0</v>
      </c>
      <c r="AR255" s="41"/>
      <c r="AS255" s="450">
        <f>'AVT-celny-2x187'!BI48</f>
        <v>0</v>
      </c>
      <c r="AT255" s="41"/>
      <c r="AU255" s="450">
        <f>'AVT-celny-2x187In'!BI38</f>
        <v>0</v>
      </c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203"/>
      <c r="BP255" s="203"/>
      <c r="BQ255" s="203"/>
      <c r="BR255" s="203"/>
      <c r="BS255" s="203"/>
      <c r="BT255" s="203"/>
      <c r="BU255" s="203"/>
      <c r="BV255" s="203"/>
      <c r="BW255" s="62"/>
      <c r="BX255" s="185"/>
      <c r="BY255" s="35"/>
      <c r="BZ255" s="27"/>
      <c r="CA255" s="27"/>
      <c r="CB255" s="27"/>
      <c r="CC255" s="27"/>
      <c r="CD255" s="27"/>
      <c r="CE255" s="27"/>
      <c r="CF255" s="27"/>
    </row>
    <row r="256" spans="1:84" ht="15" customHeight="1">
      <c r="A256" s="4"/>
      <c r="B256" s="440">
        <f>CENY!B619</f>
        <v>9256996</v>
      </c>
      <c r="C256" s="48" t="str">
        <f>VLOOKUP(B256,CENY!$B$11:$G$1034,2,FALSE)</f>
        <v>ACTRO YOU 40KG PLNOVÝSUV 550 MM EB21 SILENT SYSTEM LEVÝ</v>
      </c>
      <c r="D256" s="488">
        <f>VLOOKUP(B256,CENY!$B$11:$G$1034,3,FALSE)</f>
        <v>10</v>
      </c>
      <c r="E256" s="63" t="str">
        <f>IF(VLOOKUP(B256,CENY!$B$11:$G$1034,4,FALSE)=0,"",VLOOKUP(B256,CENY!$B$11:$G$1034,4,FALSE))</f>
        <v/>
      </c>
      <c r="F256" s="45" t="str">
        <f t="shared" si="40"/>
        <v/>
      </c>
      <c r="G256" s="59">
        <f>VLOOKUP(B256,CENY!$B$11:$M$1034,12,FALSE)</f>
        <v>269.83999999999997</v>
      </c>
      <c r="H256" s="61" t="str">
        <f t="shared" si="37"/>
        <v xml:space="preserve"> CZK</v>
      </c>
      <c r="I256" s="46" t="str">
        <f t="shared" si="38"/>
        <v/>
      </c>
      <c r="J256" s="138"/>
      <c r="K256" s="47">
        <f>VLOOKUP(B256,CENY!$B$11:$M$1034,8,FALSE)</f>
        <v>0</v>
      </c>
      <c r="L256" s="47" t="str">
        <f>VLOOKUP(B256,CENY!$B$11:$M$1034,9,FALSE)</f>
        <v xml:space="preserve"> </v>
      </c>
      <c r="M256" s="55"/>
      <c r="N256" s="38">
        <f t="shared" si="41"/>
        <v>0</v>
      </c>
      <c r="O256" s="39">
        <v>0</v>
      </c>
      <c r="P256" s="41"/>
      <c r="Q256" s="450">
        <f>'AVT101'!BI56</f>
        <v>0</v>
      </c>
      <c r="R256" s="41"/>
      <c r="S256" s="450">
        <f>'AVT139'!BI46</f>
        <v>0</v>
      </c>
      <c r="T256" s="41"/>
      <c r="U256" s="450">
        <f>'AVT187'!BI56</f>
        <v>0</v>
      </c>
      <c r="V256" s="41"/>
      <c r="W256" s="450">
        <f>'AVT251'!BI43</f>
        <v>0</v>
      </c>
      <c r="X256" s="41"/>
      <c r="Y256" s="450">
        <f>AVT187In!BI42</f>
        <v>0</v>
      </c>
      <c r="Z256" s="41"/>
      <c r="AA256" s="450">
        <f>'AVT101(vn-A)'!BI56</f>
        <v>0</v>
      </c>
      <c r="AB256" s="41"/>
      <c r="AC256" s="450">
        <f>'AVT139(vn-A)'!BI46</f>
        <v>0</v>
      </c>
      <c r="AD256" s="41"/>
      <c r="AE256" s="450">
        <f>'AVT187(vn-A)'!BI56</f>
        <v>0</v>
      </c>
      <c r="AF256" s="41"/>
      <c r="AG256" s="450">
        <f>'AVT187In(vn-A)'!BI42</f>
        <v>0</v>
      </c>
      <c r="AH256" s="41"/>
      <c r="AI256" s="450">
        <f>'AVT187(vn-S)'!BI56</f>
        <v>0</v>
      </c>
      <c r="AJ256" s="41"/>
      <c r="AK256" s="450">
        <f>'AVT187In(vn-S)'!BI42</f>
        <v>0</v>
      </c>
      <c r="AL256" s="41"/>
      <c r="AM256" s="450">
        <f>'AVT77'!BI28</f>
        <v>0</v>
      </c>
      <c r="AN256" s="41"/>
      <c r="AO256" s="450">
        <f>'AVT-celny-101+187'!BI69</f>
        <v>0</v>
      </c>
      <c r="AP256" s="41"/>
      <c r="AQ256" s="450">
        <f>'AVT-celny-139+187'!BI57</f>
        <v>0</v>
      </c>
      <c r="AR256" s="41"/>
      <c r="AS256" s="450">
        <f>'AVT-celny-2x187'!BI49</f>
        <v>0</v>
      </c>
      <c r="AT256" s="41"/>
      <c r="AU256" s="450">
        <f>'AVT-celny-2x187In'!BI39</f>
        <v>0</v>
      </c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203"/>
      <c r="BP256" s="203"/>
      <c r="BQ256" s="203"/>
      <c r="BR256" s="203"/>
      <c r="BS256" s="203"/>
      <c r="BT256" s="203"/>
      <c r="BU256" s="203"/>
      <c r="BV256" s="203"/>
      <c r="BW256" s="62"/>
      <c r="BX256" s="185"/>
      <c r="BY256" s="35"/>
      <c r="BZ256" s="27"/>
      <c r="CA256" s="27"/>
      <c r="CB256" s="27"/>
      <c r="CC256" s="27"/>
      <c r="CD256" s="27"/>
      <c r="CE256" s="27"/>
      <c r="CF256" s="27"/>
    </row>
    <row r="257" spans="1:84" ht="15" customHeight="1">
      <c r="A257" s="4"/>
      <c r="B257" s="440">
        <f>CENY!B620</f>
        <v>9256997</v>
      </c>
      <c r="C257" s="48" t="str">
        <f>VLOOKUP(B257,CENY!$B$11:$G$1034,2,FALSE)</f>
        <v>ACTRO YOU 40KG PLNOVÝSUV 550 MM EB21 SILENT SYSTEM PRAVÝ</v>
      </c>
      <c r="D257" s="488">
        <f>VLOOKUP(B257,CENY!$B$11:$G$1034,3,FALSE)</f>
        <v>10</v>
      </c>
      <c r="E257" s="63" t="str">
        <f>IF(VLOOKUP(B257,CENY!$B$11:$G$1034,4,FALSE)=0,"",VLOOKUP(B257,CENY!$B$11:$G$1034,4,FALSE))</f>
        <v/>
      </c>
      <c r="F257" s="45" t="str">
        <f t="shared" si="40"/>
        <v/>
      </c>
      <c r="G257" s="59">
        <f>VLOOKUP(B257,CENY!$B$11:$M$1034,12,FALSE)</f>
        <v>269.83999999999997</v>
      </c>
      <c r="H257" s="61" t="str">
        <f t="shared" si="37"/>
        <v xml:space="preserve"> CZK</v>
      </c>
      <c r="I257" s="46" t="str">
        <f t="shared" si="38"/>
        <v/>
      </c>
      <c r="J257" s="138"/>
      <c r="K257" s="47">
        <f>VLOOKUP(B257,CENY!$B$11:$M$1034,8,FALSE)</f>
        <v>0</v>
      </c>
      <c r="L257" s="47" t="str">
        <f>VLOOKUP(B257,CENY!$B$11:$M$1034,9,FALSE)</f>
        <v xml:space="preserve"> </v>
      </c>
      <c r="M257" s="55"/>
      <c r="N257" s="38">
        <f t="shared" si="41"/>
        <v>0</v>
      </c>
      <c r="O257" s="39">
        <v>0</v>
      </c>
      <c r="P257" s="41"/>
      <c r="Q257" s="450">
        <f>'AVT101'!BI57</f>
        <v>0</v>
      </c>
      <c r="R257" s="41"/>
      <c r="S257" s="450">
        <f>'AVT139'!BI47</f>
        <v>0</v>
      </c>
      <c r="T257" s="41"/>
      <c r="U257" s="450">
        <f>'AVT187'!BI57</f>
        <v>0</v>
      </c>
      <c r="V257" s="41"/>
      <c r="W257" s="450">
        <f>'AVT251'!BI44</f>
        <v>0</v>
      </c>
      <c r="X257" s="41"/>
      <c r="Y257" s="450">
        <f>AVT187In!BI43</f>
        <v>0</v>
      </c>
      <c r="Z257" s="41"/>
      <c r="AA257" s="450">
        <f>'AVT101(vn-A)'!BI57</f>
        <v>0</v>
      </c>
      <c r="AB257" s="41"/>
      <c r="AC257" s="450">
        <f>'AVT139(vn-A)'!BI47</f>
        <v>0</v>
      </c>
      <c r="AD257" s="41"/>
      <c r="AE257" s="450">
        <f>'AVT187(vn-A)'!BI57</f>
        <v>0</v>
      </c>
      <c r="AF257" s="41"/>
      <c r="AG257" s="450">
        <f>'AVT187In(vn-A)'!BI43</f>
        <v>0</v>
      </c>
      <c r="AH257" s="41"/>
      <c r="AI257" s="450">
        <f>'AVT187(vn-S)'!BI57</f>
        <v>0</v>
      </c>
      <c r="AJ257" s="41"/>
      <c r="AK257" s="450">
        <f>'AVT187In(vn-S)'!BI43</f>
        <v>0</v>
      </c>
      <c r="AL257" s="41"/>
      <c r="AM257" s="450">
        <f>'AVT77'!BI29</f>
        <v>0</v>
      </c>
      <c r="AN257" s="41"/>
      <c r="AO257" s="450">
        <f>'AVT-celny-101+187'!BI70</f>
        <v>0</v>
      </c>
      <c r="AP257" s="41"/>
      <c r="AQ257" s="450">
        <f>'AVT-celny-139+187'!BI58</f>
        <v>0</v>
      </c>
      <c r="AR257" s="41"/>
      <c r="AS257" s="450">
        <f>'AVT-celny-2x187'!BI50</f>
        <v>0</v>
      </c>
      <c r="AT257" s="41"/>
      <c r="AU257" s="450">
        <f>'AVT-celny-2x187In'!BI40</f>
        <v>0</v>
      </c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203"/>
      <c r="BP257" s="203"/>
      <c r="BQ257" s="203"/>
      <c r="BR257" s="203"/>
      <c r="BS257" s="203"/>
      <c r="BT257" s="203"/>
      <c r="BU257" s="203"/>
      <c r="BV257" s="203"/>
      <c r="BW257" s="62"/>
      <c r="BX257" s="185"/>
      <c r="BY257" s="35"/>
      <c r="BZ257" s="27"/>
      <c r="CA257" s="27"/>
      <c r="CB257" s="27"/>
      <c r="CC257" s="27"/>
      <c r="CD257" s="27"/>
      <c r="CE257" s="27"/>
      <c r="CF257" s="27"/>
    </row>
    <row r="258" spans="1:84" ht="15" customHeight="1">
      <c r="A258" s="4"/>
      <c r="B258" s="440">
        <f>CENY!B621</f>
        <v>9268679</v>
      </c>
      <c r="C258" s="48" t="str">
        <f>VLOOKUP(B258,CENY!$B$11:$G$1034,2,FALSE)</f>
        <v>ACTRO YOU 40KG PLNOVÝSUV 600 MM EB21 SILENT SYSTÉM LEVÝ</v>
      </c>
      <c r="D258" s="488">
        <f>VLOOKUP(B258,CENY!$B$11:$G$1034,3,FALSE)</f>
        <v>10</v>
      </c>
      <c r="E258" s="63" t="str">
        <f>IF(VLOOKUP(B258,CENY!$B$11:$G$1034,4,FALSE)=0,"",VLOOKUP(B258,CENY!$B$11:$G$1034,4,FALSE))</f>
        <v/>
      </c>
      <c r="F258" s="45" t="str">
        <f t="shared" si="40"/>
        <v/>
      </c>
      <c r="G258" s="59">
        <f>VLOOKUP(B258,CENY!$B$11:$M$1034,12,FALSE)</f>
        <v>273.51</v>
      </c>
      <c r="H258" s="61" t="str">
        <f t="shared" si="37"/>
        <v xml:space="preserve"> CZK</v>
      </c>
      <c r="I258" s="46" t="str">
        <f t="shared" si="38"/>
        <v/>
      </c>
      <c r="J258" s="138"/>
      <c r="K258" s="47">
        <f>VLOOKUP(B258,CENY!$B$11:$M$1034,8,FALSE)</f>
        <v>0</v>
      </c>
      <c r="L258" s="47" t="str">
        <f>VLOOKUP(B258,CENY!$B$11:$M$1034,9,FALSE)</f>
        <v xml:space="preserve"> </v>
      </c>
      <c r="M258" s="55"/>
      <c r="N258" s="38">
        <f t="shared" si="41"/>
        <v>0</v>
      </c>
      <c r="O258" s="39">
        <v>0</v>
      </c>
      <c r="P258" s="41"/>
      <c r="Q258" s="450">
        <f>'AVT101'!BI58</f>
        <v>0</v>
      </c>
      <c r="R258" s="41"/>
      <c r="S258" s="450">
        <f>'AVT139'!BI48</f>
        <v>0</v>
      </c>
      <c r="T258" s="41"/>
      <c r="U258" s="450">
        <f>'AVT187'!BI58</f>
        <v>0</v>
      </c>
      <c r="V258" s="41"/>
      <c r="W258" s="450">
        <f>'AVT251'!BI45</f>
        <v>0</v>
      </c>
      <c r="X258" s="41"/>
      <c r="Y258" s="450">
        <f>AVT187In!BI44</f>
        <v>0</v>
      </c>
      <c r="Z258" s="41"/>
      <c r="AA258" s="450">
        <f>'AVT101(vn-A)'!BI58</f>
        <v>0</v>
      </c>
      <c r="AB258" s="41"/>
      <c r="AC258" s="450">
        <f>'AVT139(vn-A)'!BI48</f>
        <v>0</v>
      </c>
      <c r="AD258" s="41"/>
      <c r="AE258" s="450">
        <f>'AVT187(vn-A)'!BI58</f>
        <v>0</v>
      </c>
      <c r="AF258" s="41"/>
      <c r="AG258" s="450">
        <f>'AVT187In(vn-A)'!BI44</f>
        <v>0</v>
      </c>
      <c r="AH258" s="41"/>
      <c r="AI258" s="450">
        <f>'AVT187(vn-S)'!BI58</f>
        <v>0</v>
      </c>
      <c r="AJ258" s="41"/>
      <c r="AK258" s="450">
        <f>'AVT187In(vn-S)'!BI44</f>
        <v>0</v>
      </c>
      <c r="AL258" s="41"/>
      <c r="AM258" s="41"/>
      <c r="AN258" s="41"/>
      <c r="AO258" s="450">
        <f>'AVT-celny-101+187'!BI71</f>
        <v>0</v>
      </c>
      <c r="AP258" s="41"/>
      <c r="AQ258" s="450">
        <f>'AVT-celny-139+187'!BI59</f>
        <v>0</v>
      </c>
      <c r="AR258" s="41"/>
      <c r="AS258" s="450">
        <f>'AVT-celny-2x187'!BI51</f>
        <v>0</v>
      </c>
      <c r="AT258" s="41"/>
      <c r="AU258" s="450">
        <f>'AVT-celny-2x187In'!BI41</f>
        <v>0</v>
      </c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203"/>
      <c r="BP258" s="203"/>
      <c r="BQ258" s="203"/>
      <c r="BR258" s="203"/>
      <c r="BS258" s="203"/>
      <c r="BT258" s="203"/>
      <c r="BU258" s="203"/>
      <c r="BV258" s="203"/>
      <c r="BW258" s="62"/>
      <c r="BX258" s="185"/>
      <c r="BY258" s="35"/>
      <c r="BZ258" s="27"/>
      <c r="CA258" s="27"/>
      <c r="CB258" s="27"/>
      <c r="CC258" s="27"/>
      <c r="CD258" s="27"/>
      <c r="CE258" s="27"/>
      <c r="CF258" s="27"/>
    </row>
    <row r="259" spans="1:84" ht="15" customHeight="1">
      <c r="A259" s="4"/>
      <c r="B259" s="440">
        <f>CENY!B622</f>
        <v>9268680</v>
      </c>
      <c r="C259" s="48" t="str">
        <f>VLOOKUP(B259,CENY!$B$11:$G$1034,2,FALSE)</f>
        <v>ACTRO YOU 40KG PLNOVÝSUV 600 MM EB21 SILENT SYSTÉM PRAVÝ</v>
      </c>
      <c r="D259" s="488">
        <f>VLOOKUP(B259,CENY!$B$11:$G$1034,3,FALSE)</f>
        <v>10</v>
      </c>
      <c r="E259" s="63" t="str">
        <f>IF(VLOOKUP(B259,CENY!$B$11:$G$1034,4,FALSE)=0,"",VLOOKUP(B259,CENY!$B$11:$G$1034,4,FALSE))</f>
        <v/>
      </c>
      <c r="F259" s="45" t="str">
        <f t="shared" si="40"/>
        <v/>
      </c>
      <c r="G259" s="59">
        <f>VLOOKUP(B259,CENY!$B$11:$M$1034,12,FALSE)</f>
        <v>273.51</v>
      </c>
      <c r="H259" s="61" t="str">
        <f t="shared" si="37"/>
        <v xml:space="preserve"> CZK</v>
      </c>
      <c r="I259" s="46" t="str">
        <f t="shared" si="38"/>
        <v/>
      </c>
      <c r="J259" s="138"/>
      <c r="K259" s="47">
        <f>VLOOKUP(B259,CENY!$B$11:$M$1034,8,FALSE)</f>
        <v>0</v>
      </c>
      <c r="L259" s="47" t="str">
        <f>VLOOKUP(B259,CENY!$B$11:$M$1034,9,FALSE)</f>
        <v xml:space="preserve"> </v>
      </c>
      <c r="M259" s="55"/>
      <c r="N259" s="38">
        <f t="shared" si="41"/>
        <v>0</v>
      </c>
      <c r="O259" s="39">
        <v>0</v>
      </c>
      <c r="P259" s="41"/>
      <c r="Q259" s="450">
        <f>'AVT101'!BI59</f>
        <v>0</v>
      </c>
      <c r="R259" s="41"/>
      <c r="S259" s="450">
        <f>'AVT139'!BI49</f>
        <v>0</v>
      </c>
      <c r="T259" s="41"/>
      <c r="U259" s="450">
        <f>'AVT187'!BI59</f>
        <v>0</v>
      </c>
      <c r="V259" s="41"/>
      <c r="W259" s="450">
        <f>'AVT251'!BI46</f>
        <v>0</v>
      </c>
      <c r="X259" s="41"/>
      <c r="Y259" s="450">
        <f>AVT187In!BI45</f>
        <v>0</v>
      </c>
      <c r="Z259" s="41"/>
      <c r="AA259" s="450">
        <f>'AVT101(vn-A)'!BI59</f>
        <v>0</v>
      </c>
      <c r="AB259" s="41"/>
      <c r="AC259" s="450">
        <f>'AVT139(vn-A)'!BI49</f>
        <v>0</v>
      </c>
      <c r="AD259" s="41"/>
      <c r="AE259" s="450">
        <f>'AVT187(vn-A)'!BI59</f>
        <v>0</v>
      </c>
      <c r="AF259" s="41"/>
      <c r="AG259" s="450">
        <f>'AVT187In(vn-A)'!BI45</f>
        <v>0</v>
      </c>
      <c r="AH259" s="41"/>
      <c r="AI259" s="450">
        <f>'AVT187(vn-S)'!BI59</f>
        <v>0</v>
      </c>
      <c r="AJ259" s="41"/>
      <c r="AK259" s="450">
        <f>'AVT187In(vn-S)'!BI45</f>
        <v>0</v>
      </c>
      <c r="AL259" s="41"/>
      <c r="AM259" s="41"/>
      <c r="AN259" s="41"/>
      <c r="AO259" s="450">
        <f>'AVT-celny-101+187'!BI72</f>
        <v>0</v>
      </c>
      <c r="AP259" s="41"/>
      <c r="AQ259" s="450">
        <f>'AVT-celny-139+187'!BI60</f>
        <v>0</v>
      </c>
      <c r="AR259" s="41"/>
      <c r="AS259" s="450">
        <f>'AVT-celny-2x187'!BI52</f>
        <v>0</v>
      </c>
      <c r="AT259" s="41"/>
      <c r="AU259" s="450">
        <f>'AVT-celny-2x187In'!BI42</f>
        <v>0</v>
      </c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203"/>
      <c r="BP259" s="203"/>
      <c r="BQ259" s="203"/>
      <c r="BR259" s="203"/>
      <c r="BS259" s="203"/>
      <c r="BT259" s="203"/>
      <c r="BU259" s="203"/>
      <c r="BV259" s="203"/>
      <c r="BW259" s="62"/>
      <c r="BX259" s="185"/>
      <c r="BY259" s="35"/>
      <c r="BZ259" s="27"/>
      <c r="CA259" s="27"/>
      <c r="CB259" s="27"/>
      <c r="CC259" s="27"/>
      <c r="CD259" s="27"/>
      <c r="CE259" s="27"/>
      <c r="CF259" s="27"/>
    </row>
    <row r="260" spans="1:84" ht="8.1" customHeight="1">
      <c r="A260" s="4"/>
      <c r="B260" s="142"/>
      <c r="C260" s="48"/>
      <c r="D260" s="44"/>
      <c r="E260" s="63"/>
      <c r="F260" s="67"/>
      <c r="G260" s="59"/>
      <c r="H260" s="61"/>
      <c r="I260" s="46"/>
      <c r="J260" s="138"/>
      <c r="K260" s="47"/>
      <c r="L260" s="47"/>
      <c r="M260" s="55"/>
      <c r="N260" s="38"/>
      <c r="O260" s="39">
        <v>0</v>
      </c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203"/>
      <c r="BP260" s="203"/>
      <c r="BQ260" s="203"/>
      <c r="BR260" s="203"/>
      <c r="BS260" s="203"/>
      <c r="BT260" s="203"/>
      <c r="BU260" s="203"/>
      <c r="BV260" s="203"/>
      <c r="BW260" s="62"/>
      <c r="BX260" s="185"/>
      <c r="BY260" s="35"/>
      <c r="BZ260" s="27"/>
      <c r="CA260" s="27"/>
      <c r="CB260" s="27"/>
      <c r="CC260" s="27"/>
      <c r="CD260" s="27"/>
      <c r="CE260" s="27"/>
      <c r="CF260" s="27"/>
    </row>
    <row r="261" spans="1:84" ht="15" customHeight="1">
      <c r="A261" s="4"/>
      <c r="B261" s="440">
        <f>CENY!B624</f>
        <v>9257034</v>
      </c>
      <c r="C261" s="48" t="str">
        <f>VLOOKUP(B261,CENY!$B$11:$G$1034,2,FALSE)</f>
        <v>ACTRO YOU 70KG PLNOVÝSUV 450 MM EB21 SILENT SYSTEM SADA</v>
      </c>
      <c r="D261" s="501">
        <f>VLOOKUP(B261,CENY!$B$11:$G$1034,3,FALSE)</f>
        <v>1</v>
      </c>
      <c r="E261" s="63" t="str">
        <f>IF(VLOOKUP(B261,CENY!$B$11:$G$1034,4,FALSE)=0,"",VLOOKUP(B261,CENY!$B$11:$G$1034,4,FALSE))</f>
        <v/>
      </c>
      <c r="F261" s="45" t="str">
        <f t="shared" ref="F261:F275" si="42">IF(J261&lt;&gt;"",J261,IF(N261=0,"",N261))</f>
        <v/>
      </c>
      <c r="G261" s="59">
        <f>VLOOKUP(B261,CENY!$B$11:$M$1034,12,FALSE)</f>
        <v>691.9</v>
      </c>
      <c r="H261" s="61" t="str">
        <f t="shared" si="37"/>
        <v xml:space="preserve"> CZK</v>
      </c>
      <c r="I261" s="46" t="str">
        <f t="shared" si="38"/>
        <v/>
      </c>
      <c r="J261" s="138"/>
      <c r="K261" s="47">
        <f>VLOOKUP(B261,CENY!$B$11:$M$1034,8,FALSE)</f>
        <v>0</v>
      </c>
      <c r="L261" s="47" t="str">
        <f>VLOOKUP(B261,CENY!$B$11:$M$1034,9,FALSE)</f>
        <v xml:space="preserve"> </v>
      </c>
      <c r="M261" s="55"/>
      <c r="N261" s="38">
        <f t="shared" ref="N261:N275" si="43">SUM(P261:BX261)</f>
        <v>0</v>
      </c>
      <c r="O261" s="39">
        <v>0</v>
      </c>
      <c r="P261" s="450">
        <f>'AVT101'!AZ38</f>
        <v>0</v>
      </c>
      <c r="Q261" s="41"/>
      <c r="R261" s="450">
        <f>'AVT139'!AZ32</f>
        <v>0</v>
      </c>
      <c r="S261" s="41"/>
      <c r="T261" s="450">
        <f>'AVT187'!AZ38</f>
        <v>0</v>
      </c>
      <c r="U261" s="41"/>
      <c r="V261" s="450">
        <f>'AVT251'!AZ30</f>
        <v>0</v>
      </c>
      <c r="W261" s="41"/>
      <c r="X261" s="450">
        <f>AVT187In!AZ30</f>
        <v>0</v>
      </c>
      <c r="Y261" s="41"/>
      <c r="Z261" s="450">
        <f>'AVT101(vn-A)'!AZ38</f>
        <v>0</v>
      </c>
      <c r="AA261" s="41"/>
      <c r="AB261" s="450">
        <f>'AVT139(vn-A)'!AZ32</f>
        <v>0</v>
      </c>
      <c r="AC261" s="41"/>
      <c r="AD261" s="450">
        <f>'AVT187(vn-A)'!AZ38</f>
        <v>0</v>
      </c>
      <c r="AE261" s="41"/>
      <c r="AF261" s="450">
        <f>'AVT187In(vn-A)'!AZ30</f>
        <v>0</v>
      </c>
      <c r="AG261" s="41"/>
      <c r="AH261" s="450">
        <f>'AVT187(vn-S)'!AZ38</f>
        <v>0</v>
      </c>
      <c r="AI261" s="41"/>
      <c r="AJ261" s="450">
        <f>'AVT187In(vn-S)'!AZ30</f>
        <v>0</v>
      </c>
      <c r="AK261" s="41"/>
      <c r="AL261" s="450">
        <f>'AVT77'!AZ20</f>
        <v>0</v>
      </c>
      <c r="AM261" s="41"/>
      <c r="AN261" s="450">
        <f>'AVT-celny-101+187'!AZ44</f>
        <v>0</v>
      </c>
      <c r="AO261" s="41"/>
      <c r="AP261" s="450">
        <f>'AVT-celny-139+187'!AZ37</f>
        <v>0</v>
      </c>
      <c r="AQ261" s="41"/>
      <c r="AR261" s="450">
        <f>'AVT-celny-2x187'!AZ34</f>
        <v>0</v>
      </c>
      <c r="AS261" s="41"/>
      <c r="AT261" s="450">
        <f>'AVT-celny-2x187In'!AZ28</f>
        <v>0</v>
      </c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203"/>
      <c r="BP261" s="203"/>
      <c r="BQ261" s="203"/>
      <c r="BR261" s="203"/>
      <c r="BS261" s="203"/>
      <c r="BT261" s="203"/>
      <c r="BU261" s="203"/>
      <c r="BV261" s="203"/>
      <c r="BW261" s="62"/>
      <c r="BX261" s="185"/>
      <c r="BY261" s="35"/>
      <c r="BZ261" s="27"/>
      <c r="CA261" s="27"/>
      <c r="CB261" s="27"/>
      <c r="CC261" s="27"/>
      <c r="CD261" s="27"/>
      <c r="CE261" s="27"/>
      <c r="CF261" s="27"/>
    </row>
    <row r="262" spans="1:84" ht="15" customHeight="1">
      <c r="A262" s="4"/>
      <c r="B262" s="440">
        <f>CENY!B625</f>
        <v>9257036</v>
      </c>
      <c r="C262" s="48" t="str">
        <f>VLOOKUP(B262,CENY!$B$11:$G$1034,2,FALSE)</f>
        <v>ACTRO YOU 70KG PLNOVÝSUV 500 MM EB21 SILENT SYSTEM SADA</v>
      </c>
      <c r="D262" s="501">
        <f>VLOOKUP(B262,CENY!$B$11:$G$1034,3,FALSE)</f>
        <v>1</v>
      </c>
      <c r="E262" s="63" t="str">
        <f>IF(VLOOKUP(B262,CENY!$B$11:$G$1034,4,FALSE)=0,"",VLOOKUP(B262,CENY!$B$11:$G$1034,4,FALSE))</f>
        <v/>
      </c>
      <c r="F262" s="45" t="str">
        <f t="shared" si="42"/>
        <v/>
      </c>
      <c r="G262" s="59">
        <f>VLOOKUP(B262,CENY!$B$11:$M$1034,12,FALSE)</f>
        <v>698.13</v>
      </c>
      <c r="H262" s="61" t="str">
        <f t="shared" si="37"/>
        <v xml:space="preserve"> CZK</v>
      </c>
      <c r="I262" s="46" t="str">
        <f t="shared" si="38"/>
        <v/>
      </c>
      <c r="J262" s="138"/>
      <c r="K262" s="47">
        <f>VLOOKUP(B262,CENY!$B$11:$M$1034,8,FALSE)</f>
        <v>0</v>
      </c>
      <c r="L262" s="47" t="str">
        <f>VLOOKUP(B262,CENY!$B$11:$M$1034,9,FALSE)</f>
        <v xml:space="preserve"> </v>
      </c>
      <c r="M262" s="55"/>
      <c r="N262" s="38">
        <f t="shared" si="43"/>
        <v>0</v>
      </c>
      <c r="O262" s="39">
        <v>0</v>
      </c>
      <c r="P262" s="450">
        <f>'AVT101'!AZ39</f>
        <v>0</v>
      </c>
      <c r="Q262" s="41"/>
      <c r="R262" s="450">
        <f>'AVT139'!AZ33</f>
        <v>0</v>
      </c>
      <c r="S262" s="41"/>
      <c r="T262" s="450">
        <f>'AVT187'!AZ39</f>
        <v>0</v>
      </c>
      <c r="U262" s="41"/>
      <c r="V262" s="450">
        <f>'AVT251'!AZ31</f>
        <v>0</v>
      </c>
      <c r="W262" s="41"/>
      <c r="X262" s="450">
        <f>AVT187In!AZ31</f>
        <v>0</v>
      </c>
      <c r="Y262" s="41"/>
      <c r="Z262" s="450">
        <f>'AVT101(vn-A)'!AZ39</f>
        <v>0</v>
      </c>
      <c r="AA262" s="41"/>
      <c r="AB262" s="450">
        <f>'AVT139(vn-A)'!AZ33</f>
        <v>0</v>
      </c>
      <c r="AC262" s="41"/>
      <c r="AD262" s="450">
        <f>'AVT187(vn-A)'!AZ39</f>
        <v>0</v>
      </c>
      <c r="AE262" s="41"/>
      <c r="AF262" s="450">
        <f>'AVT187In(vn-A)'!AZ31</f>
        <v>0</v>
      </c>
      <c r="AG262" s="41"/>
      <c r="AH262" s="450">
        <f>'AVT187(vn-S)'!AZ39</f>
        <v>0</v>
      </c>
      <c r="AI262" s="41"/>
      <c r="AJ262" s="450">
        <f>'AVT187In(vn-S)'!AZ31</f>
        <v>0</v>
      </c>
      <c r="AK262" s="41"/>
      <c r="AL262" s="450">
        <f>'AVT77'!AZ21</f>
        <v>0</v>
      </c>
      <c r="AM262" s="41"/>
      <c r="AN262" s="450">
        <f>'AVT-celny-101+187'!AZ45</f>
        <v>0</v>
      </c>
      <c r="AO262" s="41"/>
      <c r="AP262" s="450">
        <f>'AVT-celny-139+187'!AZ38</f>
        <v>0</v>
      </c>
      <c r="AQ262" s="41"/>
      <c r="AR262" s="450">
        <f>'AVT-celny-2x187'!AZ35</f>
        <v>0</v>
      </c>
      <c r="AS262" s="41"/>
      <c r="AT262" s="450">
        <f>'AVT-celny-2x187In'!AZ29</f>
        <v>0</v>
      </c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203"/>
      <c r="BP262" s="203"/>
      <c r="BQ262" s="203"/>
      <c r="BR262" s="203"/>
      <c r="BS262" s="203"/>
      <c r="BT262" s="203"/>
      <c r="BU262" s="203"/>
      <c r="BV262" s="203"/>
      <c r="BW262" s="62"/>
      <c r="BX262" s="185"/>
      <c r="BY262" s="35"/>
      <c r="BZ262" s="27"/>
      <c r="CA262" s="27"/>
      <c r="CB262" s="27"/>
      <c r="CC262" s="27"/>
      <c r="CD262" s="27"/>
      <c r="CE262" s="27"/>
      <c r="CF262" s="27"/>
    </row>
    <row r="263" spans="1:84" ht="15" customHeight="1">
      <c r="A263" s="4"/>
      <c r="B263" s="440">
        <f>CENY!B626</f>
        <v>9257038</v>
      </c>
      <c r="C263" s="48" t="str">
        <f>VLOOKUP(B263,CENY!$B$11:$G$1034,2,FALSE)</f>
        <v>ACTRO YOU 70KG PLNOVÝSUV 550 MM EB21 SILENT SYSTEM SADA</v>
      </c>
      <c r="D263" s="501">
        <f>VLOOKUP(B263,CENY!$B$11:$G$1034,3,FALSE)</f>
        <v>1</v>
      </c>
      <c r="E263" s="63" t="str">
        <f>IF(VLOOKUP(B263,CENY!$B$11:$G$1034,4,FALSE)=0,"",VLOOKUP(B263,CENY!$B$11:$G$1034,4,FALSE))</f>
        <v/>
      </c>
      <c r="F263" s="45" t="str">
        <f t="shared" si="42"/>
        <v/>
      </c>
      <c r="G263" s="59">
        <f>VLOOKUP(B263,CENY!$B$11:$M$1034,12,FALSE)</f>
        <v>731.3</v>
      </c>
      <c r="H263" s="61" t="str">
        <f t="shared" si="37"/>
        <v xml:space="preserve"> CZK</v>
      </c>
      <c r="I263" s="46" t="str">
        <f t="shared" si="38"/>
        <v/>
      </c>
      <c r="J263" s="138"/>
      <c r="K263" s="47">
        <f>VLOOKUP(B263,CENY!$B$11:$M$1034,8,FALSE)</f>
        <v>0</v>
      </c>
      <c r="L263" s="47" t="str">
        <f>VLOOKUP(B263,CENY!$B$11:$M$1034,9,FALSE)</f>
        <v xml:space="preserve"> </v>
      </c>
      <c r="M263" s="55"/>
      <c r="N263" s="38">
        <f t="shared" si="43"/>
        <v>0</v>
      </c>
      <c r="O263" s="39">
        <v>0</v>
      </c>
      <c r="P263" s="450">
        <f>'AVT101'!AZ40</f>
        <v>0</v>
      </c>
      <c r="Q263" s="41"/>
      <c r="R263" s="450">
        <f>'AVT139'!AZ34</f>
        <v>0</v>
      </c>
      <c r="S263" s="41"/>
      <c r="T263" s="450">
        <f>'AVT187'!AZ40</f>
        <v>0</v>
      </c>
      <c r="U263" s="41"/>
      <c r="V263" s="450">
        <f>'AVT251'!AZ32</f>
        <v>0</v>
      </c>
      <c r="W263" s="41"/>
      <c r="X263" s="450">
        <f>AVT187In!AZ32</f>
        <v>0</v>
      </c>
      <c r="Y263" s="41"/>
      <c r="Z263" s="450">
        <f>'AVT101(vn-A)'!AZ40</f>
        <v>0</v>
      </c>
      <c r="AA263" s="41"/>
      <c r="AB263" s="450">
        <f>'AVT139(vn-A)'!AZ34</f>
        <v>0</v>
      </c>
      <c r="AC263" s="41"/>
      <c r="AD263" s="450">
        <f>'AVT187(vn-A)'!AZ40</f>
        <v>0</v>
      </c>
      <c r="AE263" s="41"/>
      <c r="AF263" s="450">
        <f>'AVT187In(vn-A)'!AZ32</f>
        <v>0</v>
      </c>
      <c r="AG263" s="41"/>
      <c r="AH263" s="450">
        <f>'AVT187(vn-S)'!AZ40</f>
        <v>0</v>
      </c>
      <c r="AI263" s="41"/>
      <c r="AJ263" s="450">
        <f>'AVT187In(vn-S)'!AZ32</f>
        <v>0</v>
      </c>
      <c r="AK263" s="41"/>
      <c r="AL263" s="450">
        <f>'AVT77'!AZ22</f>
        <v>0</v>
      </c>
      <c r="AM263" s="41"/>
      <c r="AN263" s="450">
        <f>'AVT-celny-101+187'!AZ46</f>
        <v>0</v>
      </c>
      <c r="AO263" s="41"/>
      <c r="AP263" s="450">
        <f>'AVT-celny-139+187'!AZ39</f>
        <v>0</v>
      </c>
      <c r="AQ263" s="41"/>
      <c r="AR263" s="450">
        <f>'AVT-celny-2x187'!AZ36</f>
        <v>0</v>
      </c>
      <c r="AS263" s="41"/>
      <c r="AT263" s="450">
        <f>'AVT-celny-2x187In'!AZ30</f>
        <v>0</v>
      </c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203"/>
      <c r="BP263" s="203"/>
      <c r="BQ263" s="203"/>
      <c r="BR263" s="203"/>
      <c r="BS263" s="203"/>
      <c r="BT263" s="203"/>
      <c r="BU263" s="203"/>
      <c r="BV263" s="203"/>
      <c r="BW263" s="62"/>
      <c r="BX263" s="185"/>
      <c r="BY263" s="35"/>
      <c r="BZ263" s="27"/>
      <c r="CA263" s="27"/>
      <c r="CB263" s="27"/>
      <c r="CC263" s="27"/>
      <c r="CD263" s="27"/>
      <c r="CE263" s="27"/>
      <c r="CF263" s="27"/>
    </row>
    <row r="264" spans="1:84" ht="15" customHeight="1">
      <c r="A264" s="4"/>
      <c r="B264" s="440">
        <f>CENY!B627</f>
        <v>9257040</v>
      </c>
      <c r="C264" s="48" t="str">
        <f>VLOOKUP(B264,CENY!$B$11:$G$1034,2,FALSE)</f>
        <v>ACTRO YOU 70KG PLNOVÝSUV 600 MM EB21 SILENT SYSTEM SADA</v>
      </c>
      <c r="D264" s="501">
        <f>VLOOKUP(B264,CENY!$B$11:$G$1034,3,FALSE)</f>
        <v>1</v>
      </c>
      <c r="E264" s="63" t="str">
        <f>IF(VLOOKUP(B264,CENY!$B$11:$G$1034,4,FALSE)=0,"",VLOOKUP(B264,CENY!$B$11:$G$1034,4,FALSE))</f>
        <v/>
      </c>
      <c r="F264" s="45" t="str">
        <f t="shared" si="42"/>
        <v/>
      </c>
      <c r="G264" s="59">
        <f>VLOOKUP(B264,CENY!$B$11:$M$1034,12,FALSE)</f>
        <v>798.31</v>
      </c>
      <c r="H264" s="61" t="str">
        <f t="shared" si="37"/>
        <v xml:space="preserve"> CZK</v>
      </c>
      <c r="I264" s="46" t="str">
        <f t="shared" si="38"/>
        <v/>
      </c>
      <c r="J264" s="138"/>
      <c r="K264" s="47">
        <f>VLOOKUP(B264,CENY!$B$11:$M$1034,8,FALSE)</f>
        <v>0</v>
      </c>
      <c r="L264" s="47" t="str">
        <f>VLOOKUP(B264,CENY!$B$11:$M$1034,9,FALSE)</f>
        <v xml:space="preserve"> </v>
      </c>
      <c r="M264" s="55"/>
      <c r="N264" s="38">
        <f t="shared" si="43"/>
        <v>0</v>
      </c>
      <c r="O264" s="39">
        <v>0</v>
      </c>
      <c r="P264" s="450">
        <f>'AVT101'!AZ41</f>
        <v>0</v>
      </c>
      <c r="Q264" s="41"/>
      <c r="R264" s="450">
        <f>'AVT139'!AZ35</f>
        <v>0</v>
      </c>
      <c r="S264" s="41"/>
      <c r="T264" s="450">
        <f>'AVT187'!AZ41</f>
        <v>0</v>
      </c>
      <c r="U264" s="41"/>
      <c r="V264" s="450">
        <f>'AVT251'!AZ33</f>
        <v>0</v>
      </c>
      <c r="W264" s="41"/>
      <c r="X264" s="450">
        <f>AVT187In!AZ33</f>
        <v>0</v>
      </c>
      <c r="Y264" s="41"/>
      <c r="Z264" s="450">
        <f>'AVT101(vn-A)'!AZ41</f>
        <v>0</v>
      </c>
      <c r="AA264" s="41"/>
      <c r="AB264" s="450">
        <f>'AVT139(vn-A)'!AZ35</f>
        <v>0</v>
      </c>
      <c r="AC264" s="41"/>
      <c r="AD264" s="450">
        <f>'AVT187(vn-A)'!AZ41</f>
        <v>0</v>
      </c>
      <c r="AE264" s="41"/>
      <c r="AF264" s="450">
        <f>'AVT187In(vn-A)'!AZ33</f>
        <v>0</v>
      </c>
      <c r="AG264" s="41"/>
      <c r="AH264" s="450">
        <f>'AVT187(vn-S)'!AZ41</f>
        <v>0</v>
      </c>
      <c r="AI264" s="41"/>
      <c r="AJ264" s="450">
        <f>'AVT187In(vn-S)'!AZ33</f>
        <v>0</v>
      </c>
      <c r="AK264" s="41"/>
      <c r="AL264" s="41"/>
      <c r="AM264" s="41"/>
      <c r="AN264" s="450">
        <f>'AVT-celny-101+187'!AZ47</f>
        <v>0</v>
      </c>
      <c r="AO264" s="41"/>
      <c r="AP264" s="450">
        <f>'AVT-celny-139+187'!AZ40</f>
        <v>0</v>
      </c>
      <c r="AQ264" s="41"/>
      <c r="AR264" s="450">
        <f>'AVT-celny-2x187'!AZ37</f>
        <v>0</v>
      </c>
      <c r="AS264" s="41"/>
      <c r="AT264" s="450">
        <f>'AVT-celny-2x187In'!AZ31</f>
        <v>0</v>
      </c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203"/>
      <c r="BP264" s="203"/>
      <c r="BQ264" s="203"/>
      <c r="BR264" s="203"/>
      <c r="BS264" s="203"/>
      <c r="BT264" s="203"/>
      <c r="BU264" s="203"/>
      <c r="BV264" s="203"/>
      <c r="BW264" s="62"/>
      <c r="BX264" s="185"/>
      <c r="BY264" s="35"/>
      <c r="BZ264" s="27"/>
      <c r="CA264" s="27"/>
      <c r="CB264" s="27"/>
      <c r="CC264" s="27"/>
      <c r="CD264" s="27"/>
      <c r="CE264" s="27"/>
      <c r="CF264" s="27"/>
    </row>
    <row r="265" spans="1:84" ht="15" customHeight="1">
      <c r="A265" s="4"/>
      <c r="B265" s="440">
        <f>CENY!B628</f>
        <v>9257041</v>
      </c>
      <c r="C265" s="48" t="str">
        <f>VLOOKUP(B265,CENY!$B$11:$G$1034,2,FALSE)</f>
        <v>ACTRO YOU 70KG PLNOVÝSUV 650 MM EB21 SILENT SYSTEM SADA</v>
      </c>
      <c r="D265" s="501">
        <f>VLOOKUP(B265,CENY!$B$11:$G$1034,3,FALSE)</f>
        <v>1</v>
      </c>
      <c r="E265" s="63" t="str">
        <f>IF(VLOOKUP(B265,CENY!$B$11:$G$1034,4,FALSE)=0,"",VLOOKUP(B265,CENY!$B$11:$G$1034,4,FALSE))</f>
        <v/>
      </c>
      <c r="F265" s="45" t="str">
        <f t="shared" si="42"/>
        <v/>
      </c>
      <c r="G265" s="59">
        <f>VLOOKUP(B265,CENY!$B$11:$M$1034,12,FALSE)</f>
        <v>828.55</v>
      </c>
      <c r="H265" s="61" t="str">
        <f t="shared" si="37"/>
        <v xml:space="preserve"> CZK</v>
      </c>
      <c r="I265" s="46" t="str">
        <f t="shared" si="38"/>
        <v/>
      </c>
      <c r="J265" s="138"/>
      <c r="K265" s="47">
        <f>VLOOKUP(B265,CENY!$B$11:$M$1034,8,FALSE)</f>
        <v>0</v>
      </c>
      <c r="L265" s="47" t="str">
        <f>VLOOKUP(B265,CENY!$B$11:$M$1034,9,FALSE)</f>
        <v xml:space="preserve"> </v>
      </c>
      <c r="M265" s="55"/>
      <c r="N265" s="38">
        <f t="shared" si="43"/>
        <v>0</v>
      </c>
      <c r="O265" s="39">
        <v>0</v>
      </c>
      <c r="P265" s="450">
        <f>'AVT101'!AZ42</f>
        <v>0</v>
      </c>
      <c r="Q265" s="41"/>
      <c r="R265" s="41"/>
      <c r="S265" s="41"/>
      <c r="T265" s="450">
        <f>'AVT187'!AZ42</f>
        <v>0</v>
      </c>
      <c r="U265" s="41"/>
      <c r="V265" s="450">
        <f>'AVT251'!AZ34</f>
        <v>0</v>
      </c>
      <c r="W265" s="41"/>
      <c r="X265" s="450">
        <f>AVT187In!AZ34</f>
        <v>0</v>
      </c>
      <c r="Y265" s="41"/>
      <c r="Z265" s="450">
        <f>'AVT101(vn-A)'!AZ42</f>
        <v>0</v>
      </c>
      <c r="AA265" s="41"/>
      <c r="AB265" s="41"/>
      <c r="AC265" s="41"/>
      <c r="AD265" s="450">
        <f>'AVT187(vn-A)'!AZ42</f>
        <v>0</v>
      </c>
      <c r="AE265" s="41"/>
      <c r="AF265" s="450">
        <f>'AVT187In(vn-A)'!AZ34</f>
        <v>0</v>
      </c>
      <c r="AG265" s="41"/>
      <c r="AH265" s="450">
        <f>'AVT187(vn-S)'!AZ42</f>
        <v>0</v>
      </c>
      <c r="AI265" s="41"/>
      <c r="AJ265" s="450">
        <f>'AVT187In(vn-S)'!AZ34</f>
        <v>0</v>
      </c>
      <c r="AK265" s="41"/>
      <c r="AL265" s="41"/>
      <c r="AM265" s="41"/>
      <c r="AN265" s="450">
        <f>'AVT-celny-101+187'!AZ48</f>
        <v>0</v>
      </c>
      <c r="AO265" s="41"/>
      <c r="AP265" s="41"/>
      <c r="AQ265" s="41"/>
      <c r="AR265" s="450">
        <f>'AVT-celny-2x187'!AZ38</f>
        <v>0</v>
      </c>
      <c r="AS265" s="41"/>
      <c r="AT265" s="450">
        <f>'AVT-celny-2x187In'!AZ32</f>
        <v>0</v>
      </c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203"/>
      <c r="BP265" s="203"/>
      <c r="BQ265" s="203"/>
      <c r="BR265" s="203"/>
      <c r="BS265" s="203"/>
      <c r="BT265" s="203"/>
      <c r="BU265" s="203"/>
      <c r="BV265" s="203"/>
      <c r="BW265" s="62"/>
      <c r="BX265" s="185"/>
      <c r="BY265" s="35"/>
      <c r="BZ265" s="27"/>
      <c r="CA265" s="27"/>
      <c r="CB265" s="27"/>
      <c r="CC265" s="27"/>
      <c r="CD265" s="27"/>
      <c r="CE265" s="27"/>
      <c r="CF265" s="27"/>
    </row>
    <row r="266" spans="1:84" ht="15" customHeight="1">
      <c r="A266" s="4"/>
      <c r="B266" s="440">
        <f>CENY!B629</f>
        <v>9257013</v>
      </c>
      <c r="C266" s="48" t="str">
        <f>VLOOKUP(B266,CENY!$B$11:$G$1034,2,FALSE)</f>
        <v>ACTRO YOU 70KG PLNOVÝSUV 450 MM EB21 SILENT SYSTEM LEVÝ</v>
      </c>
      <c r="D266" s="488">
        <f>VLOOKUP(B266,CENY!$B$11:$G$1034,3,FALSE)</f>
        <v>10</v>
      </c>
      <c r="E266" s="63" t="str">
        <f>IF(VLOOKUP(B266,CENY!$B$11:$G$1034,4,FALSE)=0,"",VLOOKUP(B266,CENY!$B$11:$G$1034,4,FALSE))</f>
        <v/>
      </c>
      <c r="F266" s="45" t="str">
        <f t="shared" si="42"/>
        <v/>
      </c>
      <c r="G266" s="59">
        <f>VLOOKUP(B266,CENY!$B$11:$M$1034,12,FALSE)</f>
        <v>309.07</v>
      </c>
      <c r="H266" s="61" t="str">
        <f t="shared" si="37"/>
        <v xml:space="preserve"> CZK</v>
      </c>
      <c r="I266" s="46" t="str">
        <f t="shared" si="38"/>
        <v/>
      </c>
      <c r="J266" s="138"/>
      <c r="K266" s="47">
        <f>VLOOKUP(B266,CENY!$B$11:$M$1034,8,FALSE)</f>
        <v>0</v>
      </c>
      <c r="L266" s="47" t="str">
        <f>VLOOKUP(B266,CENY!$B$11:$M$1034,9,FALSE)</f>
        <v xml:space="preserve"> </v>
      </c>
      <c r="M266" s="55"/>
      <c r="N266" s="38">
        <f t="shared" si="43"/>
        <v>0</v>
      </c>
      <c r="O266" s="39">
        <v>0</v>
      </c>
      <c r="P266" s="41"/>
      <c r="Q266" s="450">
        <f>'AVT101'!BI61</f>
        <v>0</v>
      </c>
      <c r="R266" s="41"/>
      <c r="S266" s="450">
        <f>'AVT139'!BI51</f>
        <v>0</v>
      </c>
      <c r="T266" s="41"/>
      <c r="U266" s="450">
        <f>'AVT187'!BI61</f>
        <v>0</v>
      </c>
      <c r="V266" s="41"/>
      <c r="W266" s="450">
        <f>'AVT251'!BI48</f>
        <v>0</v>
      </c>
      <c r="X266" s="41"/>
      <c r="Y266" s="450">
        <f>AVT187In!BI47</f>
        <v>0</v>
      </c>
      <c r="Z266" s="41"/>
      <c r="AA266" s="450">
        <f>'AVT101(vn-A)'!BI61</f>
        <v>0</v>
      </c>
      <c r="AB266" s="41"/>
      <c r="AC266" s="450">
        <f>'AVT139(vn-A)'!BI51</f>
        <v>0</v>
      </c>
      <c r="AD266" s="41"/>
      <c r="AE266" s="450">
        <f>'AVT187(vn-A)'!BI61</f>
        <v>0</v>
      </c>
      <c r="AF266" s="41"/>
      <c r="AG266" s="450">
        <f>'AVT187In(vn-A)'!BI47</f>
        <v>0</v>
      </c>
      <c r="AH266" s="41"/>
      <c r="AI266" s="450">
        <f>'AVT187(vn-S)'!BI61</f>
        <v>0</v>
      </c>
      <c r="AJ266" s="41"/>
      <c r="AK266" s="450">
        <f>'AVT187In(vn-S)'!BI47</f>
        <v>0</v>
      </c>
      <c r="AL266" s="41"/>
      <c r="AM266" s="450">
        <f>'AVT77'!BI31</f>
        <v>0</v>
      </c>
      <c r="AN266" s="41"/>
      <c r="AO266" s="450">
        <f>'AVT-celny-101+187'!BI74</f>
        <v>0</v>
      </c>
      <c r="AP266" s="41"/>
      <c r="AQ266" s="450">
        <f>'AVT-celny-139+187'!BI62</f>
        <v>0</v>
      </c>
      <c r="AR266" s="41"/>
      <c r="AS266" s="450">
        <f>'AVT-celny-2x187'!BI54</f>
        <v>0</v>
      </c>
      <c r="AT266" s="41"/>
      <c r="AU266" s="450">
        <f>'AVT-celny-2x187In'!BI44</f>
        <v>0</v>
      </c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203"/>
      <c r="BP266" s="203"/>
      <c r="BQ266" s="203"/>
      <c r="BR266" s="203"/>
      <c r="BS266" s="203"/>
      <c r="BT266" s="203"/>
      <c r="BU266" s="203"/>
      <c r="BV266" s="203"/>
      <c r="BW266" s="62"/>
      <c r="BX266" s="185"/>
      <c r="BY266" s="35"/>
      <c r="BZ266" s="27"/>
      <c r="CA266" s="27"/>
      <c r="CB266" s="27"/>
      <c r="CC266" s="27"/>
      <c r="CD266" s="27"/>
      <c r="CE266" s="27"/>
      <c r="CF266" s="27"/>
    </row>
    <row r="267" spans="1:84" ht="15" customHeight="1">
      <c r="A267" s="4"/>
      <c r="B267" s="440">
        <f>CENY!B630</f>
        <v>9257014</v>
      </c>
      <c r="C267" s="48" t="str">
        <f>VLOOKUP(B267,CENY!$B$11:$G$1034,2,FALSE)</f>
        <v>ACTRO YOU 70KG PLNOVÝSUV 450 MM EB21 SILENT SYSTEM PRAVÝ</v>
      </c>
      <c r="D267" s="488">
        <f>VLOOKUP(B267,CENY!$B$11:$G$1034,3,FALSE)</f>
        <v>10</v>
      </c>
      <c r="E267" s="63" t="str">
        <f>IF(VLOOKUP(B267,CENY!$B$11:$G$1034,4,FALSE)=0,"",VLOOKUP(B267,CENY!$B$11:$G$1034,4,FALSE))</f>
        <v/>
      </c>
      <c r="F267" s="45" t="str">
        <f t="shared" si="42"/>
        <v/>
      </c>
      <c r="G267" s="59">
        <f>VLOOKUP(B267,CENY!$B$11:$M$1034,12,FALSE)</f>
        <v>309.07</v>
      </c>
      <c r="H267" s="61" t="str">
        <f t="shared" si="37"/>
        <v xml:space="preserve"> CZK</v>
      </c>
      <c r="I267" s="46" t="str">
        <f t="shared" si="38"/>
        <v/>
      </c>
      <c r="J267" s="138"/>
      <c r="K267" s="47">
        <f>VLOOKUP(B267,CENY!$B$11:$M$1034,8,FALSE)</f>
        <v>0</v>
      </c>
      <c r="L267" s="47" t="str">
        <f>VLOOKUP(B267,CENY!$B$11:$M$1034,9,FALSE)</f>
        <v xml:space="preserve"> </v>
      </c>
      <c r="M267" s="55"/>
      <c r="N267" s="38">
        <f t="shared" si="43"/>
        <v>0</v>
      </c>
      <c r="O267" s="39">
        <v>0</v>
      </c>
      <c r="P267" s="41"/>
      <c r="Q267" s="450">
        <f>'AVT101'!BI62</f>
        <v>0</v>
      </c>
      <c r="R267" s="41"/>
      <c r="S267" s="450">
        <f>'AVT139'!BI52</f>
        <v>0</v>
      </c>
      <c r="T267" s="41"/>
      <c r="U267" s="450">
        <f>'AVT187'!BI62</f>
        <v>0</v>
      </c>
      <c r="V267" s="41"/>
      <c r="W267" s="450">
        <f>'AVT251'!BI49</f>
        <v>0</v>
      </c>
      <c r="X267" s="41"/>
      <c r="Y267" s="450">
        <f>AVT187In!BI48</f>
        <v>0</v>
      </c>
      <c r="Z267" s="41"/>
      <c r="AA267" s="450">
        <f>'AVT101(vn-A)'!BI62</f>
        <v>0</v>
      </c>
      <c r="AB267" s="41"/>
      <c r="AC267" s="450">
        <f>'AVT139(vn-A)'!BI52</f>
        <v>0</v>
      </c>
      <c r="AD267" s="41"/>
      <c r="AE267" s="450">
        <f>'AVT187(vn-A)'!BI62</f>
        <v>0</v>
      </c>
      <c r="AF267" s="41"/>
      <c r="AG267" s="450">
        <f>'AVT187In(vn-A)'!BI48</f>
        <v>0</v>
      </c>
      <c r="AH267" s="41"/>
      <c r="AI267" s="450">
        <f>'AVT187(vn-S)'!BI62</f>
        <v>0</v>
      </c>
      <c r="AJ267" s="41"/>
      <c r="AK267" s="450">
        <f>'AVT187In(vn-S)'!BI48</f>
        <v>0</v>
      </c>
      <c r="AL267" s="41"/>
      <c r="AM267" s="450">
        <f>'AVT77'!BI32</f>
        <v>0</v>
      </c>
      <c r="AN267" s="41"/>
      <c r="AO267" s="450">
        <f>'AVT-celny-101+187'!BI75</f>
        <v>0</v>
      </c>
      <c r="AP267" s="41"/>
      <c r="AQ267" s="450">
        <f>'AVT-celny-139+187'!BI63</f>
        <v>0</v>
      </c>
      <c r="AR267" s="41"/>
      <c r="AS267" s="450">
        <f>'AVT-celny-2x187'!BI55</f>
        <v>0</v>
      </c>
      <c r="AT267" s="41"/>
      <c r="AU267" s="450">
        <f>'AVT-celny-2x187In'!BI45</f>
        <v>0</v>
      </c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203"/>
      <c r="BP267" s="203"/>
      <c r="BQ267" s="203"/>
      <c r="BR267" s="203"/>
      <c r="BS267" s="203"/>
      <c r="BT267" s="203"/>
      <c r="BU267" s="203"/>
      <c r="BV267" s="203"/>
      <c r="BW267" s="62"/>
      <c r="BX267" s="185"/>
      <c r="BY267" s="35"/>
      <c r="BZ267" s="27"/>
      <c r="CA267" s="27"/>
      <c r="CB267" s="27"/>
      <c r="CC267" s="27"/>
      <c r="CD267" s="27"/>
      <c r="CE267" s="27"/>
      <c r="CF267" s="27"/>
    </row>
    <row r="268" spans="1:84" ht="15" customHeight="1">
      <c r="A268" s="4"/>
      <c r="B268" s="440">
        <f>CENY!B631</f>
        <v>9257017</v>
      </c>
      <c r="C268" s="48" t="str">
        <f>VLOOKUP(B268,CENY!$B$11:$G$1034,2,FALSE)</f>
        <v>ACTRO YOU 70KG PLNOVÝSUV 500 MM EB21 SILENT SYSTEM LEVÝ</v>
      </c>
      <c r="D268" s="488">
        <f>VLOOKUP(B268,CENY!$B$11:$G$1034,3,FALSE)</f>
        <v>10</v>
      </c>
      <c r="E268" s="63" t="str">
        <f>IF(VLOOKUP(B268,CENY!$B$11:$G$1034,4,FALSE)=0,"",VLOOKUP(B268,CENY!$B$11:$G$1034,4,FALSE))</f>
        <v/>
      </c>
      <c r="F268" s="45" t="str">
        <f t="shared" si="42"/>
        <v/>
      </c>
      <c r="G268" s="59">
        <f>VLOOKUP(B268,CENY!$B$11:$M$1034,12,FALSE)</f>
        <v>312.18</v>
      </c>
      <c r="H268" s="61" t="str">
        <f t="shared" si="37"/>
        <v xml:space="preserve"> CZK</v>
      </c>
      <c r="I268" s="46" t="str">
        <f t="shared" si="38"/>
        <v/>
      </c>
      <c r="J268" s="138"/>
      <c r="K268" s="47">
        <f>VLOOKUP(B268,CENY!$B$11:$M$1034,8,FALSE)</f>
        <v>0</v>
      </c>
      <c r="L268" s="47" t="str">
        <f>VLOOKUP(B268,CENY!$B$11:$M$1034,9,FALSE)</f>
        <v xml:space="preserve"> </v>
      </c>
      <c r="M268" s="55"/>
      <c r="N268" s="38">
        <f t="shared" si="43"/>
        <v>0</v>
      </c>
      <c r="O268" s="39">
        <v>0</v>
      </c>
      <c r="P268" s="41"/>
      <c r="Q268" s="450">
        <f>'AVT101'!BI63</f>
        <v>0</v>
      </c>
      <c r="R268" s="41"/>
      <c r="S268" s="450">
        <f>'AVT139'!BI53</f>
        <v>0</v>
      </c>
      <c r="T268" s="41"/>
      <c r="U268" s="450">
        <f>'AVT187'!BI63</f>
        <v>0</v>
      </c>
      <c r="V268" s="41"/>
      <c r="W268" s="450">
        <f>'AVT251'!BI50</f>
        <v>0</v>
      </c>
      <c r="X268" s="41"/>
      <c r="Y268" s="450">
        <f>AVT187In!BI49</f>
        <v>0</v>
      </c>
      <c r="Z268" s="41"/>
      <c r="AA268" s="450">
        <f>'AVT101(vn-A)'!BI63</f>
        <v>0</v>
      </c>
      <c r="AB268" s="41"/>
      <c r="AC268" s="450">
        <f>'AVT139(vn-A)'!BI53</f>
        <v>0</v>
      </c>
      <c r="AD268" s="41"/>
      <c r="AE268" s="450">
        <f>'AVT187(vn-A)'!BI63</f>
        <v>0</v>
      </c>
      <c r="AF268" s="41"/>
      <c r="AG268" s="450">
        <f>'AVT187In(vn-A)'!BI49</f>
        <v>0</v>
      </c>
      <c r="AH268" s="41"/>
      <c r="AI268" s="450">
        <f>'AVT187(vn-S)'!BI63</f>
        <v>0</v>
      </c>
      <c r="AJ268" s="41"/>
      <c r="AK268" s="450">
        <f>'AVT187In(vn-S)'!BI49</f>
        <v>0</v>
      </c>
      <c r="AL268" s="41"/>
      <c r="AM268" s="450">
        <f>'AVT77'!BI33</f>
        <v>0</v>
      </c>
      <c r="AN268" s="41"/>
      <c r="AO268" s="450">
        <f>'AVT-celny-101+187'!BI76</f>
        <v>0</v>
      </c>
      <c r="AP268" s="41"/>
      <c r="AQ268" s="450">
        <f>'AVT-celny-139+187'!BI64</f>
        <v>0</v>
      </c>
      <c r="AR268" s="41"/>
      <c r="AS268" s="450">
        <f>'AVT-celny-2x187'!BI56</f>
        <v>0</v>
      </c>
      <c r="AT268" s="41"/>
      <c r="AU268" s="450">
        <f>'AVT-celny-2x187In'!BI46</f>
        <v>0</v>
      </c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203"/>
      <c r="BP268" s="203"/>
      <c r="BQ268" s="203"/>
      <c r="BR268" s="203"/>
      <c r="BS268" s="203"/>
      <c r="BT268" s="203"/>
      <c r="BU268" s="203"/>
      <c r="BV268" s="203"/>
      <c r="BW268" s="62"/>
      <c r="BX268" s="185"/>
      <c r="BY268" s="35"/>
      <c r="BZ268" s="27"/>
      <c r="CA268" s="27"/>
      <c r="CB268" s="27"/>
      <c r="CC268" s="27"/>
      <c r="CD268" s="27"/>
      <c r="CE268" s="27"/>
      <c r="CF268" s="27"/>
    </row>
    <row r="269" spans="1:84" ht="15" customHeight="1">
      <c r="A269" s="4"/>
      <c r="B269" s="440">
        <f>CENY!B632</f>
        <v>9257018</v>
      </c>
      <c r="C269" s="48" t="str">
        <f>VLOOKUP(B269,CENY!$B$11:$G$1034,2,FALSE)</f>
        <v>ACTRO YOU 70KG PLNOVÝSUV 500 MM EB21 SILENT SYSTEM PRAVÝ</v>
      </c>
      <c r="D269" s="488">
        <f>VLOOKUP(B269,CENY!$B$11:$G$1034,3,FALSE)</f>
        <v>10</v>
      </c>
      <c r="E269" s="63" t="str">
        <f>IF(VLOOKUP(B269,CENY!$B$11:$G$1034,4,FALSE)=0,"",VLOOKUP(B269,CENY!$B$11:$G$1034,4,FALSE))</f>
        <v/>
      </c>
      <c r="F269" s="45" t="str">
        <f t="shared" si="42"/>
        <v/>
      </c>
      <c r="G269" s="59">
        <f>VLOOKUP(B269,CENY!$B$11:$M$1034,12,FALSE)</f>
        <v>312.18</v>
      </c>
      <c r="H269" s="61" t="str">
        <f t="shared" si="37"/>
        <v xml:space="preserve"> CZK</v>
      </c>
      <c r="I269" s="46" t="str">
        <f t="shared" si="38"/>
        <v/>
      </c>
      <c r="J269" s="138"/>
      <c r="K269" s="47">
        <f>VLOOKUP(B269,CENY!$B$11:$M$1034,8,FALSE)</f>
        <v>0</v>
      </c>
      <c r="L269" s="47" t="str">
        <f>VLOOKUP(B269,CENY!$B$11:$M$1034,9,FALSE)</f>
        <v xml:space="preserve"> </v>
      </c>
      <c r="M269" s="55"/>
      <c r="N269" s="38">
        <f t="shared" si="43"/>
        <v>0</v>
      </c>
      <c r="O269" s="39">
        <v>0</v>
      </c>
      <c r="P269" s="41"/>
      <c r="Q269" s="450">
        <f>'AVT101'!BI64</f>
        <v>0</v>
      </c>
      <c r="R269" s="41"/>
      <c r="S269" s="450">
        <f>'AVT139'!BI54</f>
        <v>0</v>
      </c>
      <c r="T269" s="41"/>
      <c r="U269" s="450">
        <f>'AVT187'!BI64</f>
        <v>0</v>
      </c>
      <c r="V269" s="41"/>
      <c r="W269" s="450">
        <f>'AVT251'!BI51</f>
        <v>0</v>
      </c>
      <c r="X269" s="41"/>
      <c r="Y269" s="450">
        <f>AVT187In!BI50</f>
        <v>0</v>
      </c>
      <c r="Z269" s="41"/>
      <c r="AA269" s="450">
        <f>'AVT101(vn-A)'!BI64</f>
        <v>0</v>
      </c>
      <c r="AB269" s="41"/>
      <c r="AC269" s="450">
        <f>'AVT139(vn-A)'!BI54</f>
        <v>0</v>
      </c>
      <c r="AD269" s="41"/>
      <c r="AE269" s="450">
        <f>'AVT187(vn-A)'!BI64</f>
        <v>0</v>
      </c>
      <c r="AF269" s="41"/>
      <c r="AG269" s="450">
        <f>'AVT187In(vn-A)'!BI50</f>
        <v>0</v>
      </c>
      <c r="AH269" s="41"/>
      <c r="AI269" s="450">
        <f>'AVT187(vn-S)'!BI64</f>
        <v>0</v>
      </c>
      <c r="AJ269" s="41"/>
      <c r="AK269" s="450">
        <f>'AVT187In(vn-S)'!BI50</f>
        <v>0</v>
      </c>
      <c r="AL269" s="41"/>
      <c r="AM269" s="450">
        <f>'AVT77'!BI34</f>
        <v>0</v>
      </c>
      <c r="AN269" s="41"/>
      <c r="AO269" s="450">
        <f>'AVT-celny-101+187'!BI77</f>
        <v>0</v>
      </c>
      <c r="AP269" s="41"/>
      <c r="AQ269" s="450">
        <f>'AVT-celny-139+187'!BI65</f>
        <v>0</v>
      </c>
      <c r="AR269" s="41"/>
      <c r="AS269" s="450">
        <f>'AVT-celny-2x187'!BI57</f>
        <v>0</v>
      </c>
      <c r="AT269" s="41"/>
      <c r="AU269" s="450">
        <f>'AVT-celny-2x187In'!BI47</f>
        <v>0</v>
      </c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203"/>
      <c r="BP269" s="203"/>
      <c r="BQ269" s="203"/>
      <c r="BR269" s="203"/>
      <c r="BS269" s="203"/>
      <c r="BT269" s="203"/>
      <c r="BU269" s="203"/>
      <c r="BV269" s="203"/>
      <c r="BW269" s="62"/>
      <c r="BX269" s="185"/>
      <c r="BY269" s="35"/>
      <c r="BZ269" s="27"/>
      <c r="CA269" s="27"/>
      <c r="CB269" s="27"/>
      <c r="CC269" s="27"/>
      <c r="CD269" s="27"/>
      <c r="CE269" s="27"/>
      <c r="CF269" s="27"/>
    </row>
    <row r="270" spans="1:84" ht="15" customHeight="1">
      <c r="A270" s="4"/>
      <c r="B270" s="440">
        <f>CENY!B633</f>
        <v>9257021</v>
      </c>
      <c r="C270" s="48" t="str">
        <f>VLOOKUP(B270,CENY!$B$11:$G$1034,2,FALSE)</f>
        <v>ACTRO YOU 70KG PLNOVÝSUV 550 MM EB21 SILENT SYSTEM LEVÝ</v>
      </c>
      <c r="D270" s="488">
        <f>VLOOKUP(B270,CENY!$B$11:$G$1034,3,FALSE)</f>
        <v>10</v>
      </c>
      <c r="E270" s="63" t="str">
        <f>IF(VLOOKUP(B270,CENY!$B$11:$G$1034,4,FALSE)=0,"",VLOOKUP(B270,CENY!$B$11:$G$1034,4,FALSE))</f>
        <v/>
      </c>
      <c r="F270" s="45" t="str">
        <f t="shared" si="42"/>
        <v/>
      </c>
      <c r="G270" s="59">
        <f>VLOOKUP(B270,CENY!$B$11:$M$1034,12,FALSE)</f>
        <v>328.77</v>
      </c>
      <c r="H270" s="61" t="str">
        <f t="shared" si="37"/>
        <v xml:space="preserve"> CZK</v>
      </c>
      <c r="I270" s="46" t="str">
        <f t="shared" si="38"/>
        <v/>
      </c>
      <c r="J270" s="138"/>
      <c r="K270" s="47">
        <f>VLOOKUP(B270,CENY!$B$11:$M$1034,8,FALSE)</f>
        <v>0</v>
      </c>
      <c r="L270" s="47" t="str">
        <f>VLOOKUP(B270,CENY!$B$11:$M$1034,9,FALSE)</f>
        <v xml:space="preserve"> </v>
      </c>
      <c r="M270" s="55"/>
      <c r="N270" s="38">
        <f t="shared" si="43"/>
        <v>0</v>
      </c>
      <c r="O270" s="39">
        <v>0</v>
      </c>
      <c r="P270" s="41"/>
      <c r="Q270" s="450">
        <f>'AVT101'!BI65</f>
        <v>0</v>
      </c>
      <c r="R270" s="41"/>
      <c r="S270" s="450">
        <f>'AVT139'!BI55</f>
        <v>0</v>
      </c>
      <c r="T270" s="41"/>
      <c r="U270" s="450">
        <f>'AVT187'!BI65</f>
        <v>0</v>
      </c>
      <c r="V270" s="41"/>
      <c r="W270" s="450">
        <f>'AVT251'!BI52</f>
        <v>0</v>
      </c>
      <c r="X270" s="41"/>
      <c r="Y270" s="450">
        <f>AVT187In!BI51</f>
        <v>0</v>
      </c>
      <c r="Z270" s="41"/>
      <c r="AA270" s="450">
        <f>'AVT101(vn-A)'!BI65</f>
        <v>0</v>
      </c>
      <c r="AB270" s="41"/>
      <c r="AC270" s="450">
        <f>'AVT139(vn-A)'!BI55</f>
        <v>0</v>
      </c>
      <c r="AD270" s="41"/>
      <c r="AE270" s="450">
        <f>'AVT187(vn-A)'!BI65</f>
        <v>0</v>
      </c>
      <c r="AF270" s="41"/>
      <c r="AG270" s="450">
        <f>'AVT187In(vn-A)'!BI51</f>
        <v>0</v>
      </c>
      <c r="AH270" s="41"/>
      <c r="AI270" s="450">
        <f>'AVT187(vn-S)'!BI65</f>
        <v>0</v>
      </c>
      <c r="AJ270" s="41"/>
      <c r="AK270" s="450">
        <f>'AVT187In(vn-S)'!BI51</f>
        <v>0</v>
      </c>
      <c r="AL270" s="41"/>
      <c r="AM270" s="450">
        <f>'AVT77'!BI35</f>
        <v>0</v>
      </c>
      <c r="AN270" s="41"/>
      <c r="AO270" s="450">
        <f>'AVT-celny-101+187'!BI78</f>
        <v>0</v>
      </c>
      <c r="AP270" s="41"/>
      <c r="AQ270" s="450">
        <f>'AVT-celny-139+187'!BI66</f>
        <v>0</v>
      </c>
      <c r="AR270" s="41"/>
      <c r="AS270" s="450">
        <f>'AVT-celny-2x187'!BI58</f>
        <v>0</v>
      </c>
      <c r="AT270" s="41"/>
      <c r="AU270" s="450">
        <f>'AVT-celny-2x187In'!BI48</f>
        <v>0</v>
      </c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203"/>
      <c r="BP270" s="203"/>
      <c r="BQ270" s="203"/>
      <c r="BR270" s="203"/>
      <c r="BS270" s="203"/>
      <c r="BT270" s="203"/>
      <c r="BU270" s="203"/>
      <c r="BV270" s="203"/>
      <c r="BW270" s="62"/>
      <c r="BX270" s="185"/>
      <c r="BY270" s="35"/>
      <c r="BZ270" s="27"/>
      <c r="CA270" s="27"/>
      <c r="CB270" s="27"/>
      <c r="CC270" s="27"/>
      <c r="CD270" s="27"/>
      <c r="CE270" s="27"/>
      <c r="CF270" s="27"/>
    </row>
    <row r="271" spans="1:84" ht="15" customHeight="1">
      <c r="A271" s="4"/>
      <c r="B271" s="440">
        <f>CENY!B634</f>
        <v>9257022</v>
      </c>
      <c r="C271" s="48" t="str">
        <f>VLOOKUP(B271,CENY!$B$11:$G$1034,2,FALSE)</f>
        <v>ACTRO YOU 70KG PLNOVÝSUV 550 MM EB21 SILENT SYSTEM PRAVÝ</v>
      </c>
      <c r="D271" s="488">
        <f>VLOOKUP(B271,CENY!$B$11:$G$1034,3,FALSE)</f>
        <v>10</v>
      </c>
      <c r="E271" s="63" t="str">
        <f>IF(VLOOKUP(B271,CENY!$B$11:$G$1034,4,FALSE)=0,"",VLOOKUP(B271,CENY!$B$11:$G$1034,4,FALSE))</f>
        <v/>
      </c>
      <c r="F271" s="45" t="str">
        <f t="shared" si="42"/>
        <v/>
      </c>
      <c r="G271" s="59">
        <f>VLOOKUP(B271,CENY!$B$11:$M$1034,12,FALSE)</f>
        <v>328.77</v>
      </c>
      <c r="H271" s="61" t="str">
        <f t="shared" si="37"/>
        <v xml:space="preserve"> CZK</v>
      </c>
      <c r="I271" s="46" t="str">
        <f t="shared" si="38"/>
        <v/>
      </c>
      <c r="J271" s="138"/>
      <c r="K271" s="47">
        <f>VLOOKUP(B271,CENY!$B$11:$M$1034,8,FALSE)</f>
        <v>0</v>
      </c>
      <c r="L271" s="47" t="str">
        <f>VLOOKUP(B271,CENY!$B$11:$M$1034,9,FALSE)</f>
        <v xml:space="preserve"> </v>
      </c>
      <c r="M271" s="55"/>
      <c r="N271" s="38">
        <f t="shared" si="43"/>
        <v>0</v>
      </c>
      <c r="O271" s="39">
        <v>0</v>
      </c>
      <c r="P271" s="41"/>
      <c r="Q271" s="450">
        <f>'AVT101'!BI66</f>
        <v>0</v>
      </c>
      <c r="R271" s="41"/>
      <c r="S271" s="450">
        <f>'AVT139'!BI56</f>
        <v>0</v>
      </c>
      <c r="T271" s="41"/>
      <c r="U271" s="450">
        <f>'AVT187'!BI66</f>
        <v>0</v>
      </c>
      <c r="V271" s="41"/>
      <c r="W271" s="450">
        <f>'AVT251'!BI53</f>
        <v>0</v>
      </c>
      <c r="X271" s="41"/>
      <c r="Y271" s="450">
        <f>AVT187In!BI52</f>
        <v>0</v>
      </c>
      <c r="Z271" s="41"/>
      <c r="AA271" s="450">
        <f>'AVT101(vn-A)'!BI66</f>
        <v>0</v>
      </c>
      <c r="AB271" s="41"/>
      <c r="AC271" s="450">
        <f>'AVT139(vn-A)'!BI56</f>
        <v>0</v>
      </c>
      <c r="AD271" s="41"/>
      <c r="AE271" s="450">
        <f>'AVT187(vn-A)'!BI66</f>
        <v>0</v>
      </c>
      <c r="AF271" s="41"/>
      <c r="AG271" s="450">
        <f>'AVT187In(vn-A)'!BI52</f>
        <v>0</v>
      </c>
      <c r="AH271" s="41"/>
      <c r="AI271" s="450">
        <f>'AVT187(vn-S)'!BI66</f>
        <v>0</v>
      </c>
      <c r="AJ271" s="41"/>
      <c r="AK271" s="450">
        <f>'AVT187In(vn-S)'!BI52</f>
        <v>0</v>
      </c>
      <c r="AL271" s="41"/>
      <c r="AM271" s="450">
        <f>'AVT77'!BI36</f>
        <v>0</v>
      </c>
      <c r="AN271" s="41"/>
      <c r="AO271" s="450">
        <f>'AVT-celny-101+187'!BI79</f>
        <v>0</v>
      </c>
      <c r="AP271" s="41"/>
      <c r="AQ271" s="450">
        <f>'AVT-celny-139+187'!BI67</f>
        <v>0</v>
      </c>
      <c r="AR271" s="41"/>
      <c r="AS271" s="450">
        <f>'AVT-celny-2x187'!BI59</f>
        <v>0</v>
      </c>
      <c r="AT271" s="41"/>
      <c r="AU271" s="450">
        <f>'AVT-celny-2x187In'!BI49</f>
        <v>0</v>
      </c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203"/>
      <c r="BP271" s="203"/>
      <c r="BQ271" s="203"/>
      <c r="BR271" s="203"/>
      <c r="BS271" s="203"/>
      <c r="BT271" s="203"/>
      <c r="BU271" s="203"/>
      <c r="BV271" s="203"/>
      <c r="BW271" s="62"/>
      <c r="BX271" s="185"/>
      <c r="BY271" s="35"/>
      <c r="BZ271" s="27"/>
      <c r="CA271" s="27"/>
      <c r="CB271" s="27"/>
      <c r="CC271" s="27"/>
      <c r="CD271" s="27"/>
      <c r="CE271" s="27"/>
      <c r="CF271" s="27"/>
    </row>
    <row r="272" spans="1:84" ht="15" customHeight="1">
      <c r="A272" s="4"/>
      <c r="B272" s="440">
        <f>CENY!B635</f>
        <v>9257025</v>
      </c>
      <c r="C272" s="48" t="str">
        <f>VLOOKUP(B272,CENY!$B$11:$G$1034,2,FALSE)</f>
        <v>ACTRO YOU 70KG PLNOVÝSUV 600 MM EB21 SILENT SYSTEM LEVÝ</v>
      </c>
      <c r="D272" s="488">
        <f>VLOOKUP(B272,CENY!$B$11:$G$1034,3,FALSE)</f>
        <v>10</v>
      </c>
      <c r="E272" s="63" t="str">
        <f>IF(VLOOKUP(B272,CENY!$B$11:$G$1034,4,FALSE)=0,"",VLOOKUP(B272,CENY!$B$11:$G$1034,4,FALSE))</f>
        <v/>
      </c>
      <c r="F272" s="45" t="str">
        <f t="shared" si="42"/>
        <v/>
      </c>
      <c r="G272" s="59">
        <f>VLOOKUP(B272,CENY!$B$11:$M$1034,12,FALSE)</f>
        <v>362.28</v>
      </c>
      <c r="H272" s="61" t="str">
        <f t="shared" si="37"/>
        <v xml:space="preserve"> CZK</v>
      </c>
      <c r="I272" s="46" t="str">
        <f t="shared" si="38"/>
        <v/>
      </c>
      <c r="J272" s="138"/>
      <c r="K272" s="47">
        <f>VLOOKUP(B272,CENY!$B$11:$M$1034,8,FALSE)</f>
        <v>0</v>
      </c>
      <c r="L272" s="47" t="str">
        <f>VLOOKUP(B272,CENY!$B$11:$M$1034,9,FALSE)</f>
        <v xml:space="preserve"> </v>
      </c>
      <c r="M272" s="55"/>
      <c r="N272" s="38">
        <f t="shared" si="43"/>
        <v>0</v>
      </c>
      <c r="O272" s="39">
        <v>0</v>
      </c>
      <c r="P272" s="41"/>
      <c r="Q272" s="450">
        <f>'AVT101'!BI67</f>
        <v>0</v>
      </c>
      <c r="R272" s="41"/>
      <c r="S272" s="450">
        <f>'AVT139'!BI57</f>
        <v>0</v>
      </c>
      <c r="T272" s="41"/>
      <c r="U272" s="450">
        <f>'AVT187'!BI67</f>
        <v>0</v>
      </c>
      <c r="V272" s="41"/>
      <c r="W272" s="450">
        <f>'AVT251'!BI54</f>
        <v>0</v>
      </c>
      <c r="X272" s="41"/>
      <c r="Y272" s="450">
        <f>AVT187In!BI53</f>
        <v>0</v>
      </c>
      <c r="Z272" s="41"/>
      <c r="AA272" s="450">
        <f>'AVT101(vn-A)'!BI67</f>
        <v>0</v>
      </c>
      <c r="AB272" s="41"/>
      <c r="AC272" s="450">
        <f>'AVT139(vn-A)'!BI57</f>
        <v>0</v>
      </c>
      <c r="AD272" s="41"/>
      <c r="AE272" s="450">
        <f>'AVT187(vn-A)'!BI67</f>
        <v>0</v>
      </c>
      <c r="AF272" s="41"/>
      <c r="AG272" s="450">
        <f>'AVT187In(vn-A)'!BI53</f>
        <v>0</v>
      </c>
      <c r="AH272" s="41"/>
      <c r="AI272" s="450">
        <f>'AVT187(vn-S)'!BI67</f>
        <v>0</v>
      </c>
      <c r="AJ272" s="41"/>
      <c r="AK272" s="450">
        <f>'AVT187In(vn-S)'!BI53</f>
        <v>0</v>
      </c>
      <c r="AL272" s="41"/>
      <c r="AM272" s="41"/>
      <c r="AN272" s="41"/>
      <c r="AO272" s="450">
        <f>'AVT-celny-101+187'!BI80</f>
        <v>0</v>
      </c>
      <c r="AP272" s="41"/>
      <c r="AQ272" s="450">
        <f>'AVT-celny-139+187'!BI68</f>
        <v>0</v>
      </c>
      <c r="AR272" s="41"/>
      <c r="AS272" s="450">
        <f>'AVT-celny-2x187'!BI60</f>
        <v>0</v>
      </c>
      <c r="AT272" s="41"/>
      <c r="AU272" s="450">
        <f>'AVT-celny-2x187In'!BI50</f>
        <v>0</v>
      </c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203"/>
      <c r="BP272" s="203"/>
      <c r="BQ272" s="203"/>
      <c r="BR272" s="203"/>
      <c r="BS272" s="203"/>
      <c r="BT272" s="203"/>
      <c r="BU272" s="203"/>
      <c r="BV272" s="203"/>
      <c r="BW272" s="62"/>
      <c r="BX272" s="185"/>
      <c r="BY272" s="35"/>
      <c r="BZ272" s="27"/>
      <c r="CA272" s="27"/>
      <c r="CB272" s="27"/>
      <c r="CC272" s="27"/>
      <c r="CD272" s="27"/>
      <c r="CE272" s="27"/>
      <c r="CF272" s="27"/>
    </row>
    <row r="273" spans="1:84" ht="15" customHeight="1">
      <c r="A273" s="4"/>
      <c r="B273" s="440">
        <f>CENY!B636</f>
        <v>9257026</v>
      </c>
      <c r="C273" s="48" t="str">
        <f>VLOOKUP(B273,CENY!$B$11:$G$1034,2,FALSE)</f>
        <v>ACTRO YOU 70KG PLNOVÝSUV 600 MM EB21 SILENT SYSTEM PRAVÝ</v>
      </c>
      <c r="D273" s="488">
        <f>VLOOKUP(B273,CENY!$B$11:$G$1034,3,FALSE)</f>
        <v>10</v>
      </c>
      <c r="E273" s="63" t="str">
        <f>IF(VLOOKUP(B273,CENY!$B$11:$G$1034,4,FALSE)=0,"",VLOOKUP(B273,CENY!$B$11:$G$1034,4,FALSE))</f>
        <v/>
      </c>
      <c r="F273" s="45" t="str">
        <f t="shared" si="42"/>
        <v/>
      </c>
      <c r="G273" s="59">
        <f>VLOOKUP(B273,CENY!$B$11:$M$1034,12,FALSE)</f>
        <v>362.28</v>
      </c>
      <c r="H273" s="61" t="str">
        <f t="shared" si="37"/>
        <v xml:space="preserve"> CZK</v>
      </c>
      <c r="I273" s="46" t="str">
        <f t="shared" si="38"/>
        <v/>
      </c>
      <c r="J273" s="138"/>
      <c r="K273" s="47">
        <f>VLOOKUP(B273,CENY!$B$11:$M$1034,8,FALSE)</f>
        <v>0</v>
      </c>
      <c r="L273" s="47" t="str">
        <f>VLOOKUP(B273,CENY!$B$11:$M$1034,9,FALSE)</f>
        <v xml:space="preserve"> </v>
      </c>
      <c r="M273" s="55"/>
      <c r="N273" s="38">
        <f t="shared" si="43"/>
        <v>0</v>
      </c>
      <c r="O273" s="39">
        <v>0</v>
      </c>
      <c r="P273" s="41"/>
      <c r="Q273" s="450">
        <f>'AVT101'!BI68</f>
        <v>0</v>
      </c>
      <c r="R273" s="41"/>
      <c r="S273" s="450">
        <f>'AVT139'!BI58</f>
        <v>0</v>
      </c>
      <c r="T273" s="41"/>
      <c r="U273" s="450">
        <f>'AVT187'!BI68</f>
        <v>0</v>
      </c>
      <c r="V273" s="41"/>
      <c r="W273" s="450">
        <f>'AVT251'!BI55</f>
        <v>0</v>
      </c>
      <c r="X273" s="41"/>
      <c r="Y273" s="450">
        <f>AVT187In!BI54</f>
        <v>0</v>
      </c>
      <c r="Z273" s="41"/>
      <c r="AA273" s="450">
        <f>'AVT101(vn-A)'!BI68</f>
        <v>0</v>
      </c>
      <c r="AB273" s="41"/>
      <c r="AC273" s="450">
        <f>'AVT139(vn-A)'!BI58</f>
        <v>0</v>
      </c>
      <c r="AD273" s="41"/>
      <c r="AE273" s="450">
        <f>'AVT187(vn-A)'!BI68</f>
        <v>0</v>
      </c>
      <c r="AF273" s="41"/>
      <c r="AG273" s="450">
        <f>'AVT187In(vn-A)'!BI54</f>
        <v>0</v>
      </c>
      <c r="AH273" s="41"/>
      <c r="AI273" s="450">
        <f>'AVT187(vn-S)'!BI68</f>
        <v>0</v>
      </c>
      <c r="AJ273" s="41"/>
      <c r="AK273" s="450">
        <f>'AVT187In(vn-S)'!BI54</f>
        <v>0</v>
      </c>
      <c r="AL273" s="41"/>
      <c r="AM273" s="41"/>
      <c r="AN273" s="41"/>
      <c r="AO273" s="450">
        <f>'AVT-celny-101+187'!BI81</f>
        <v>0</v>
      </c>
      <c r="AP273" s="41"/>
      <c r="AQ273" s="450">
        <f>'AVT-celny-139+187'!BI69</f>
        <v>0</v>
      </c>
      <c r="AR273" s="41"/>
      <c r="AS273" s="450">
        <f>'AVT-celny-2x187'!BI61</f>
        <v>0</v>
      </c>
      <c r="AT273" s="41"/>
      <c r="AU273" s="450">
        <f>'AVT-celny-2x187In'!BI51</f>
        <v>0</v>
      </c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203"/>
      <c r="BP273" s="203"/>
      <c r="BQ273" s="203"/>
      <c r="BR273" s="203"/>
      <c r="BS273" s="203"/>
      <c r="BT273" s="203"/>
      <c r="BU273" s="203"/>
      <c r="BV273" s="203"/>
      <c r="BW273" s="62"/>
      <c r="BX273" s="185"/>
      <c r="BY273" s="35"/>
      <c r="BZ273" s="27"/>
      <c r="CA273" s="27"/>
      <c r="CB273" s="27"/>
      <c r="CC273" s="27"/>
      <c r="CD273" s="27"/>
      <c r="CE273" s="27"/>
      <c r="CF273" s="27"/>
    </row>
    <row r="274" spans="1:84" ht="15" customHeight="1">
      <c r="A274" s="4"/>
      <c r="B274" s="440">
        <f>CENY!B637</f>
        <v>9257027</v>
      </c>
      <c r="C274" s="48" t="str">
        <f>VLOOKUP(B274,CENY!$B$11:$G$1034,2,FALSE)</f>
        <v>ACTRO YOU 70KG PLNOVÝSUV 650 MM EB21 SILENT SYSTEM LEVÝ</v>
      </c>
      <c r="D274" s="488">
        <f>VLOOKUP(B274,CENY!$B$11:$G$1034,3,FALSE)</f>
        <v>5</v>
      </c>
      <c r="E274" s="63" t="str">
        <f>IF(VLOOKUP(B274,CENY!$B$11:$G$1034,4,FALSE)=0,"",VLOOKUP(B274,CENY!$B$11:$G$1034,4,FALSE))</f>
        <v/>
      </c>
      <c r="F274" s="45" t="str">
        <f t="shared" si="42"/>
        <v/>
      </c>
      <c r="G274" s="59">
        <f>VLOOKUP(B274,CENY!$B$11:$M$1034,12,FALSE)</f>
        <v>377.39</v>
      </c>
      <c r="H274" s="61" t="str">
        <f t="shared" si="37"/>
        <v xml:space="preserve"> CZK</v>
      </c>
      <c r="I274" s="46" t="str">
        <f t="shared" si="38"/>
        <v/>
      </c>
      <c r="J274" s="138"/>
      <c r="K274" s="47">
        <f>VLOOKUP(B274,CENY!$B$11:$M$1034,8,FALSE)</f>
        <v>0</v>
      </c>
      <c r="L274" s="47" t="str">
        <f>VLOOKUP(B274,CENY!$B$11:$M$1034,9,FALSE)</f>
        <v xml:space="preserve"> </v>
      </c>
      <c r="M274" s="55"/>
      <c r="N274" s="38">
        <f t="shared" si="43"/>
        <v>0</v>
      </c>
      <c r="O274" s="39">
        <v>0</v>
      </c>
      <c r="P274" s="41"/>
      <c r="Q274" s="450">
        <f>'AVT101'!BI69</f>
        <v>0</v>
      </c>
      <c r="R274" s="41"/>
      <c r="S274" s="41"/>
      <c r="T274" s="41"/>
      <c r="U274" s="450">
        <f>'AVT187'!BI69</f>
        <v>0</v>
      </c>
      <c r="V274" s="41"/>
      <c r="W274" s="450">
        <f>'AVT251'!BI56</f>
        <v>0</v>
      </c>
      <c r="X274" s="41"/>
      <c r="Y274" s="450">
        <f>AVT187In!BI55</f>
        <v>0</v>
      </c>
      <c r="Z274" s="41"/>
      <c r="AA274" s="450">
        <f>'AVT101(vn-A)'!BI69</f>
        <v>0</v>
      </c>
      <c r="AB274" s="41"/>
      <c r="AC274" s="41"/>
      <c r="AD274" s="41"/>
      <c r="AE274" s="450">
        <f>'AVT187(vn-A)'!BI69</f>
        <v>0</v>
      </c>
      <c r="AF274" s="41"/>
      <c r="AG274" s="450">
        <f>'AVT187In(vn-A)'!BI55</f>
        <v>0</v>
      </c>
      <c r="AH274" s="41"/>
      <c r="AI274" s="450">
        <f>'AVT187(vn-S)'!BI69</f>
        <v>0</v>
      </c>
      <c r="AJ274" s="41"/>
      <c r="AK274" s="450">
        <f>'AVT187In(vn-S)'!BI55</f>
        <v>0</v>
      </c>
      <c r="AL274" s="41"/>
      <c r="AM274" s="41"/>
      <c r="AN274" s="41"/>
      <c r="AO274" s="450">
        <f>'AVT-celny-101+187'!BI82</f>
        <v>0</v>
      </c>
      <c r="AP274" s="41"/>
      <c r="AQ274" s="41"/>
      <c r="AR274" s="41"/>
      <c r="AS274" s="450">
        <f>'AVT-celny-2x187'!BI62</f>
        <v>0</v>
      </c>
      <c r="AT274" s="41"/>
      <c r="AU274" s="450">
        <f>'AVT-celny-2x187In'!BI52</f>
        <v>0</v>
      </c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203"/>
      <c r="BP274" s="203"/>
      <c r="BQ274" s="203"/>
      <c r="BR274" s="203"/>
      <c r="BS274" s="203"/>
      <c r="BT274" s="203"/>
      <c r="BU274" s="203"/>
      <c r="BV274" s="203"/>
      <c r="BW274" s="62"/>
      <c r="BX274" s="185"/>
      <c r="BY274" s="35"/>
      <c r="BZ274" s="27"/>
      <c r="CA274" s="27"/>
      <c r="CB274" s="27"/>
      <c r="CC274" s="27"/>
      <c r="CD274" s="27"/>
      <c r="CE274" s="27"/>
      <c r="CF274" s="27"/>
    </row>
    <row r="275" spans="1:84" ht="15" customHeight="1">
      <c r="A275" s="4"/>
      <c r="B275" s="440">
        <f>CENY!B638</f>
        <v>9257028</v>
      </c>
      <c r="C275" s="48" t="str">
        <f>VLOOKUP(B275,CENY!$B$11:$G$1034,2,FALSE)</f>
        <v>ACTRO YOU 70KG PLNOVÝSUV 650 MM EB21 SILENT SYSTEM PRAVÝ</v>
      </c>
      <c r="D275" s="488">
        <f>VLOOKUP(B275,CENY!$B$11:$G$1034,3,FALSE)</f>
        <v>5</v>
      </c>
      <c r="E275" s="63" t="str">
        <f>IF(VLOOKUP(B275,CENY!$B$11:$G$1034,4,FALSE)=0,"",VLOOKUP(B275,CENY!$B$11:$G$1034,4,FALSE))</f>
        <v/>
      </c>
      <c r="F275" s="45" t="str">
        <f t="shared" si="42"/>
        <v/>
      </c>
      <c r="G275" s="59">
        <f>VLOOKUP(B275,CENY!$B$11:$M$1034,12,FALSE)</f>
        <v>377.39</v>
      </c>
      <c r="H275" s="61" t="str">
        <f t="shared" si="37"/>
        <v xml:space="preserve"> CZK</v>
      </c>
      <c r="I275" s="46" t="str">
        <f t="shared" si="38"/>
        <v/>
      </c>
      <c r="J275" s="138"/>
      <c r="K275" s="47">
        <f>VLOOKUP(B275,CENY!$B$11:$M$1034,8,FALSE)</f>
        <v>0</v>
      </c>
      <c r="L275" s="47" t="str">
        <f>VLOOKUP(B275,CENY!$B$11:$M$1034,9,FALSE)</f>
        <v xml:space="preserve"> </v>
      </c>
      <c r="M275" s="55"/>
      <c r="N275" s="38">
        <f t="shared" si="43"/>
        <v>0</v>
      </c>
      <c r="O275" s="39">
        <v>0</v>
      </c>
      <c r="P275" s="41"/>
      <c r="Q275" s="450">
        <f>'AVT101'!BI70</f>
        <v>0</v>
      </c>
      <c r="R275" s="41"/>
      <c r="S275" s="41"/>
      <c r="T275" s="41"/>
      <c r="U275" s="450">
        <f>'AVT187'!BI70</f>
        <v>0</v>
      </c>
      <c r="V275" s="41"/>
      <c r="W275" s="450">
        <f>'AVT251'!BI57</f>
        <v>0</v>
      </c>
      <c r="X275" s="41"/>
      <c r="Y275" s="450">
        <f>AVT187In!BI56</f>
        <v>0</v>
      </c>
      <c r="Z275" s="41"/>
      <c r="AA275" s="450">
        <f>'AVT101(vn-A)'!BI70</f>
        <v>0</v>
      </c>
      <c r="AB275" s="41"/>
      <c r="AC275" s="41"/>
      <c r="AD275" s="41"/>
      <c r="AE275" s="450">
        <f>'AVT187(vn-A)'!BI70</f>
        <v>0</v>
      </c>
      <c r="AF275" s="41"/>
      <c r="AG275" s="450">
        <f>'AVT187In(vn-A)'!BI56</f>
        <v>0</v>
      </c>
      <c r="AH275" s="41"/>
      <c r="AI275" s="450">
        <f>'AVT187(vn-S)'!BI70</f>
        <v>0</v>
      </c>
      <c r="AJ275" s="41"/>
      <c r="AK275" s="450">
        <f>'AVT187In(vn-S)'!BI56</f>
        <v>0</v>
      </c>
      <c r="AL275" s="41"/>
      <c r="AM275" s="41"/>
      <c r="AN275" s="41"/>
      <c r="AO275" s="450">
        <f>'AVT-celny-101+187'!BI83</f>
        <v>0</v>
      </c>
      <c r="AP275" s="41"/>
      <c r="AQ275" s="41"/>
      <c r="AR275" s="41"/>
      <c r="AS275" s="450">
        <f>'AVT-celny-2x187'!BI63</f>
        <v>0</v>
      </c>
      <c r="AT275" s="41"/>
      <c r="AU275" s="450">
        <f>'AVT-celny-2x187In'!BI53</f>
        <v>0</v>
      </c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203"/>
      <c r="BP275" s="203"/>
      <c r="BQ275" s="203"/>
      <c r="BR275" s="203"/>
      <c r="BS275" s="203"/>
      <c r="BT275" s="203"/>
      <c r="BU275" s="203"/>
      <c r="BV275" s="203"/>
      <c r="BW275" s="62"/>
      <c r="BX275" s="185"/>
      <c r="BY275" s="35"/>
      <c r="BZ275" s="27"/>
      <c r="CA275" s="27"/>
      <c r="CB275" s="27"/>
      <c r="CC275" s="27"/>
      <c r="CD275" s="27"/>
      <c r="CE275" s="27"/>
      <c r="CF275" s="27"/>
    </row>
    <row r="276" spans="1:84" ht="8.1" customHeight="1">
      <c r="A276" s="4"/>
      <c r="B276" s="142"/>
      <c r="C276" s="48"/>
      <c r="D276" s="44"/>
      <c r="E276" s="63"/>
      <c r="F276" s="67"/>
      <c r="G276" s="59"/>
      <c r="H276" s="61"/>
      <c r="I276" s="46"/>
      <c r="J276" s="138"/>
      <c r="K276" s="47"/>
      <c r="L276" s="47"/>
      <c r="M276" s="55"/>
      <c r="N276" s="38"/>
      <c r="O276" s="39">
        <v>0</v>
      </c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203"/>
      <c r="BP276" s="203"/>
      <c r="BQ276" s="203"/>
      <c r="BR276" s="203"/>
      <c r="BS276" s="203"/>
      <c r="BT276" s="203"/>
      <c r="BU276" s="203"/>
      <c r="BV276" s="203"/>
      <c r="BW276" s="62"/>
      <c r="BX276" s="185"/>
      <c r="BY276" s="35"/>
      <c r="BZ276" s="27"/>
      <c r="CA276" s="27"/>
      <c r="CB276" s="27"/>
      <c r="CC276" s="27"/>
      <c r="CD276" s="27"/>
      <c r="CE276" s="27"/>
      <c r="CF276" s="27"/>
    </row>
    <row r="277" spans="1:84" ht="15" customHeight="1">
      <c r="A277" s="4"/>
      <c r="B277" s="440">
        <f>CENY!B640</f>
        <v>9257890</v>
      </c>
      <c r="C277" s="48" t="str">
        <f>VLOOKUP(B277,CENY!$B$11:$G$1034,2,FALSE)</f>
        <v>PUSH TO OPEN SILENT ACTRO YOU / ACTRO 5D 10 KG</v>
      </c>
      <c r="D277" s="490">
        <f>VLOOKUP(B277,CENY!$B$11:$G$1034,3,FALSE)</f>
        <v>1</v>
      </c>
      <c r="E277" s="63" t="str">
        <f>IF(VLOOKUP(B277,CENY!$B$11:$G$1034,4,FALSE)=0,"",VLOOKUP(B277,CENY!$B$11:$G$1034,4,FALSE))</f>
        <v/>
      </c>
      <c r="F277" s="45" t="str">
        <f t="shared" ref="F277:F285" si="44">IF(J277&lt;&gt;"",J277,IF(N277=0,"",N277))</f>
        <v/>
      </c>
      <c r="G277" s="59">
        <f>VLOOKUP(B277,CENY!$B$11:$M$1034,12,FALSE)</f>
        <v>544.37</v>
      </c>
      <c r="H277" s="61" t="str">
        <f t="shared" si="37"/>
        <v xml:space="preserve"> CZK</v>
      </c>
      <c r="I277" s="46" t="str">
        <f t="shared" si="38"/>
        <v/>
      </c>
      <c r="J277" s="138"/>
      <c r="K277" s="47">
        <f>VLOOKUP(B277,CENY!$B$11:$M$1034,8,FALSE)</f>
        <v>0</v>
      </c>
      <c r="L277" s="47" t="str">
        <f>VLOOKUP(B277,CENY!$B$11:$M$1034,9,FALSE)</f>
        <v xml:space="preserve"> </v>
      </c>
      <c r="M277" s="55"/>
      <c r="N277" s="38">
        <f t="shared" ref="N277:N285" si="45">SUM(P277:BX277)</f>
        <v>0</v>
      </c>
      <c r="O277" s="39">
        <v>0</v>
      </c>
      <c r="P277" s="450">
        <f>'AVT101'!AZ44</f>
        <v>0</v>
      </c>
      <c r="Q277" s="450">
        <f>'AVT101'!BI72</f>
        <v>0</v>
      </c>
      <c r="R277" s="450">
        <f>'AVT139'!AZ37</f>
        <v>0</v>
      </c>
      <c r="S277" s="450">
        <f>'AVT139'!BI60</f>
        <v>0</v>
      </c>
      <c r="T277" s="450">
        <f>'AVT187'!AZ44</f>
        <v>0</v>
      </c>
      <c r="U277" s="450">
        <f>'AVT187'!BI72</f>
        <v>0</v>
      </c>
      <c r="V277" s="450">
        <f>'AVT251'!AZ36</f>
        <v>0</v>
      </c>
      <c r="W277" s="450">
        <f>'AVT251'!BI59</f>
        <v>0</v>
      </c>
      <c r="X277" s="450">
        <f>AVT187In!AZ36</f>
        <v>0</v>
      </c>
      <c r="Y277" s="450">
        <f>AVT187In!BI58</f>
        <v>0</v>
      </c>
      <c r="Z277" s="450">
        <f>'AVT101(vn-A)'!AZ44</f>
        <v>0</v>
      </c>
      <c r="AA277" s="450">
        <f>'AVT101(vn-A)'!BI72</f>
        <v>0</v>
      </c>
      <c r="AB277" s="450">
        <f>'AVT139(vn-A)'!AZ37</f>
        <v>0</v>
      </c>
      <c r="AC277" s="450">
        <f>'AVT139(vn-A)'!BI60</f>
        <v>0</v>
      </c>
      <c r="AD277" s="450">
        <f>'AVT187(vn-A)'!AZ44</f>
        <v>0</v>
      </c>
      <c r="AE277" s="450">
        <f>'AVT187(vn-A)'!BI72</f>
        <v>0</v>
      </c>
      <c r="AF277" s="450">
        <f>'AVT187In(vn-A)'!AZ36</f>
        <v>0</v>
      </c>
      <c r="AG277" s="450">
        <f>'AVT187In(vn-A)'!BI58</f>
        <v>0</v>
      </c>
      <c r="AH277" s="450">
        <f>'AVT187(vn-S)'!AZ44</f>
        <v>0</v>
      </c>
      <c r="AI277" s="450">
        <f>'AVT187(vn-S)'!BI72</f>
        <v>0</v>
      </c>
      <c r="AJ277" s="450">
        <f>'AVT187In(vn-S)'!AZ36</f>
        <v>0</v>
      </c>
      <c r="AK277" s="450">
        <f>'AVT187In(vn-S)'!BI58</f>
        <v>0</v>
      </c>
      <c r="AL277" s="450">
        <f>'AVT77'!AZ24</f>
        <v>0</v>
      </c>
      <c r="AM277" s="450">
        <f>'AVT77'!BI38</f>
        <v>0</v>
      </c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203"/>
      <c r="BP277" s="203"/>
      <c r="BQ277" s="203"/>
      <c r="BR277" s="203"/>
      <c r="BS277" s="203"/>
      <c r="BT277" s="203"/>
      <c r="BU277" s="203"/>
      <c r="BV277" s="203"/>
      <c r="BW277" s="62"/>
      <c r="BX277" s="185"/>
      <c r="BY277" s="35"/>
      <c r="BZ277" s="27"/>
      <c r="CA277" s="27"/>
      <c r="CB277" s="27"/>
      <c r="CC277" s="27"/>
      <c r="CD277" s="27"/>
      <c r="CE277" s="27"/>
      <c r="CF277" s="27"/>
    </row>
    <row r="278" spans="1:84" ht="15" customHeight="1">
      <c r="A278" s="4"/>
      <c r="B278" s="440">
        <f>CENY!B641</f>
        <v>9257891</v>
      </c>
      <c r="C278" s="48" t="str">
        <f>VLOOKUP(B278,CENY!$B$11:$G$1034,2,FALSE)</f>
        <v>PUSH TO OPEN SILENT ACTRO YOU / ACTRO 5D 20 KG</v>
      </c>
      <c r="D278" s="490">
        <f>VLOOKUP(B278,CENY!$B$11:$G$1034,3,FALSE)</f>
        <v>1</v>
      </c>
      <c r="E278" s="63" t="str">
        <f>IF(VLOOKUP(B278,CENY!$B$11:$G$1034,4,FALSE)=0,"",VLOOKUP(B278,CENY!$B$11:$G$1034,4,FALSE))</f>
        <v/>
      </c>
      <c r="F278" s="45" t="str">
        <f t="shared" si="44"/>
        <v/>
      </c>
      <c r="G278" s="59">
        <f>VLOOKUP(B278,CENY!$B$11:$M$1034,12,FALSE)</f>
        <v>544.37</v>
      </c>
      <c r="H278" s="61" t="str">
        <f t="shared" si="37"/>
        <v xml:space="preserve"> CZK</v>
      </c>
      <c r="I278" s="46" t="str">
        <f t="shared" si="38"/>
        <v/>
      </c>
      <c r="J278" s="138"/>
      <c r="K278" s="47">
        <f>VLOOKUP(B278,CENY!$B$11:$M$1034,8,FALSE)</f>
        <v>0</v>
      </c>
      <c r="L278" s="47" t="str">
        <f>VLOOKUP(B278,CENY!$B$11:$M$1034,9,FALSE)</f>
        <v xml:space="preserve"> </v>
      </c>
      <c r="M278" s="55"/>
      <c r="N278" s="38">
        <f t="shared" si="45"/>
        <v>0</v>
      </c>
      <c r="O278" s="39">
        <v>0</v>
      </c>
      <c r="P278" s="450">
        <f>'AVT101'!AZ45</f>
        <v>0</v>
      </c>
      <c r="Q278" s="450">
        <f>'AVT101'!BI73</f>
        <v>0</v>
      </c>
      <c r="R278" s="450">
        <f>'AVT139'!AZ38</f>
        <v>0</v>
      </c>
      <c r="S278" s="450">
        <f>'AVT139'!BI61</f>
        <v>0</v>
      </c>
      <c r="T278" s="450">
        <f>'AVT187'!AZ45</f>
        <v>0</v>
      </c>
      <c r="U278" s="450">
        <f>'AVT187'!BI73</f>
        <v>0</v>
      </c>
      <c r="V278" s="450">
        <f>'AVT251'!AZ37</f>
        <v>0</v>
      </c>
      <c r="W278" s="450">
        <f>'AVT251'!BI60</f>
        <v>0</v>
      </c>
      <c r="X278" s="450">
        <f>AVT187In!AZ37</f>
        <v>0</v>
      </c>
      <c r="Y278" s="450">
        <f>AVT187In!BI59</f>
        <v>0</v>
      </c>
      <c r="Z278" s="450">
        <f>'AVT101(vn-A)'!AZ45</f>
        <v>0</v>
      </c>
      <c r="AA278" s="450">
        <f>'AVT101(vn-A)'!BI73</f>
        <v>0</v>
      </c>
      <c r="AB278" s="450">
        <f>'AVT139(vn-A)'!AZ38</f>
        <v>0</v>
      </c>
      <c r="AC278" s="450">
        <f>'AVT139(vn-A)'!BI61</f>
        <v>0</v>
      </c>
      <c r="AD278" s="450">
        <f>'AVT187(vn-A)'!AZ45</f>
        <v>0</v>
      </c>
      <c r="AE278" s="450">
        <f>'AVT187(vn-A)'!BI73</f>
        <v>0</v>
      </c>
      <c r="AF278" s="450">
        <f>'AVT187In(vn-A)'!AZ37</f>
        <v>0</v>
      </c>
      <c r="AG278" s="450">
        <f>'AVT187In(vn-A)'!BI59</f>
        <v>0</v>
      </c>
      <c r="AH278" s="450">
        <f>'AVT187(vn-S)'!AZ45</f>
        <v>0</v>
      </c>
      <c r="AI278" s="450">
        <f>'AVT187(vn-S)'!BI73</f>
        <v>0</v>
      </c>
      <c r="AJ278" s="450">
        <f>'AVT187In(vn-S)'!AZ37</f>
        <v>0</v>
      </c>
      <c r="AK278" s="450">
        <f>'AVT187In(vn-S)'!BI59</f>
        <v>0</v>
      </c>
      <c r="AL278" s="450">
        <f>'AVT77'!AZ25</f>
        <v>0</v>
      </c>
      <c r="AM278" s="450">
        <f>'AVT77'!BI39</f>
        <v>0</v>
      </c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203"/>
      <c r="BP278" s="203"/>
      <c r="BQ278" s="203"/>
      <c r="BR278" s="203"/>
      <c r="BS278" s="203"/>
      <c r="BT278" s="203"/>
      <c r="BU278" s="203"/>
      <c r="BV278" s="203"/>
      <c r="BW278" s="62"/>
      <c r="BX278" s="185"/>
      <c r="BY278" s="35"/>
      <c r="BZ278" s="27"/>
      <c r="CA278" s="27"/>
      <c r="CB278" s="27"/>
      <c r="CC278" s="27"/>
      <c r="CD278" s="27"/>
      <c r="CE278" s="27"/>
      <c r="CF278" s="27"/>
    </row>
    <row r="279" spans="1:84" ht="15" customHeight="1">
      <c r="A279" s="4"/>
      <c r="B279" s="440">
        <f>CENY!B642</f>
        <v>9257892</v>
      </c>
      <c r="C279" s="48" t="str">
        <f>VLOOKUP(B279,CENY!$B$11:$G$1034,2,FALSE)</f>
        <v>PUSH TO OPEN SILENT ACTRO YOU / ACTRO 5D 40 KG</v>
      </c>
      <c r="D279" s="490">
        <f>VLOOKUP(B279,CENY!$B$11:$G$1034,3,FALSE)</f>
        <v>1</v>
      </c>
      <c r="E279" s="63" t="str">
        <f>IF(VLOOKUP(B279,CENY!$B$11:$G$1034,4,FALSE)=0,"",VLOOKUP(B279,CENY!$B$11:$G$1034,4,FALSE))</f>
        <v/>
      </c>
      <c r="F279" s="45" t="str">
        <f t="shared" si="44"/>
        <v/>
      </c>
      <c r="G279" s="59">
        <f>VLOOKUP(B279,CENY!$B$11:$M$1034,12,FALSE)</f>
        <v>544.37</v>
      </c>
      <c r="H279" s="61" t="str">
        <f t="shared" si="37"/>
        <v xml:space="preserve"> CZK</v>
      </c>
      <c r="I279" s="46" t="str">
        <f t="shared" si="38"/>
        <v/>
      </c>
      <c r="J279" s="138"/>
      <c r="K279" s="47">
        <f>VLOOKUP(B279,CENY!$B$11:$M$1034,8,FALSE)</f>
        <v>0</v>
      </c>
      <c r="L279" s="47" t="str">
        <f>VLOOKUP(B279,CENY!$B$11:$M$1034,9,FALSE)</f>
        <v xml:space="preserve"> </v>
      </c>
      <c r="M279" s="55"/>
      <c r="N279" s="38">
        <f t="shared" si="45"/>
        <v>0</v>
      </c>
      <c r="O279" s="39">
        <v>0</v>
      </c>
      <c r="P279" s="450">
        <f>'AVT101'!AZ46</f>
        <v>0</v>
      </c>
      <c r="Q279" s="450">
        <f>'AVT101'!BI74</f>
        <v>0</v>
      </c>
      <c r="R279" s="450">
        <f>'AVT139'!AZ39</f>
        <v>0</v>
      </c>
      <c r="S279" s="450">
        <f>'AVT139'!BI62</f>
        <v>0</v>
      </c>
      <c r="T279" s="450">
        <f>'AVT187'!AZ46</f>
        <v>0</v>
      </c>
      <c r="U279" s="450">
        <f>'AVT187'!BI74</f>
        <v>0</v>
      </c>
      <c r="V279" s="450">
        <f>'AVT251'!AZ38</f>
        <v>0</v>
      </c>
      <c r="W279" s="450">
        <f>'AVT251'!BI61</f>
        <v>0</v>
      </c>
      <c r="X279" s="450">
        <f>AVT187In!AZ38</f>
        <v>0</v>
      </c>
      <c r="Y279" s="450">
        <f>AVT187In!BI60</f>
        <v>0</v>
      </c>
      <c r="Z279" s="450">
        <f>'AVT101(vn-A)'!AZ46</f>
        <v>0</v>
      </c>
      <c r="AA279" s="450">
        <f>'AVT101(vn-A)'!BI74</f>
        <v>0</v>
      </c>
      <c r="AB279" s="450">
        <f>'AVT139(vn-A)'!AZ39</f>
        <v>0</v>
      </c>
      <c r="AC279" s="450">
        <f>'AVT139(vn-A)'!BI62</f>
        <v>0</v>
      </c>
      <c r="AD279" s="450">
        <f>'AVT187(vn-A)'!AZ46</f>
        <v>0</v>
      </c>
      <c r="AE279" s="450">
        <f>'AVT187(vn-A)'!BI74</f>
        <v>0</v>
      </c>
      <c r="AF279" s="450">
        <f>'AVT187In(vn-A)'!AZ38</f>
        <v>0</v>
      </c>
      <c r="AG279" s="450">
        <f>'AVT187In(vn-A)'!BI60</f>
        <v>0</v>
      </c>
      <c r="AH279" s="450">
        <f>'AVT187(vn-S)'!AZ46</f>
        <v>0</v>
      </c>
      <c r="AI279" s="450">
        <f>'AVT187(vn-S)'!BI74</f>
        <v>0</v>
      </c>
      <c r="AJ279" s="450">
        <f>'AVT187In(vn-S)'!AZ38</f>
        <v>0</v>
      </c>
      <c r="AK279" s="450">
        <f>'AVT187In(vn-S)'!BI60</f>
        <v>0</v>
      </c>
      <c r="AL279" s="450">
        <f>'AVT77'!AZ26</f>
        <v>0</v>
      </c>
      <c r="AM279" s="450">
        <f>'AVT77'!BI40</f>
        <v>0</v>
      </c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203"/>
      <c r="BP279" s="203"/>
      <c r="BQ279" s="203"/>
      <c r="BR279" s="203"/>
      <c r="BS279" s="203"/>
      <c r="BT279" s="203"/>
      <c r="BU279" s="203"/>
      <c r="BV279" s="203"/>
      <c r="BW279" s="62"/>
      <c r="BX279" s="185"/>
      <c r="BY279" s="35"/>
      <c r="BZ279" s="27"/>
      <c r="CA279" s="27"/>
      <c r="CB279" s="27"/>
      <c r="CC279" s="27"/>
      <c r="CD279" s="27"/>
      <c r="CE279" s="27"/>
      <c r="CF279" s="27"/>
    </row>
    <row r="280" spans="1:84" ht="15" customHeight="1">
      <c r="A280" s="4"/>
      <c r="B280" s="440">
        <f>CENY!B643</f>
        <v>9257893</v>
      </c>
      <c r="C280" s="48" t="str">
        <f>VLOOKUP(B280,CENY!$B$11:$G$1034,2,FALSE)</f>
        <v>PUSH TO OPEN SILENT ACTRO YOU / ACTRO 5D 70 KG</v>
      </c>
      <c r="D280" s="490">
        <f>VLOOKUP(B280,CENY!$B$11:$G$1034,3,FALSE)</f>
        <v>1</v>
      </c>
      <c r="E280" s="63" t="str">
        <f>IF(VLOOKUP(B280,CENY!$B$11:$G$1034,4,FALSE)=0,"",VLOOKUP(B280,CENY!$B$11:$G$1034,4,FALSE))</f>
        <v/>
      </c>
      <c r="F280" s="45" t="str">
        <f t="shared" si="44"/>
        <v/>
      </c>
      <c r="G280" s="59">
        <f>VLOOKUP(B280,CENY!$B$11:$M$1034,12,FALSE)</f>
        <v>544.37</v>
      </c>
      <c r="H280" s="61" t="str">
        <f t="shared" si="37"/>
        <v xml:space="preserve"> CZK</v>
      </c>
      <c r="I280" s="46" t="str">
        <f t="shared" si="38"/>
        <v/>
      </c>
      <c r="J280" s="138"/>
      <c r="K280" s="47">
        <f>VLOOKUP(B280,CENY!$B$11:$M$1034,8,FALSE)</f>
        <v>0</v>
      </c>
      <c r="L280" s="47" t="str">
        <f>VLOOKUP(B280,CENY!$B$11:$M$1034,9,FALSE)</f>
        <v xml:space="preserve"> </v>
      </c>
      <c r="M280" s="55"/>
      <c r="N280" s="38">
        <f t="shared" si="45"/>
        <v>0</v>
      </c>
      <c r="O280" s="39">
        <v>0</v>
      </c>
      <c r="P280" s="450">
        <f>'AVT101'!AZ47</f>
        <v>0</v>
      </c>
      <c r="Q280" s="450">
        <f>'AVT101'!BI75</f>
        <v>0</v>
      </c>
      <c r="R280" s="450">
        <f>'AVT139'!AZ40</f>
        <v>0</v>
      </c>
      <c r="S280" s="450">
        <f>'AVT139'!BI63</f>
        <v>0</v>
      </c>
      <c r="T280" s="450">
        <f>'AVT187'!AZ47</f>
        <v>0</v>
      </c>
      <c r="U280" s="450">
        <f>'AVT187'!BI75</f>
        <v>0</v>
      </c>
      <c r="V280" s="450">
        <f>'AVT251'!AZ39</f>
        <v>0</v>
      </c>
      <c r="W280" s="450">
        <f>'AVT251'!BI62</f>
        <v>0</v>
      </c>
      <c r="X280" s="450">
        <f>AVT187In!AZ39</f>
        <v>0</v>
      </c>
      <c r="Y280" s="450">
        <f>AVT187In!BI61</f>
        <v>0</v>
      </c>
      <c r="Z280" s="450">
        <f>'AVT101(vn-A)'!AZ47</f>
        <v>0</v>
      </c>
      <c r="AA280" s="450">
        <f>'AVT101(vn-A)'!BI75</f>
        <v>0</v>
      </c>
      <c r="AB280" s="450">
        <f>'AVT139(vn-A)'!AZ40</f>
        <v>0</v>
      </c>
      <c r="AC280" s="450">
        <f>'AVT139(vn-A)'!BI63</f>
        <v>0</v>
      </c>
      <c r="AD280" s="450">
        <f>'AVT187(vn-A)'!AZ47</f>
        <v>0</v>
      </c>
      <c r="AE280" s="450">
        <f>'AVT187(vn-A)'!BI75</f>
        <v>0</v>
      </c>
      <c r="AF280" s="450">
        <f>'AVT187In(vn-A)'!AZ39</f>
        <v>0</v>
      </c>
      <c r="AG280" s="450">
        <f>'AVT187In(vn-A)'!BI61</f>
        <v>0</v>
      </c>
      <c r="AH280" s="450">
        <f>'AVT187(vn-S)'!AZ47</f>
        <v>0</v>
      </c>
      <c r="AI280" s="450">
        <f>'AVT187(vn-S)'!BI75</f>
        <v>0</v>
      </c>
      <c r="AJ280" s="450">
        <f>'AVT187In(vn-S)'!AZ39</f>
        <v>0</v>
      </c>
      <c r="AK280" s="450">
        <f>'AVT187In(vn-S)'!BI61</f>
        <v>0</v>
      </c>
      <c r="AL280" s="450">
        <f>'AVT77'!AZ27</f>
        <v>0</v>
      </c>
      <c r="AM280" s="450">
        <f>'AVT77'!BI41</f>
        <v>0</v>
      </c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203"/>
      <c r="BP280" s="203"/>
      <c r="BQ280" s="203"/>
      <c r="BR280" s="203"/>
      <c r="BS280" s="203"/>
      <c r="BT280" s="203"/>
      <c r="BU280" s="203"/>
      <c r="BV280" s="203"/>
      <c r="BW280" s="62"/>
      <c r="BX280" s="185"/>
      <c r="BY280" s="35"/>
      <c r="BZ280" s="27"/>
      <c r="CA280" s="27"/>
      <c r="CB280" s="27"/>
      <c r="CC280" s="27"/>
      <c r="CD280" s="27"/>
      <c r="CE280" s="27"/>
      <c r="CF280" s="27"/>
    </row>
    <row r="281" spans="1:84" ht="15" customHeight="1">
      <c r="A281" s="4"/>
      <c r="B281" s="440">
        <f>CENY!B644</f>
        <v>9236718</v>
      </c>
      <c r="C281" s="48" t="str">
        <f>VLOOKUP(B281,CENY!$B$11:$G$1034,2,FALSE)</f>
        <v>PUSH TO OPEN SYNCHRONIZAČNÍ TYČ 2000 MM</v>
      </c>
      <c r="D281" s="489">
        <f>VLOOKUP(B281,CENY!$B$11:$G$1034,3,FALSE)</f>
        <v>100</v>
      </c>
      <c r="E281" s="63" t="str">
        <f>IF(VLOOKUP(B281,CENY!$B$11:$G$1034,4,FALSE)=0,"",VLOOKUP(B281,CENY!$B$11:$G$1034,4,FALSE))</f>
        <v/>
      </c>
      <c r="F281" s="45" t="str">
        <f t="shared" si="44"/>
        <v/>
      </c>
      <c r="G281" s="59">
        <f>VLOOKUP(B281,CENY!$B$11:$M$1034,12,FALSE)</f>
        <v>144.30000000000001</v>
      </c>
      <c r="H281" s="61" t="str">
        <f t="shared" si="37"/>
        <v xml:space="preserve"> CZK</v>
      </c>
      <c r="I281" s="46" t="str">
        <f t="shared" si="38"/>
        <v/>
      </c>
      <c r="J281" s="138"/>
      <c r="K281" s="47">
        <f>VLOOKUP(B281,CENY!$B$11:$M$1034,8,FALSE)</f>
        <v>0</v>
      </c>
      <c r="L281" s="47" t="str">
        <f>VLOOKUP(B281,CENY!$B$11:$M$1034,9,FALSE)</f>
        <v xml:space="preserve"> </v>
      </c>
      <c r="M281" s="55"/>
      <c r="N281" s="38">
        <f t="shared" si="45"/>
        <v>0</v>
      </c>
      <c r="O281" s="39">
        <v>0</v>
      </c>
      <c r="P281" s="450">
        <f>'AVT101'!AZ48</f>
        <v>0</v>
      </c>
      <c r="Q281" s="450">
        <f>'AVT101'!BI76</f>
        <v>0</v>
      </c>
      <c r="R281" s="450">
        <f>'AVT139'!AZ41</f>
        <v>0</v>
      </c>
      <c r="S281" s="450">
        <f>'AVT139'!BI64</f>
        <v>0</v>
      </c>
      <c r="T281" s="450">
        <f>'AVT187'!AZ48</f>
        <v>0</v>
      </c>
      <c r="U281" s="450">
        <f>'AVT187'!BI76</f>
        <v>0</v>
      </c>
      <c r="V281" s="450">
        <f>'AVT251'!AZ40</f>
        <v>0</v>
      </c>
      <c r="W281" s="450">
        <f>'AVT251'!BI63</f>
        <v>0</v>
      </c>
      <c r="X281" s="450">
        <f>AVT187In!AZ40</f>
        <v>0</v>
      </c>
      <c r="Y281" s="450">
        <f>AVT187In!BI62</f>
        <v>0</v>
      </c>
      <c r="Z281" s="450">
        <f>'AVT101(vn-A)'!AZ48</f>
        <v>0</v>
      </c>
      <c r="AA281" s="450">
        <f>'AVT101(vn-A)'!BI76</f>
        <v>0</v>
      </c>
      <c r="AB281" s="450">
        <f>'AVT139(vn-A)'!AZ41</f>
        <v>0</v>
      </c>
      <c r="AC281" s="450">
        <f>'AVT139(vn-A)'!BI64</f>
        <v>0</v>
      </c>
      <c r="AD281" s="450">
        <f>'AVT187(vn-A)'!AZ48</f>
        <v>0</v>
      </c>
      <c r="AE281" s="450">
        <f>'AVT187(vn-A)'!BI76</f>
        <v>0</v>
      </c>
      <c r="AF281" s="450">
        <f>'AVT187In(vn-A)'!AZ40</f>
        <v>0</v>
      </c>
      <c r="AG281" s="450">
        <f>'AVT187In(vn-A)'!BI62</f>
        <v>0</v>
      </c>
      <c r="AH281" s="450">
        <f>'AVT187(vn-S)'!AZ48</f>
        <v>0</v>
      </c>
      <c r="AI281" s="450">
        <f>'AVT187(vn-S)'!BI76</f>
        <v>0</v>
      </c>
      <c r="AJ281" s="450">
        <f>'AVT187In(vn-S)'!AZ40</f>
        <v>0</v>
      </c>
      <c r="AK281" s="450">
        <f>'AVT187In(vn-S)'!BI62</f>
        <v>0</v>
      </c>
      <c r="AL281" s="450">
        <f>'AVT77'!AZ28</f>
        <v>0</v>
      </c>
      <c r="AM281" s="450">
        <f>'AVT77'!BI42</f>
        <v>0</v>
      </c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203"/>
      <c r="BP281" s="203"/>
      <c r="BQ281" s="203"/>
      <c r="BR281" s="203"/>
      <c r="BS281" s="203"/>
      <c r="BT281" s="203"/>
      <c r="BU281" s="203"/>
      <c r="BV281" s="203"/>
      <c r="BW281" s="62"/>
      <c r="BX281" s="185"/>
      <c r="BY281" s="35"/>
      <c r="BZ281" s="27"/>
      <c r="CA281" s="27"/>
      <c r="CB281" s="27"/>
      <c r="CC281" s="27"/>
      <c r="CD281" s="27"/>
      <c r="CE281" s="27"/>
      <c r="CF281" s="27"/>
    </row>
    <row r="282" spans="1:84" ht="15" customHeight="1">
      <c r="A282" s="4"/>
      <c r="B282" s="440">
        <f>CENY!B645</f>
        <v>9221295</v>
      </c>
      <c r="C282" s="48" t="str">
        <f>VLOOKUP(B282,CENY!$B$11:$G$1034,2,FALSE)</f>
        <v>PUSH TO OPEN SYNCHRO SPOJKA</v>
      </c>
      <c r="D282" s="489">
        <f>VLOOKUP(B282,CENY!$B$11:$G$1034,3,FALSE)</f>
        <v>20</v>
      </c>
      <c r="E282" s="63" t="str">
        <f>IF(VLOOKUP(B282,CENY!$B$11:$G$1034,4,FALSE)=0,"",VLOOKUP(B282,CENY!$B$11:$G$1034,4,FALSE))</f>
        <v/>
      </c>
      <c r="F282" s="45" t="str">
        <f t="shared" si="44"/>
        <v/>
      </c>
      <c r="G282" s="59">
        <f>VLOOKUP(B282,CENY!$B$11:$M$1034,12,FALSE)</f>
        <v>13.07</v>
      </c>
      <c r="H282" s="61" t="str">
        <f t="shared" si="37"/>
        <v xml:space="preserve"> CZK</v>
      </c>
      <c r="I282" s="46" t="str">
        <f t="shared" si="38"/>
        <v/>
      </c>
      <c r="J282" s="138"/>
      <c r="K282" s="47">
        <f>VLOOKUP(B282,CENY!$B$11:$M$1034,8,FALSE)</f>
        <v>0</v>
      </c>
      <c r="L282" s="47" t="str">
        <f>VLOOKUP(B282,CENY!$B$11:$M$1034,9,FALSE)</f>
        <v xml:space="preserve"> </v>
      </c>
      <c r="M282" s="55"/>
      <c r="N282" s="38">
        <f t="shared" si="45"/>
        <v>0</v>
      </c>
      <c r="O282" s="39">
        <v>0</v>
      </c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203"/>
      <c r="BP282" s="203"/>
      <c r="BQ282" s="203"/>
      <c r="BR282" s="203"/>
      <c r="BS282" s="203"/>
      <c r="BT282" s="203"/>
      <c r="BU282" s="203"/>
      <c r="BV282" s="203"/>
      <c r="BW282" s="62"/>
      <c r="BX282" s="185"/>
      <c r="BY282" s="35"/>
      <c r="BZ282" s="27"/>
      <c r="CA282" s="27"/>
      <c r="CB282" s="27"/>
      <c r="CC282" s="27"/>
      <c r="CD282" s="27"/>
      <c r="CE282" s="27"/>
      <c r="CF282" s="27"/>
    </row>
    <row r="283" spans="1:84" ht="15" customHeight="1">
      <c r="A283" s="4"/>
      <c r="B283" s="440">
        <f>CENY!B646</f>
        <v>9278452</v>
      </c>
      <c r="C283" s="48" t="str">
        <f>VLOOKUP(B283,CENY!$B$11:$G$1034,2,FALSE)</f>
        <v>PUSH TO OPEN SILENT ACTRO YOU MULTISYNCHRO - SPOJKA</v>
      </c>
      <c r="D283" s="489">
        <f>VLOOKUP(B283,CENY!$B$11:$G$1034,3,FALSE)</f>
        <v>20</v>
      </c>
      <c r="E283" s="63" t="str">
        <f>IF(VLOOKUP(B283,CENY!$B$11:$G$1034,4,FALSE)=0,"",VLOOKUP(B283,CENY!$B$11:$G$1034,4,FALSE))</f>
        <v/>
      </c>
      <c r="F283" s="45" t="str">
        <f t="shared" si="44"/>
        <v/>
      </c>
      <c r="G283" s="59">
        <f>VLOOKUP(B283,CENY!$B$11:$M$1034,12,FALSE)</f>
        <v>35.33</v>
      </c>
      <c r="H283" s="61" t="str">
        <f t="shared" si="37"/>
        <v xml:space="preserve"> CZK</v>
      </c>
      <c r="I283" s="46" t="str">
        <f t="shared" si="38"/>
        <v/>
      </c>
      <c r="J283" s="138"/>
      <c r="K283" s="47">
        <f>VLOOKUP(B283,CENY!$B$11:$M$1034,8,FALSE)</f>
        <v>0</v>
      </c>
      <c r="L283" s="47" t="str">
        <f>VLOOKUP(B283,CENY!$B$11:$M$1034,9,FALSE)</f>
        <v xml:space="preserve"> </v>
      </c>
      <c r="M283" s="55"/>
      <c r="N283" s="38">
        <f t="shared" si="45"/>
        <v>0</v>
      </c>
      <c r="O283" s="39">
        <v>0</v>
      </c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203"/>
      <c r="BP283" s="203"/>
      <c r="BQ283" s="203"/>
      <c r="BR283" s="203"/>
      <c r="BS283" s="203"/>
      <c r="BT283" s="203"/>
      <c r="BU283" s="203"/>
      <c r="BV283" s="203"/>
      <c r="BW283" s="62"/>
      <c r="BX283" s="185"/>
      <c r="BY283" s="35"/>
      <c r="BZ283" s="27"/>
      <c r="CA283" s="27"/>
      <c r="CB283" s="27"/>
      <c r="CC283" s="27"/>
      <c r="CD283" s="27"/>
      <c r="CE283" s="27"/>
      <c r="CF283" s="27"/>
    </row>
    <row r="284" spans="1:84" ht="15" customHeight="1">
      <c r="A284" s="4"/>
      <c r="B284" s="440">
        <f>CENY!B647</f>
        <v>9262213</v>
      </c>
      <c r="C284" s="48" t="str">
        <f>VLOOKUP(B284,CENY!$B$11:$G$1034,2,FALSE)</f>
        <v>PUSH TO OPEN SILENT SYNCHRO ADAPTÉR FLEXIBILNÍ</v>
      </c>
      <c r="D284" s="489">
        <f>VLOOKUP(B284,CENY!$B$11:$G$1034,3,FALSE)</f>
        <v>20</v>
      </c>
      <c r="E284" s="63" t="str">
        <f>IF(VLOOKUP(B284,CENY!$B$11:$G$1034,4,FALSE)=0,"",VLOOKUP(B284,CENY!$B$11:$G$1034,4,FALSE))</f>
        <v/>
      </c>
      <c r="F284" s="45" t="str">
        <f t="shared" si="44"/>
        <v/>
      </c>
      <c r="G284" s="59">
        <f>VLOOKUP(B284,CENY!$B$11:$M$1034,12,FALSE)</f>
        <v>82.35</v>
      </c>
      <c r="H284" s="61" t="str">
        <f t="shared" si="37"/>
        <v xml:space="preserve"> CZK</v>
      </c>
      <c r="I284" s="46" t="str">
        <f t="shared" si="38"/>
        <v/>
      </c>
      <c r="J284" s="138"/>
      <c r="K284" s="47">
        <f>VLOOKUP(B284,CENY!$B$11:$M$1034,8,FALSE)</f>
        <v>0</v>
      </c>
      <c r="L284" s="47" t="str">
        <f>VLOOKUP(B284,CENY!$B$11:$M$1034,9,FALSE)</f>
        <v xml:space="preserve"> </v>
      </c>
      <c r="M284" s="55"/>
      <c r="N284" s="38">
        <f t="shared" si="45"/>
        <v>0</v>
      </c>
      <c r="O284" s="39">
        <v>0</v>
      </c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203"/>
      <c r="BP284" s="203"/>
      <c r="BQ284" s="203"/>
      <c r="BR284" s="203"/>
      <c r="BS284" s="203"/>
      <c r="BT284" s="203"/>
      <c r="BU284" s="203"/>
      <c r="BV284" s="203"/>
      <c r="BW284" s="62"/>
      <c r="BX284" s="185"/>
      <c r="BY284" s="35"/>
      <c r="BZ284" s="27"/>
      <c r="CA284" s="27"/>
      <c r="CB284" s="27"/>
      <c r="CC284" s="27"/>
      <c r="CD284" s="27"/>
      <c r="CE284" s="27"/>
      <c r="CF284" s="27"/>
    </row>
    <row r="285" spans="1:84" ht="15" customHeight="1">
      <c r="A285" s="4"/>
      <c r="B285" s="440">
        <f>CENY!B648</f>
        <v>9278453</v>
      </c>
      <c r="C285" s="48" t="str">
        <f>VLOOKUP(B285,CENY!$B$11:$G$1034,2,FALSE)</f>
        <v>PUSH TO OPEN SILENT ACTRO YOU SYNCHRO POSUNUTÉ NAPOJENÍ</v>
      </c>
      <c r="D285" s="490">
        <f>VLOOKUP(B285,CENY!$B$11:$G$1034,3,FALSE)</f>
        <v>1</v>
      </c>
      <c r="E285" s="63" t="str">
        <f>IF(VLOOKUP(B285,CENY!$B$11:$G$1034,4,FALSE)=0,"",VLOOKUP(B285,CENY!$B$11:$G$1034,4,FALSE))</f>
        <v/>
      </c>
      <c r="F285" s="45" t="str">
        <f t="shared" si="44"/>
        <v/>
      </c>
      <c r="G285" s="59">
        <f>VLOOKUP(B285,CENY!$B$11:$M$1034,12,FALSE)</f>
        <v>783.93</v>
      </c>
      <c r="H285" s="61" t="str">
        <f t="shared" si="37"/>
        <v xml:space="preserve"> CZK</v>
      </c>
      <c r="I285" s="46" t="str">
        <f t="shared" si="38"/>
        <v/>
      </c>
      <c r="J285" s="138"/>
      <c r="K285" s="47">
        <f>VLOOKUP(B285,CENY!$B$11:$M$1034,8,FALSE)</f>
        <v>0</v>
      </c>
      <c r="L285" s="47" t="str">
        <f>VLOOKUP(B285,CENY!$B$11:$M$1034,9,FALSE)</f>
        <v xml:space="preserve"> </v>
      </c>
      <c r="M285" s="55"/>
      <c r="N285" s="38">
        <f t="shared" si="45"/>
        <v>0</v>
      </c>
      <c r="O285" s="39">
        <v>0</v>
      </c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203"/>
      <c r="BP285" s="203"/>
      <c r="BQ285" s="203"/>
      <c r="BR285" s="203"/>
      <c r="BS285" s="203"/>
      <c r="BT285" s="203"/>
      <c r="BU285" s="203"/>
      <c r="BV285" s="203"/>
      <c r="BW285" s="62"/>
      <c r="BX285" s="185"/>
      <c r="BY285" s="35"/>
      <c r="BZ285" s="27"/>
      <c r="CA285" s="27"/>
      <c r="CB285" s="27"/>
      <c r="CC285" s="27"/>
      <c r="CD285" s="27"/>
      <c r="CE285" s="27"/>
      <c r="CF285" s="27"/>
    </row>
    <row r="286" spans="1:84" ht="8.1" customHeight="1">
      <c r="A286" s="4"/>
      <c r="B286" s="142"/>
      <c r="C286" s="48"/>
      <c r="D286" s="44"/>
      <c r="E286" s="63"/>
      <c r="F286" s="67"/>
      <c r="G286" s="59"/>
      <c r="H286" s="61"/>
      <c r="I286" s="46"/>
      <c r="J286" s="138"/>
      <c r="K286" s="47"/>
      <c r="L286" s="47"/>
      <c r="M286" s="55"/>
      <c r="N286" s="38"/>
      <c r="O286" s="39">
        <v>0</v>
      </c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203"/>
      <c r="BP286" s="203"/>
      <c r="BQ286" s="203"/>
      <c r="BR286" s="203"/>
      <c r="BS286" s="203"/>
      <c r="BT286" s="203"/>
      <c r="BU286" s="203"/>
      <c r="BV286" s="203"/>
      <c r="BW286" s="62"/>
      <c r="BX286" s="185"/>
      <c r="BY286" s="35"/>
      <c r="BZ286" s="27"/>
      <c r="CA286" s="27"/>
      <c r="CB286" s="27"/>
      <c r="CC286" s="27"/>
      <c r="CD286" s="27"/>
      <c r="CE286" s="27"/>
      <c r="CF286" s="27"/>
    </row>
    <row r="287" spans="1:84" ht="15" customHeight="1">
      <c r="A287" s="4"/>
      <c r="B287" s="440">
        <f>CENY!B650</f>
        <v>9256953</v>
      </c>
      <c r="C287" s="48" t="str">
        <f>VLOOKUP(B287,CENY!$B$11:$G$1034,2,FALSE)</f>
        <v>QUADRO YOU 10 KG PLNOVÝSUV 270 MM EB21 SILENT SYSTEM SADA</v>
      </c>
      <c r="D287" s="501">
        <f>VLOOKUP(B287,CENY!$B$11:$G$1034,3,FALSE)</f>
        <v>1</v>
      </c>
      <c r="E287" s="63" t="str">
        <f>IF(VLOOKUP(B287,CENY!$B$11:$G$1034,4,FALSE)=0,"",VLOOKUP(B287,CENY!$B$11:$G$1034,4,FALSE))</f>
        <v/>
      </c>
      <c r="F287" s="45" t="str">
        <f t="shared" ref="F287:F295" si="46">IF(J287&lt;&gt;"",J287,IF(N287=0,"",N287))</f>
        <v/>
      </c>
      <c r="G287" s="59">
        <f>VLOOKUP(B287,CENY!$B$11:$M$1034,12,FALSE)</f>
        <v>413.4</v>
      </c>
      <c r="H287" s="61" t="str">
        <f t="shared" si="37"/>
        <v xml:space="preserve"> CZK</v>
      </c>
      <c r="I287" s="46" t="str">
        <f t="shared" si="38"/>
        <v/>
      </c>
      <c r="J287" s="138"/>
      <c r="K287" s="47">
        <f>VLOOKUP(B287,CENY!$B$11:$M$1034,8,FALSE)</f>
        <v>0</v>
      </c>
      <c r="L287" s="47" t="str">
        <f>VLOOKUP(B287,CENY!$B$11:$M$1034,9,FALSE)</f>
        <v xml:space="preserve"> </v>
      </c>
      <c r="M287" s="55"/>
      <c r="N287" s="38">
        <f t="shared" ref="N287:N295" si="47">SUM(P287:BX287)</f>
        <v>0</v>
      </c>
      <c r="O287" s="39">
        <v>0</v>
      </c>
      <c r="P287" s="450">
        <f>'AVT101'!AZ50</f>
        <v>0</v>
      </c>
      <c r="Q287" s="41"/>
      <c r="R287" s="41"/>
      <c r="S287" s="41"/>
      <c r="T287" s="450">
        <f>'AVT187'!AZ50</f>
        <v>0</v>
      </c>
      <c r="U287" s="41"/>
      <c r="V287" s="41"/>
      <c r="W287" s="41"/>
      <c r="X287" s="41"/>
      <c r="Y287" s="41"/>
      <c r="Z287" s="450">
        <f>'AVT101(vn-A)'!AZ50</f>
        <v>0</v>
      </c>
      <c r="AA287" s="41"/>
      <c r="AB287" s="41"/>
      <c r="AC287" s="41"/>
      <c r="AD287" s="450">
        <f>'AVT187(vn-A)'!AZ50</f>
        <v>0</v>
      </c>
      <c r="AE287" s="41"/>
      <c r="AF287" s="41"/>
      <c r="AG287" s="41"/>
      <c r="AH287" s="450">
        <f>'AVT187(vn-S)'!AZ50</f>
        <v>0</v>
      </c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203"/>
      <c r="BP287" s="203"/>
      <c r="BQ287" s="203"/>
      <c r="BR287" s="203"/>
      <c r="BS287" s="203"/>
      <c r="BT287" s="203"/>
      <c r="BU287" s="203"/>
      <c r="BV287" s="203"/>
      <c r="BW287" s="62"/>
      <c r="BX287" s="185"/>
      <c r="BY287" s="35"/>
      <c r="BZ287" s="27"/>
      <c r="CA287" s="27"/>
      <c r="CB287" s="27"/>
      <c r="CC287" s="27"/>
      <c r="CD287" s="27"/>
      <c r="CE287" s="27"/>
      <c r="CF287" s="27"/>
    </row>
    <row r="288" spans="1:84" ht="15" customHeight="1">
      <c r="A288" s="4"/>
      <c r="B288" s="440">
        <f>CENY!B651</f>
        <v>9256954</v>
      </c>
      <c r="C288" s="48" t="str">
        <f>VLOOKUP(B288,CENY!$B$11:$G$1034,2,FALSE)</f>
        <v>QUADRO YOU 10 KG PLNOVÝSUV 300 MM EB21 SILENT SYSTEM SADA</v>
      </c>
      <c r="D288" s="501">
        <f>VLOOKUP(B288,CENY!$B$11:$G$1034,3,FALSE)</f>
        <v>1</v>
      </c>
      <c r="E288" s="63" t="str">
        <f>IF(VLOOKUP(B288,CENY!$B$11:$G$1034,4,FALSE)=0,"",VLOOKUP(B288,CENY!$B$11:$G$1034,4,FALSE))</f>
        <v/>
      </c>
      <c r="F288" s="45" t="str">
        <f t="shared" si="46"/>
        <v/>
      </c>
      <c r="G288" s="59">
        <f>VLOOKUP(B288,CENY!$B$11:$M$1034,12,FALSE)</f>
        <v>414.13</v>
      </c>
      <c r="H288" s="61" t="str">
        <f t="shared" si="37"/>
        <v xml:space="preserve"> CZK</v>
      </c>
      <c r="I288" s="46" t="str">
        <f t="shared" si="38"/>
        <v/>
      </c>
      <c r="J288" s="138"/>
      <c r="K288" s="47">
        <f>VLOOKUP(B288,CENY!$B$11:$M$1034,8,FALSE)</f>
        <v>0</v>
      </c>
      <c r="L288" s="47" t="str">
        <f>VLOOKUP(B288,CENY!$B$11:$M$1034,9,FALSE)</f>
        <v xml:space="preserve"> </v>
      </c>
      <c r="M288" s="55"/>
      <c r="N288" s="38">
        <f t="shared" si="47"/>
        <v>0</v>
      </c>
      <c r="O288" s="39">
        <v>0</v>
      </c>
      <c r="P288" s="450">
        <f>'AVT101'!AZ51</f>
        <v>0</v>
      </c>
      <c r="Q288" s="41"/>
      <c r="R288" s="450">
        <f>'AVT139'!AZ43</f>
        <v>0</v>
      </c>
      <c r="S288" s="41"/>
      <c r="T288" s="450">
        <f>'AVT187'!AZ51</f>
        <v>0</v>
      </c>
      <c r="U288" s="41"/>
      <c r="V288" s="41"/>
      <c r="W288" s="41"/>
      <c r="X288" s="41"/>
      <c r="Y288" s="41"/>
      <c r="Z288" s="450">
        <f>'AVT101(vn-A)'!AZ51</f>
        <v>0</v>
      </c>
      <c r="AA288" s="41"/>
      <c r="AB288" s="450">
        <f>'AVT139(vn-A)'!AZ43</f>
        <v>0</v>
      </c>
      <c r="AC288" s="41"/>
      <c r="AD288" s="450">
        <f>'AVT187(vn-A)'!AZ51</f>
        <v>0</v>
      </c>
      <c r="AE288" s="41"/>
      <c r="AF288" s="41"/>
      <c r="AG288" s="41"/>
      <c r="AH288" s="450">
        <f>'AVT187(vn-S)'!AZ51</f>
        <v>0</v>
      </c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203"/>
      <c r="BP288" s="203"/>
      <c r="BQ288" s="203"/>
      <c r="BR288" s="203"/>
      <c r="BS288" s="203"/>
      <c r="BT288" s="203"/>
      <c r="BU288" s="203"/>
      <c r="BV288" s="203"/>
      <c r="BW288" s="62"/>
      <c r="BX288" s="185"/>
      <c r="BY288" s="35"/>
      <c r="BZ288" s="27"/>
      <c r="CA288" s="27"/>
      <c r="CB288" s="27"/>
      <c r="CC288" s="27"/>
      <c r="CD288" s="27"/>
      <c r="CE288" s="27"/>
      <c r="CF288" s="27"/>
    </row>
    <row r="289" spans="1:84" ht="15" customHeight="1">
      <c r="A289" s="4"/>
      <c r="B289" s="440">
        <f>CENY!B652</f>
        <v>9256956</v>
      </c>
      <c r="C289" s="48" t="str">
        <f>VLOOKUP(B289,CENY!$B$11:$G$1034,2,FALSE)</f>
        <v>QUADRO YOU 10 KG PLNOVÝSUV 350 MM EB21 SILENT SYSTEM SADA</v>
      </c>
      <c r="D289" s="501">
        <f>VLOOKUP(B289,CENY!$B$11:$G$1034,3,FALSE)</f>
        <v>1</v>
      </c>
      <c r="E289" s="63" t="str">
        <f>IF(VLOOKUP(B289,CENY!$B$11:$G$1034,4,FALSE)=0,"",VLOOKUP(B289,CENY!$B$11:$G$1034,4,FALSE))</f>
        <v/>
      </c>
      <c r="F289" s="45" t="str">
        <f t="shared" si="46"/>
        <v/>
      </c>
      <c r="G289" s="59">
        <f>VLOOKUP(B289,CENY!$B$11:$M$1034,12,FALSE)</f>
        <v>421.61</v>
      </c>
      <c r="H289" s="61" t="str">
        <f t="shared" ref="H289:H351" si="48">IF(G289="","",$H$22)</f>
        <v xml:space="preserve"> CZK</v>
      </c>
      <c r="I289" s="46" t="str">
        <f t="shared" ref="I289:I351" si="49">IF(F289="","",G289*F289)</f>
        <v/>
      </c>
      <c r="J289" s="138"/>
      <c r="K289" s="47">
        <f>VLOOKUP(B289,CENY!$B$11:$M$1034,8,FALSE)</f>
        <v>0</v>
      </c>
      <c r="L289" s="47" t="str">
        <f>VLOOKUP(B289,CENY!$B$11:$M$1034,9,FALSE)</f>
        <v xml:space="preserve"> </v>
      </c>
      <c r="M289" s="55"/>
      <c r="N289" s="38">
        <f t="shared" si="47"/>
        <v>0</v>
      </c>
      <c r="O289" s="39">
        <v>0</v>
      </c>
      <c r="P289" s="450">
        <f>'AVT101'!AZ52</f>
        <v>0</v>
      </c>
      <c r="Q289" s="41"/>
      <c r="R289" s="450">
        <f>'AVT139'!AZ44</f>
        <v>0</v>
      </c>
      <c r="S289" s="41"/>
      <c r="T289" s="450">
        <f>'AVT187'!AZ52</f>
        <v>0</v>
      </c>
      <c r="U289" s="41"/>
      <c r="V289" s="450">
        <f>'AVT251'!AZ42</f>
        <v>0</v>
      </c>
      <c r="W289" s="41"/>
      <c r="X289" s="450">
        <f>AVT187In!AZ42</f>
        <v>0</v>
      </c>
      <c r="Y289" s="41"/>
      <c r="Z289" s="450">
        <f>'AVT101(vn-A)'!AZ52</f>
        <v>0</v>
      </c>
      <c r="AA289" s="41"/>
      <c r="AB289" s="450">
        <f>'AVT139(vn-A)'!AZ44</f>
        <v>0</v>
      </c>
      <c r="AC289" s="41"/>
      <c r="AD289" s="450">
        <f>'AVT187(vn-A)'!AZ52</f>
        <v>0</v>
      </c>
      <c r="AE289" s="41"/>
      <c r="AF289" s="450">
        <f>'AVT187In(vn-A)'!AZ42</f>
        <v>0</v>
      </c>
      <c r="AG289" s="41"/>
      <c r="AH289" s="450">
        <f>'AVT187(vn-S)'!AZ52</f>
        <v>0</v>
      </c>
      <c r="AI289" s="41"/>
      <c r="AJ289" s="450">
        <f>'AVT187In(vn-S)'!AZ42</f>
        <v>0</v>
      </c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203"/>
      <c r="BP289" s="203"/>
      <c r="BQ289" s="203"/>
      <c r="BR289" s="203"/>
      <c r="BS289" s="203"/>
      <c r="BT289" s="203"/>
      <c r="BU289" s="203"/>
      <c r="BV289" s="203"/>
      <c r="BW289" s="62"/>
      <c r="BX289" s="185"/>
      <c r="BY289" s="35"/>
      <c r="BZ289" s="27"/>
      <c r="CA289" s="27"/>
      <c r="CB289" s="27"/>
      <c r="CC289" s="27"/>
      <c r="CD289" s="27"/>
      <c r="CE289" s="27"/>
      <c r="CF289" s="27"/>
    </row>
    <row r="290" spans="1:84" ht="15" customHeight="1">
      <c r="A290" s="4"/>
      <c r="B290" s="440">
        <f>CENY!B653</f>
        <v>9256944</v>
      </c>
      <c r="C290" s="48" t="str">
        <f>VLOOKUP(B290,CENY!$B$11:$G$1034,2,FALSE)</f>
        <v>QUADRO YOU 10 KG PLNOVÝSUV 270 MM EB21 SILENT SYSTEM LEVÝ</v>
      </c>
      <c r="D290" s="488">
        <f>VLOOKUP(B290,CENY!$B$11:$G$1034,3,FALSE)</f>
        <v>20</v>
      </c>
      <c r="E290" s="63" t="str">
        <f>IF(VLOOKUP(B290,CENY!$B$11:$G$1034,4,FALSE)=0,"",VLOOKUP(B290,CENY!$B$11:$G$1034,4,FALSE))</f>
        <v/>
      </c>
      <c r="F290" s="45" t="str">
        <f t="shared" si="46"/>
        <v/>
      </c>
      <c r="G290" s="59">
        <f>VLOOKUP(B290,CENY!$B$11:$M$1034,12,FALSE)</f>
        <v>174.19</v>
      </c>
      <c r="H290" s="61" t="str">
        <f t="shared" si="48"/>
        <v xml:space="preserve"> CZK</v>
      </c>
      <c r="I290" s="46" t="str">
        <f t="shared" si="49"/>
        <v/>
      </c>
      <c r="J290" s="138"/>
      <c r="K290" s="47">
        <f>VLOOKUP(B290,CENY!$B$11:$M$1034,8,FALSE)</f>
        <v>0</v>
      </c>
      <c r="L290" s="47" t="str">
        <f>VLOOKUP(B290,CENY!$B$11:$M$1034,9,FALSE)</f>
        <v xml:space="preserve"> </v>
      </c>
      <c r="M290" s="55"/>
      <c r="N290" s="38">
        <f t="shared" si="47"/>
        <v>0</v>
      </c>
      <c r="O290" s="39">
        <v>0</v>
      </c>
      <c r="P290" s="41"/>
      <c r="Q290" s="450">
        <f>'AVT101'!BI78</f>
        <v>0</v>
      </c>
      <c r="R290" s="41"/>
      <c r="S290" s="41"/>
      <c r="T290" s="41"/>
      <c r="U290" s="450">
        <f>'AVT187'!BI78</f>
        <v>0</v>
      </c>
      <c r="V290" s="41"/>
      <c r="W290" s="41"/>
      <c r="X290" s="41"/>
      <c r="Y290" s="41"/>
      <c r="Z290" s="41"/>
      <c r="AA290" s="450">
        <f>'AVT101(vn-A)'!BI78</f>
        <v>0</v>
      </c>
      <c r="AB290" s="41"/>
      <c r="AC290" s="41"/>
      <c r="AD290" s="41"/>
      <c r="AE290" s="450">
        <f>'AVT187(vn-A)'!BI78</f>
        <v>0</v>
      </c>
      <c r="AF290" s="41"/>
      <c r="AG290" s="41"/>
      <c r="AH290" s="41"/>
      <c r="AI290" s="450">
        <f>'AVT187(vn-S)'!BI78</f>
        <v>0</v>
      </c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203"/>
      <c r="BP290" s="203"/>
      <c r="BQ290" s="203"/>
      <c r="BR290" s="203"/>
      <c r="BS290" s="203"/>
      <c r="BT290" s="203"/>
      <c r="BU290" s="203"/>
      <c r="BV290" s="203"/>
      <c r="BW290" s="62"/>
      <c r="BX290" s="185"/>
      <c r="BY290" s="35"/>
      <c r="BZ290" s="27"/>
      <c r="CA290" s="27"/>
      <c r="CB290" s="27"/>
      <c r="CC290" s="27"/>
      <c r="CD290" s="27"/>
      <c r="CE290" s="27"/>
      <c r="CF290" s="27"/>
    </row>
    <row r="291" spans="1:84" ht="15" customHeight="1">
      <c r="A291" s="4"/>
      <c r="B291" s="440">
        <f>CENY!B654</f>
        <v>9256945</v>
      </c>
      <c r="C291" s="48" t="str">
        <f>VLOOKUP(B291,CENY!$B$11:$G$1034,2,FALSE)</f>
        <v>QUADRO YOU 10 KG PLNOVÝSUV 270 MM EB21 SILENT SYSTEM PRAVÝ</v>
      </c>
      <c r="D291" s="488">
        <f>VLOOKUP(B291,CENY!$B$11:$G$1034,3,FALSE)</f>
        <v>20</v>
      </c>
      <c r="E291" s="63" t="str">
        <f>IF(VLOOKUP(B291,CENY!$B$11:$G$1034,4,FALSE)=0,"",VLOOKUP(B291,CENY!$B$11:$G$1034,4,FALSE))</f>
        <v/>
      </c>
      <c r="F291" s="45" t="str">
        <f t="shared" si="46"/>
        <v/>
      </c>
      <c r="G291" s="59">
        <f>VLOOKUP(B291,CENY!$B$11:$M$1034,12,FALSE)</f>
        <v>174.19</v>
      </c>
      <c r="H291" s="61" t="str">
        <f t="shared" si="48"/>
        <v xml:space="preserve"> CZK</v>
      </c>
      <c r="I291" s="46" t="str">
        <f t="shared" si="49"/>
        <v/>
      </c>
      <c r="J291" s="138"/>
      <c r="K291" s="47">
        <f>VLOOKUP(B291,CENY!$B$11:$M$1034,8,FALSE)</f>
        <v>0</v>
      </c>
      <c r="L291" s="47" t="str">
        <f>VLOOKUP(B291,CENY!$B$11:$M$1034,9,FALSE)</f>
        <v xml:space="preserve"> </v>
      </c>
      <c r="M291" s="55"/>
      <c r="N291" s="38">
        <f t="shared" si="47"/>
        <v>0</v>
      </c>
      <c r="O291" s="39">
        <v>0</v>
      </c>
      <c r="P291" s="41"/>
      <c r="Q291" s="450">
        <f>'AVT101'!BI79</f>
        <v>0</v>
      </c>
      <c r="R291" s="41"/>
      <c r="S291" s="41"/>
      <c r="T291" s="41"/>
      <c r="U291" s="450">
        <f>'AVT187'!BI79</f>
        <v>0</v>
      </c>
      <c r="V291" s="41"/>
      <c r="W291" s="41"/>
      <c r="X291" s="41"/>
      <c r="Y291" s="41"/>
      <c r="Z291" s="41"/>
      <c r="AA291" s="450">
        <f>'AVT101(vn-A)'!BI79</f>
        <v>0</v>
      </c>
      <c r="AB291" s="41"/>
      <c r="AC291" s="41"/>
      <c r="AD291" s="41"/>
      <c r="AE291" s="450">
        <f>'AVT187(vn-A)'!BI79</f>
        <v>0</v>
      </c>
      <c r="AF291" s="41"/>
      <c r="AG291" s="41"/>
      <c r="AH291" s="41"/>
      <c r="AI291" s="450">
        <f>'AVT187(vn-S)'!BI79</f>
        <v>0</v>
      </c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203"/>
      <c r="BP291" s="203"/>
      <c r="BQ291" s="203"/>
      <c r="BR291" s="203"/>
      <c r="BS291" s="203"/>
      <c r="BT291" s="203"/>
      <c r="BU291" s="203"/>
      <c r="BV291" s="203"/>
      <c r="BW291" s="62"/>
      <c r="BX291" s="185"/>
      <c r="BY291" s="35"/>
      <c r="BZ291" s="27"/>
      <c r="CA291" s="27"/>
      <c r="CB291" s="27"/>
      <c r="CC291" s="27"/>
      <c r="CD291" s="27"/>
      <c r="CE291" s="27"/>
      <c r="CF291" s="27"/>
    </row>
    <row r="292" spans="1:84" ht="15" customHeight="1">
      <c r="A292" s="4"/>
      <c r="B292" s="440">
        <f>CENY!B655</f>
        <v>9256946</v>
      </c>
      <c r="C292" s="48" t="str">
        <f>VLOOKUP(B292,CENY!$B$11:$G$1034,2,FALSE)</f>
        <v>QUADRO YOU 10 KG PLNOVÝSUV 300 MM EB21 SILENT SYSTEM LEVÝ</v>
      </c>
      <c r="D292" s="488">
        <f>VLOOKUP(B292,CENY!$B$11:$G$1034,3,FALSE)</f>
        <v>20</v>
      </c>
      <c r="E292" s="63" t="str">
        <f>IF(VLOOKUP(B292,CENY!$B$11:$G$1034,4,FALSE)=0,"",VLOOKUP(B292,CENY!$B$11:$G$1034,4,FALSE))</f>
        <v/>
      </c>
      <c r="F292" s="45" t="str">
        <f t="shared" si="46"/>
        <v/>
      </c>
      <c r="G292" s="59">
        <f>VLOOKUP(B292,CENY!$B$11:$M$1034,12,FALSE)</f>
        <v>172.7</v>
      </c>
      <c r="H292" s="61" t="str">
        <f t="shared" si="48"/>
        <v xml:space="preserve"> CZK</v>
      </c>
      <c r="I292" s="46" t="str">
        <f t="shared" si="49"/>
        <v/>
      </c>
      <c r="J292" s="138"/>
      <c r="K292" s="47">
        <f>VLOOKUP(B292,CENY!$B$11:$M$1034,8,FALSE)</f>
        <v>0</v>
      </c>
      <c r="L292" s="47" t="str">
        <f>VLOOKUP(B292,CENY!$B$11:$M$1034,9,FALSE)</f>
        <v xml:space="preserve"> </v>
      </c>
      <c r="M292" s="55"/>
      <c r="N292" s="38">
        <f t="shared" si="47"/>
        <v>0</v>
      </c>
      <c r="O292" s="39">
        <v>0</v>
      </c>
      <c r="P292" s="41"/>
      <c r="Q292" s="450">
        <f>'AVT101'!BI80</f>
        <v>0</v>
      </c>
      <c r="R292" s="41"/>
      <c r="S292" s="450">
        <f>'AVT139'!BI66</f>
        <v>0</v>
      </c>
      <c r="T292" s="41"/>
      <c r="U292" s="450">
        <f>'AVT187'!BI80</f>
        <v>0</v>
      </c>
      <c r="V292" s="41"/>
      <c r="W292" s="41"/>
      <c r="X292" s="41"/>
      <c r="Y292" s="41"/>
      <c r="Z292" s="41"/>
      <c r="AA292" s="450">
        <f>'AVT101(vn-A)'!BI80</f>
        <v>0</v>
      </c>
      <c r="AB292" s="41"/>
      <c r="AC292" s="450">
        <f>'AVT139(vn-A)'!BI66</f>
        <v>0</v>
      </c>
      <c r="AD292" s="41"/>
      <c r="AE292" s="450">
        <f>'AVT187(vn-A)'!BI80</f>
        <v>0</v>
      </c>
      <c r="AF292" s="41"/>
      <c r="AG292" s="41"/>
      <c r="AH292" s="41"/>
      <c r="AI292" s="450">
        <f>'AVT187(vn-S)'!BI80</f>
        <v>0</v>
      </c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203"/>
      <c r="BP292" s="203"/>
      <c r="BQ292" s="203"/>
      <c r="BR292" s="203"/>
      <c r="BS292" s="203"/>
      <c r="BT292" s="203"/>
      <c r="BU292" s="203"/>
      <c r="BV292" s="203"/>
      <c r="BW292" s="62"/>
      <c r="BX292" s="185"/>
      <c r="BY292" s="35"/>
      <c r="BZ292" s="27"/>
      <c r="CA292" s="27"/>
      <c r="CB292" s="27"/>
      <c r="CC292" s="27"/>
      <c r="CD292" s="27"/>
      <c r="CE292" s="27"/>
      <c r="CF292" s="27"/>
    </row>
    <row r="293" spans="1:84" ht="15" customHeight="1">
      <c r="A293" s="4"/>
      <c r="B293" s="440">
        <f>CENY!B656</f>
        <v>9256947</v>
      </c>
      <c r="C293" s="48" t="str">
        <f>VLOOKUP(B293,CENY!$B$11:$G$1034,2,FALSE)</f>
        <v>QUADRO YOU 10 KG PLNOVÝSUV 300 MM EB21 SILENT SYSTEM PRAVÝ</v>
      </c>
      <c r="D293" s="488">
        <f>VLOOKUP(B293,CENY!$B$11:$G$1034,3,FALSE)</f>
        <v>20</v>
      </c>
      <c r="E293" s="63" t="str">
        <f>IF(VLOOKUP(B293,CENY!$B$11:$G$1034,4,FALSE)=0,"",VLOOKUP(B293,CENY!$B$11:$G$1034,4,FALSE))</f>
        <v/>
      </c>
      <c r="F293" s="45" t="str">
        <f t="shared" si="46"/>
        <v/>
      </c>
      <c r="G293" s="59">
        <f>VLOOKUP(B293,CENY!$B$11:$M$1034,12,FALSE)</f>
        <v>172.7</v>
      </c>
      <c r="H293" s="61" t="str">
        <f t="shared" si="48"/>
        <v xml:space="preserve"> CZK</v>
      </c>
      <c r="I293" s="46" t="str">
        <f t="shared" si="49"/>
        <v/>
      </c>
      <c r="J293" s="138"/>
      <c r="K293" s="47">
        <f>VLOOKUP(B293,CENY!$B$11:$M$1034,8,FALSE)</f>
        <v>0</v>
      </c>
      <c r="L293" s="47" t="str">
        <f>VLOOKUP(B293,CENY!$B$11:$M$1034,9,FALSE)</f>
        <v xml:space="preserve"> </v>
      </c>
      <c r="M293" s="55"/>
      <c r="N293" s="38">
        <f t="shared" si="47"/>
        <v>0</v>
      </c>
      <c r="O293" s="39">
        <v>0</v>
      </c>
      <c r="P293" s="41"/>
      <c r="Q293" s="450">
        <f>'AVT101'!BI81</f>
        <v>0</v>
      </c>
      <c r="R293" s="41"/>
      <c r="S293" s="450">
        <f>'AVT139'!BI67</f>
        <v>0</v>
      </c>
      <c r="T293" s="41"/>
      <c r="U293" s="450">
        <f>'AVT187'!BI81</f>
        <v>0</v>
      </c>
      <c r="V293" s="41"/>
      <c r="W293" s="41"/>
      <c r="X293" s="41"/>
      <c r="Y293" s="41"/>
      <c r="Z293" s="41"/>
      <c r="AA293" s="450">
        <f>'AVT101(vn-A)'!BI81</f>
        <v>0</v>
      </c>
      <c r="AB293" s="41"/>
      <c r="AC293" s="450">
        <f>'AVT139(vn-A)'!BI67</f>
        <v>0</v>
      </c>
      <c r="AD293" s="41"/>
      <c r="AE293" s="450">
        <f>'AVT187(vn-A)'!BI81</f>
        <v>0</v>
      </c>
      <c r="AF293" s="41"/>
      <c r="AG293" s="41"/>
      <c r="AH293" s="41"/>
      <c r="AI293" s="450">
        <f>'AVT187(vn-S)'!BI81</f>
        <v>0</v>
      </c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203"/>
      <c r="BP293" s="203"/>
      <c r="BQ293" s="203"/>
      <c r="BR293" s="203"/>
      <c r="BS293" s="203"/>
      <c r="BT293" s="203"/>
      <c r="BU293" s="203"/>
      <c r="BV293" s="203"/>
      <c r="BW293" s="62"/>
      <c r="BX293" s="185"/>
      <c r="BY293" s="35"/>
      <c r="BZ293" s="27"/>
      <c r="CA293" s="27"/>
      <c r="CB293" s="27"/>
      <c r="CC293" s="27"/>
      <c r="CD293" s="27"/>
      <c r="CE293" s="27"/>
      <c r="CF293" s="27"/>
    </row>
    <row r="294" spans="1:84" ht="15" customHeight="1">
      <c r="A294" s="4"/>
      <c r="B294" s="440">
        <f>CENY!B657</f>
        <v>9256950</v>
      </c>
      <c r="C294" s="48" t="str">
        <f>VLOOKUP(B294,CENY!$B$11:$G$1034,2,FALSE)</f>
        <v>QUADRO YOU 10 KG PLNOVÝSUV 350 MM EB21 SILENT SYSTEM LEVÝ</v>
      </c>
      <c r="D294" s="488">
        <f>VLOOKUP(B294,CENY!$B$11:$G$1034,3,FALSE)</f>
        <v>20</v>
      </c>
      <c r="E294" s="63" t="str">
        <f>IF(VLOOKUP(B294,CENY!$B$11:$G$1034,4,FALSE)=0,"",VLOOKUP(B294,CENY!$B$11:$G$1034,4,FALSE))</f>
        <v/>
      </c>
      <c r="F294" s="45" t="str">
        <f t="shared" si="46"/>
        <v/>
      </c>
      <c r="G294" s="59">
        <f>VLOOKUP(B294,CENY!$B$11:$M$1034,12,FALSE)</f>
        <v>176.43</v>
      </c>
      <c r="H294" s="61" t="str">
        <f t="shared" si="48"/>
        <v xml:space="preserve"> CZK</v>
      </c>
      <c r="I294" s="46" t="str">
        <f t="shared" si="49"/>
        <v/>
      </c>
      <c r="J294" s="138"/>
      <c r="K294" s="47">
        <f>VLOOKUP(B294,CENY!$B$11:$M$1034,8,FALSE)</f>
        <v>0</v>
      </c>
      <c r="L294" s="47" t="str">
        <f>VLOOKUP(B294,CENY!$B$11:$M$1034,9,FALSE)</f>
        <v xml:space="preserve"> </v>
      </c>
      <c r="M294" s="55"/>
      <c r="N294" s="38">
        <f t="shared" si="47"/>
        <v>0</v>
      </c>
      <c r="O294" s="39">
        <v>0</v>
      </c>
      <c r="P294" s="41"/>
      <c r="Q294" s="450">
        <f>'AVT101'!BI82</f>
        <v>0</v>
      </c>
      <c r="R294" s="41"/>
      <c r="S294" s="450">
        <f>'AVT139'!BI68</f>
        <v>0</v>
      </c>
      <c r="T294" s="41"/>
      <c r="U294" s="450">
        <f>'AVT187'!BI82</f>
        <v>0</v>
      </c>
      <c r="V294" s="41"/>
      <c r="W294" s="450">
        <f>'AVT251'!BI65</f>
        <v>0</v>
      </c>
      <c r="X294" s="41"/>
      <c r="Y294" s="450">
        <f>AVT187In!BI64</f>
        <v>0</v>
      </c>
      <c r="Z294" s="41"/>
      <c r="AA294" s="450">
        <f>'AVT101(vn-A)'!BI82</f>
        <v>0</v>
      </c>
      <c r="AB294" s="41"/>
      <c r="AC294" s="450">
        <f>'AVT139(vn-A)'!BI68</f>
        <v>0</v>
      </c>
      <c r="AD294" s="41"/>
      <c r="AE294" s="450">
        <f>'AVT187(vn-A)'!BI82</f>
        <v>0</v>
      </c>
      <c r="AF294" s="41"/>
      <c r="AG294" s="450">
        <f>'AVT187In(vn-A)'!BI64</f>
        <v>0</v>
      </c>
      <c r="AH294" s="41"/>
      <c r="AI294" s="450">
        <f>'AVT187(vn-S)'!BI82</f>
        <v>0</v>
      </c>
      <c r="AJ294" s="41"/>
      <c r="AK294" s="450">
        <f>'AVT187In(vn-S)'!BI64</f>
        <v>0</v>
      </c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203"/>
      <c r="BP294" s="203"/>
      <c r="BQ294" s="203"/>
      <c r="BR294" s="203"/>
      <c r="BS294" s="203"/>
      <c r="BT294" s="203"/>
      <c r="BU294" s="203"/>
      <c r="BV294" s="203"/>
      <c r="BW294" s="62"/>
      <c r="BX294" s="185"/>
      <c r="BY294" s="35"/>
      <c r="BZ294" s="27"/>
      <c r="CA294" s="27"/>
      <c r="CB294" s="27"/>
      <c r="CC294" s="27"/>
      <c r="CD294" s="27"/>
      <c r="CE294" s="27"/>
      <c r="CF294" s="27"/>
    </row>
    <row r="295" spans="1:84" ht="15" customHeight="1">
      <c r="A295" s="4"/>
      <c r="B295" s="440">
        <f>CENY!B658</f>
        <v>9256951</v>
      </c>
      <c r="C295" s="48" t="str">
        <f>VLOOKUP(B295,CENY!$B$11:$G$1034,2,FALSE)</f>
        <v>QUADRO YOU 10 KG PLNOVÝSUV 350 MM EB21 SILENT SYSTEM PRAVÝ</v>
      </c>
      <c r="D295" s="488">
        <f>VLOOKUP(B295,CENY!$B$11:$G$1034,3,FALSE)</f>
        <v>20</v>
      </c>
      <c r="E295" s="63" t="str">
        <f>IF(VLOOKUP(B295,CENY!$B$11:$G$1034,4,FALSE)=0,"",VLOOKUP(B295,CENY!$B$11:$G$1034,4,FALSE))</f>
        <v/>
      </c>
      <c r="F295" s="45" t="str">
        <f t="shared" si="46"/>
        <v/>
      </c>
      <c r="G295" s="59">
        <f>VLOOKUP(B295,CENY!$B$11:$M$1034,12,FALSE)</f>
        <v>176.43</v>
      </c>
      <c r="H295" s="61" t="str">
        <f t="shared" si="48"/>
        <v xml:space="preserve"> CZK</v>
      </c>
      <c r="I295" s="46" t="str">
        <f t="shared" si="49"/>
        <v/>
      </c>
      <c r="J295" s="138"/>
      <c r="K295" s="47">
        <f>VLOOKUP(B295,CENY!$B$11:$M$1034,8,FALSE)</f>
        <v>0</v>
      </c>
      <c r="L295" s="47" t="str">
        <f>VLOOKUP(B295,CENY!$B$11:$M$1034,9,FALSE)</f>
        <v xml:space="preserve"> </v>
      </c>
      <c r="M295" s="55"/>
      <c r="N295" s="38">
        <f t="shared" si="47"/>
        <v>0</v>
      </c>
      <c r="O295" s="39">
        <v>0</v>
      </c>
      <c r="P295" s="41"/>
      <c r="Q295" s="450">
        <f>'AVT101'!BI83</f>
        <v>0</v>
      </c>
      <c r="R295" s="41"/>
      <c r="S295" s="450">
        <f>'AVT139'!BI69</f>
        <v>0</v>
      </c>
      <c r="T295" s="41"/>
      <c r="U295" s="450">
        <f>'AVT187'!BI83</f>
        <v>0</v>
      </c>
      <c r="V295" s="41"/>
      <c r="W295" s="450">
        <f>'AVT251'!BI66</f>
        <v>0</v>
      </c>
      <c r="X295" s="41"/>
      <c r="Y295" s="450">
        <f>AVT187In!BI65</f>
        <v>0</v>
      </c>
      <c r="Z295" s="41"/>
      <c r="AA295" s="450">
        <f>'AVT101(vn-A)'!BI83</f>
        <v>0</v>
      </c>
      <c r="AB295" s="41"/>
      <c r="AC295" s="450">
        <f>'AVT139(vn-A)'!BI69</f>
        <v>0</v>
      </c>
      <c r="AD295" s="41"/>
      <c r="AE295" s="450">
        <f>'AVT187(vn-A)'!BI83</f>
        <v>0</v>
      </c>
      <c r="AF295" s="41"/>
      <c r="AG295" s="450">
        <f>'AVT187In(vn-A)'!BI65</f>
        <v>0</v>
      </c>
      <c r="AH295" s="41"/>
      <c r="AI295" s="450">
        <f>'AVT187(vn-S)'!BI83</f>
        <v>0</v>
      </c>
      <c r="AJ295" s="41"/>
      <c r="AK295" s="450">
        <f>'AVT187In(vn-S)'!BI65</f>
        <v>0</v>
      </c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203"/>
      <c r="BP295" s="203"/>
      <c r="BQ295" s="203"/>
      <c r="BR295" s="203"/>
      <c r="BS295" s="203"/>
      <c r="BT295" s="203"/>
      <c r="BU295" s="203"/>
      <c r="BV295" s="203"/>
      <c r="BW295" s="62"/>
      <c r="BX295" s="185"/>
      <c r="BY295" s="35"/>
      <c r="BZ295" s="27"/>
      <c r="CA295" s="27"/>
      <c r="CB295" s="27"/>
      <c r="CC295" s="27"/>
      <c r="CD295" s="27"/>
      <c r="CE295" s="27"/>
      <c r="CF295" s="27"/>
    </row>
    <row r="296" spans="1:84" ht="8.1" customHeight="1">
      <c r="A296" s="4"/>
      <c r="B296" s="142"/>
      <c r="C296" s="48"/>
      <c r="D296" s="44"/>
      <c r="E296" s="63"/>
      <c r="F296" s="67"/>
      <c r="G296" s="59"/>
      <c r="H296" s="61"/>
      <c r="I296" s="46"/>
      <c r="J296" s="138"/>
      <c r="K296" s="47"/>
      <c r="L296" s="47"/>
      <c r="M296" s="55"/>
      <c r="N296" s="38"/>
      <c r="O296" s="39">
        <v>0</v>
      </c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203"/>
      <c r="BP296" s="203"/>
      <c r="BQ296" s="203"/>
      <c r="BR296" s="203"/>
      <c r="BS296" s="203"/>
      <c r="BT296" s="203"/>
      <c r="BU296" s="203"/>
      <c r="BV296" s="203"/>
      <c r="BW296" s="62"/>
      <c r="BX296" s="185"/>
      <c r="BY296" s="35"/>
      <c r="BZ296" s="27"/>
      <c r="CA296" s="27"/>
      <c r="CB296" s="27"/>
      <c r="CC296" s="27"/>
      <c r="CD296" s="27"/>
      <c r="CE296" s="27"/>
      <c r="CF296" s="27"/>
    </row>
    <row r="297" spans="1:84" ht="15" customHeight="1">
      <c r="A297" s="4"/>
      <c r="B297" s="440">
        <f>CENY!B660</f>
        <v>9256883</v>
      </c>
      <c r="C297" s="48" t="str">
        <f>VLOOKUP(B297,CENY!$B$11:$G$1034,2,FALSE)</f>
        <v>QUADRO YOU PLNOVÝSUV 270 MM EB21 SILENT SYSTEM SADA</v>
      </c>
      <c r="D297" s="501">
        <f>VLOOKUP(B297,CENY!$B$11:$G$1034,3,FALSE)</f>
        <v>1</v>
      </c>
      <c r="E297" s="63" t="str">
        <f>IF(VLOOKUP(B297,CENY!$B$11:$G$1034,4,FALSE)=0,"",VLOOKUP(B297,CENY!$B$11:$G$1034,4,FALSE))</f>
        <v/>
      </c>
      <c r="F297" s="45" t="str">
        <f t="shared" ref="F297:F320" si="50">IF(J297&lt;&gt;"",J297,IF(N297=0,"",N297))</f>
        <v/>
      </c>
      <c r="G297" s="59">
        <f>VLOOKUP(B297,CENY!$B$11:$M$1034,12,FALSE)</f>
        <v>372.29</v>
      </c>
      <c r="H297" s="61" t="str">
        <f t="shared" si="48"/>
        <v xml:space="preserve"> CZK</v>
      </c>
      <c r="I297" s="46" t="str">
        <f t="shared" si="49"/>
        <v/>
      </c>
      <c r="J297" s="138"/>
      <c r="K297" s="47">
        <f>VLOOKUP(B297,CENY!$B$11:$M$1034,8,FALSE)</f>
        <v>0</v>
      </c>
      <c r="L297" s="47" t="str">
        <f>VLOOKUP(B297,CENY!$B$11:$M$1034,9,FALSE)</f>
        <v xml:space="preserve"> </v>
      </c>
      <c r="M297" s="55"/>
      <c r="N297" s="38">
        <f t="shared" ref="N297:N320" si="51">SUM(P297:BX297)</f>
        <v>0</v>
      </c>
      <c r="O297" s="39">
        <v>0</v>
      </c>
      <c r="P297" s="450">
        <f>'AVT101'!AZ54</f>
        <v>0</v>
      </c>
      <c r="Q297" s="41"/>
      <c r="R297" s="41"/>
      <c r="S297" s="41"/>
      <c r="T297" s="450">
        <f>'AVT187'!AZ54</f>
        <v>0</v>
      </c>
      <c r="U297" s="41"/>
      <c r="V297" s="41"/>
      <c r="W297" s="41"/>
      <c r="X297" s="41"/>
      <c r="Y297" s="41"/>
      <c r="Z297" s="450">
        <f>'AVT101(vn-A)'!AZ54</f>
        <v>0</v>
      </c>
      <c r="AA297" s="41"/>
      <c r="AB297" s="41"/>
      <c r="AC297" s="41"/>
      <c r="AD297" s="450">
        <f>'AVT187(vn-A)'!AZ54</f>
        <v>0</v>
      </c>
      <c r="AE297" s="41"/>
      <c r="AF297" s="41"/>
      <c r="AG297" s="41"/>
      <c r="AH297" s="450">
        <f>'AVT187(vn-S)'!AZ54</f>
        <v>0</v>
      </c>
      <c r="AI297" s="41"/>
      <c r="AJ297" s="41"/>
      <c r="AK297" s="41"/>
      <c r="AL297" s="41"/>
      <c r="AM297" s="41"/>
      <c r="AN297" s="450">
        <f>'AVT-celny-101+187'!AZ50</f>
        <v>0</v>
      </c>
      <c r="AO297" s="41"/>
      <c r="AP297" s="41"/>
      <c r="AQ297" s="41"/>
      <c r="AR297" s="450">
        <f>'AVT-celny-2x187'!AZ40</f>
        <v>0</v>
      </c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203"/>
      <c r="BP297" s="203"/>
      <c r="BQ297" s="203"/>
      <c r="BR297" s="203"/>
      <c r="BS297" s="203"/>
      <c r="BT297" s="203"/>
      <c r="BU297" s="203"/>
      <c r="BV297" s="203"/>
      <c r="BW297" s="62"/>
      <c r="BX297" s="185"/>
      <c r="BY297" s="35"/>
      <c r="BZ297" s="27"/>
      <c r="CA297" s="27"/>
      <c r="CB297" s="27"/>
      <c r="CC297" s="27"/>
      <c r="CD297" s="27"/>
      <c r="CE297" s="27"/>
      <c r="CF297" s="27"/>
    </row>
    <row r="298" spans="1:84" ht="15" customHeight="1">
      <c r="A298" s="4"/>
      <c r="B298" s="440">
        <f>CENY!B661</f>
        <v>9256884</v>
      </c>
      <c r="C298" s="48" t="str">
        <f>VLOOKUP(B298,CENY!$B$11:$G$1034,2,FALSE)</f>
        <v>QUADRO YOU PLNOVÝSUV 300 MM EB21 SILENT SYSTEM SADA</v>
      </c>
      <c r="D298" s="501">
        <f>VLOOKUP(B298,CENY!$B$11:$G$1034,3,FALSE)</f>
        <v>1</v>
      </c>
      <c r="E298" s="63" t="str">
        <f>IF(VLOOKUP(B298,CENY!$B$11:$G$1034,4,FALSE)=0,"",VLOOKUP(B298,CENY!$B$11:$G$1034,4,FALSE))</f>
        <v/>
      </c>
      <c r="F298" s="45" t="str">
        <f t="shared" si="50"/>
        <v/>
      </c>
      <c r="G298" s="59">
        <f>VLOOKUP(B298,CENY!$B$11:$M$1034,12,FALSE)</f>
        <v>369.3</v>
      </c>
      <c r="H298" s="61" t="str">
        <f t="shared" si="48"/>
        <v xml:space="preserve"> CZK</v>
      </c>
      <c r="I298" s="46" t="str">
        <f t="shared" si="49"/>
        <v/>
      </c>
      <c r="J298" s="138"/>
      <c r="K298" s="47">
        <f>VLOOKUP(B298,CENY!$B$11:$M$1034,8,FALSE)</f>
        <v>0</v>
      </c>
      <c r="L298" s="47" t="str">
        <f>VLOOKUP(B298,CENY!$B$11:$M$1034,9,FALSE)</f>
        <v xml:space="preserve"> </v>
      </c>
      <c r="M298" s="55"/>
      <c r="N298" s="38">
        <f t="shared" si="51"/>
        <v>0</v>
      </c>
      <c r="O298" s="39">
        <v>0</v>
      </c>
      <c r="P298" s="450">
        <f>'AVT101'!AZ55</f>
        <v>0</v>
      </c>
      <c r="Q298" s="41"/>
      <c r="R298" s="450">
        <f>'AVT139'!AZ46</f>
        <v>0</v>
      </c>
      <c r="S298" s="41"/>
      <c r="T298" s="450">
        <f>'AVT187'!AZ55</f>
        <v>0</v>
      </c>
      <c r="U298" s="41"/>
      <c r="V298" s="41"/>
      <c r="W298" s="41"/>
      <c r="X298" s="41"/>
      <c r="Y298" s="41"/>
      <c r="Z298" s="450">
        <f>'AVT101(vn-A)'!AZ55</f>
        <v>0</v>
      </c>
      <c r="AA298" s="41"/>
      <c r="AB298" s="450">
        <f>'AVT139(vn-A)'!AZ46</f>
        <v>0</v>
      </c>
      <c r="AC298" s="41"/>
      <c r="AD298" s="450">
        <f>'AVT187(vn-A)'!AZ55</f>
        <v>0</v>
      </c>
      <c r="AE298" s="41"/>
      <c r="AF298" s="41"/>
      <c r="AG298" s="41"/>
      <c r="AH298" s="450">
        <f>'AVT187(vn-S)'!AZ55</f>
        <v>0</v>
      </c>
      <c r="AI298" s="41"/>
      <c r="AJ298" s="41"/>
      <c r="AK298" s="41"/>
      <c r="AL298" s="41"/>
      <c r="AM298" s="41"/>
      <c r="AN298" s="450">
        <f>'AVT-celny-101+187'!AZ51</f>
        <v>0</v>
      </c>
      <c r="AO298" s="41"/>
      <c r="AP298" s="450">
        <f>'AVT-celny-139+187'!AZ42</f>
        <v>0</v>
      </c>
      <c r="AQ298" s="41"/>
      <c r="AR298" s="450">
        <f>'AVT-celny-2x187'!AZ41</f>
        <v>0</v>
      </c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203"/>
      <c r="BP298" s="203"/>
      <c r="BQ298" s="203"/>
      <c r="BR298" s="203"/>
      <c r="BS298" s="203"/>
      <c r="BT298" s="203"/>
      <c r="BU298" s="203"/>
      <c r="BV298" s="203"/>
      <c r="BW298" s="62"/>
      <c r="BX298" s="185"/>
      <c r="BY298" s="35"/>
      <c r="BZ298" s="27"/>
      <c r="CA298" s="27"/>
      <c r="CB298" s="27"/>
      <c r="CC298" s="27"/>
      <c r="CD298" s="27"/>
      <c r="CE298" s="27"/>
      <c r="CF298" s="27"/>
    </row>
    <row r="299" spans="1:84" ht="15" customHeight="1">
      <c r="A299" s="4"/>
      <c r="B299" s="440">
        <f>CENY!B662</f>
        <v>9256886</v>
      </c>
      <c r="C299" s="48" t="str">
        <f>VLOOKUP(B299,CENY!$B$11:$G$1034,2,FALSE)</f>
        <v>QUADRO YOU PLNOVÝSUV 350 MM EB21 SILENT SYSTEM SADA</v>
      </c>
      <c r="D299" s="501">
        <f>VLOOKUP(B299,CENY!$B$11:$G$1034,3,FALSE)</f>
        <v>1</v>
      </c>
      <c r="E299" s="63" t="str">
        <f>IF(VLOOKUP(B299,CENY!$B$11:$G$1034,4,FALSE)=0,"",VLOOKUP(B299,CENY!$B$11:$G$1034,4,FALSE))</f>
        <v/>
      </c>
      <c r="F299" s="45" t="str">
        <f t="shared" si="50"/>
        <v/>
      </c>
      <c r="G299" s="59">
        <f>VLOOKUP(B299,CENY!$B$11:$M$1034,12,FALSE)</f>
        <v>376.77</v>
      </c>
      <c r="H299" s="61" t="str">
        <f t="shared" si="48"/>
        <v xml:space="preserve"> CZK</v>
      </c>
      <c r="I299" s="46" t="str">
        <f t="shared" si="49"/>
        <v/>
      </c>
      <c r="J299" s="138"/>
      <c r="K299" s="47">
        <f>VLOOKUP(B299,CENY!$B$11:$M$1034,8,FALSE)</f>
        <v>0</v>
      </c>
      <c r="L299" s="47" t="str">
        <f>VLOOKUP(B299,CENY!$B$11:$M$1034,9,FALSE)</f>
        <v xml:space="preserve"> </v>
      </c>
      <c r="M299" s="55"/>
      <c r="N299" s="38">
        <f t="shared" si="51"/>
        <v>0</v>
      </c>
      <c r="O299" s="39">
        <v>0</v>
      </c>
      <c r="P299" s="450">
        <f>'AVT101'!AZ56</f>
        <v>0</v>
      </c>
      <c r="Q299" s="41"/>
      <c r="R299" s="450">
        <f>'AVT139'!AZ47</f>
        <v>0</v>
      </c>
      <c r="S299" s="41"/>
      <c r="T299" s="450">
        <f>'AVT187'!AZ56</f>
        <v>0</v>
      </c>
      <c r="U299" s="41"/>
      <c r="V299" s="450">
        <f>'AVT251'!AZ44</f>
        <v>0</v>
      </c>
      <c r="W299" s="41"/>
      <c r="X299" s="450">
        <f>AVT187In!AZ44</f>
        <v>0</v>
      </c>
      <c r="Y299" s="41"/>
      <c r="Z299" s="450">
        <f>'AVT101(vn-A)'!AZ56</f>
        <v>0</v>
      </c>
      <c r="AA299" s="41"/>
      <c r="AB299" s="450">
        <f>'AVT139(vn-A)'!AZ47</f>
        <v>0</v>
      </c>
      <c r="AC299" s="41"/>
      <c r="AD299" s="450">
        <f>'AVT187(vn-A)'!AZ56</f>
        <v>0</v>
      </c>
      <c r="AE299" s="41"/>
      <c r="AF299" s="450">
        <f>'AVT187In(vn-A)'!AZ44</f>
        <v>0</v>
      </c>
      <c r="AG299" s="41"/>
      <c r="AH299" s="450">
        <f>'AVT187(vn-S)'!AZ56</f>
        <v>0</v>
      </c>
      <c r="AI299" s="41"/>
      <c r="AJ299" s="450">
        <f>'AVT187In(vn-S)'!AZ44</f>
        <v>0</v>
      </c>
      <c r="AK299" s="41"/>
      <c r="AL299" s="41"/>
      <c r="AM299" s="41"/>
      <c r="AN299" s="450">
        <f>'AVT-celny-101+187'!AZ52</f>
        <v>0</v>
      </c>
      <c r="AO299" s="41"/>
      <c r="AP299" s="450">
        <f>'AVT-celny-139+187'!AZ43</f>
        <v>0</v>
      </c>
      <c r="AQ299" s="41"/>
      <c r="AR299" s="450">
        <f>'AVT-celny-2x187'!AZ42</f>
        <v>0</v>
      </c>
      <c r="AS299" s="41"/>
      <c r="AT299" s="450">
        <f>'AVT-celny-2x187In'!AZ34</f>
        <v>0</v>
      </c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203"/>
      <c r="BP299" s="203"/>
      <c r="BQ299" s="203"/>
      <c r="BR299" s="203"/>
      <c r="BS299" s="203"/>
      <c r="BT299" s="203"/>
      <c r="BU299" s="203"/>
      <c r="BV299" s="203"/>
      <c r="BW299" s="62"/>
      <c r="BX299" s="185"/>
      <c r="BY299" s="35"/>
      <c r="BZ299" s="27"/>
      <c r="CA299" s="27"/>
      <c r="CB299" s="27"/>
      <c r="CC299" s="27"/>
      <c r="CD299" s="27"/>
      <c r="CE299" s="27"/>
      <c r="CF299" s="27"/>
    </row>
    <row r="300" spans="1:84" ht="15" customHeight="1">
      <c r="A300" s="4"/>
      <c r="B300" s="440">
        <f>CENY!B663</f>
        <v>9256888</v>
      </c>
      <c r="C300" s="48" t="str">
        <f>VLOOKUP(B300,CENY!$B$11:$G$1034,2,FALSE)</f>
        <v>QUADRO YOU PLNOVÝSUV 400 MM EB21 SILENT SYSTEM SADA</v>
      </c>
      <c r="D300" s="501">
        <f>VLOOKUP(B300,CENY!$B$11:$G$1034,3,FALSE)</f>
        <v>1</v>
      </c>
      <c r="E300" s="63" t="str">
        <f>IF(VLOOKUP(B300,CENY!$B$11:$G$1034,4,FALSE)=0,"",VLOOKUP(B300,CENY!$B$11:$G$1034,4,FALSE))</f>
        <v/>
      </c>
      <c r="F300" s="45" t="str">
        <f t="shared" si="50"/>
        <v/>
      </c>
      <c r="G300" s="59">
        <f>VLOOKUP(B300,CENY!$B$11:$M$1034,12,FALSE)</f>
        <v>384.24</v>
      </c>
      <c r="H300" s="61" t="str">
        <f t="shared" si="48"/>
        <v xml:space="preserve"> CZK</v>
      </c>
      <c r="I300" s="46" t="str">
        <f t="shared" si="49"/>
        <v/>
      </c>
      <c r="J300" s="138"/>
      <c r="K300" s="47">
        <f>VLOOKUP(B300,CENY!$B$11:$M$1034,8,FALSE)</f>
        <v>0</v>
      </c>
      <c r="L300" s="47" t="str">
        <f>VLOOKUP(B300,CENY!$B$11:$M$1034,9,FALSE)</f>
        <v xml:space="preserve"> </v>
      </c>
      <c r="M300" s="55"/>
      <c r="N300" s="38">
        <f t="shared" si="51"/>
        <v>0</v>
      </c>
      <c r="O300" s="39">
        <v>0</v>
      </c>
      <c r="P300" s="450">
        <f>'AVT101'!AZ57</f>
        <v>0</v>
      </c>
      <c r="Q300" s="41"/>
      <c r="R300" s="450">
        <f>'AVT139'!AZ48</f>
        <v>0</v>
      </c>
      <c r="S300" s="41"/>
      <c r="T300" s="450">
        <f>'AVT187'!AZ57</f>
        <v>0</v>
      </c>
      <c r="U300" s="41"/>
      <c r="V300" s="450">
        <f>'AVT251'!AZ45</f>
        <v>0</v>
      </c>
      <c r="W300" s="41"/>
      <c r="X300" s="450">
        <f>AVT187In!AZ45</f>
        <v>0</v>
      </c>
      <c r="Y300" s="41"/>
      <c r="Z300" s="450">
        <f>'AVT101(vn-A)'!AZ57</f>
        <v>0</v>
      </c>
      <c r="AA300" s="41"/>
      <c r="AB300" s="450">
        <f>'AVT139(vn-A)'!AZ48</f>
        <v>0</v>
      </c>
      <c r="AC300" s="41"/>
      <c r="AD300" s="450">
        <f>'AVT187(vn-A)'!AZ57</f>
        <v>0</v>
      </c>
      <c r="AE300" s="41"/>
      <c r="AF300" s="450">
        <f>'AVT187In(vn-A)'!AZ45</f>
        <v>0</v>
      </c>
      <c r="AG300" s="41"/>
      <c r="AH300" s="450">
        <f>'AVT187(vn-S)'!AZ57</f>
        <v>0</v>
      </c>
      <c r="AI300" s="41"/>
      <c r="AJ300" s="450">
        <f>'AVT187In(vn-S)'!AZ45</f>
        <v>0</v>
      </c>
      <c r="AK300" s="41"/>
      <c r="AL300" s="450">
        <f>'AVT77'!AZ30</f>
        <v>0</v>
      </c>
      <c r="AM300" s="41"/>
      <c r="AN300" s="450">
        <f>'AVT-celny-101+187'!AZ53</f>
        <v>0</v>
      </c>
      <c r="AO300" s="41"/>
      <c r="AP300" s="450">
        <f>'AVT-celny-139+187'!AZ44</f>
        <v>0</v>
      </c>
      <c r="AQ300" s="41"/>
      <c r="AR300" s="450">
        <f>'AVT-celny-2x187'!AZ43</f>
        <v>0</v>
      </c>
      <c r="AS300" s="41"/>
      <c r="AT300" s="450">
        <f>'AVT-celny-2x187In'!AZ35</f>
        <v>0</v>
      </c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203"/>
      <c r="BP300" s="203"/>
      <c r="BQ300" s="203"/>
      <c r="BR300" s="203"/>
      <c r="BS300" s="203"/>
      <c r="BT300" s="203"/>
      <c r="BU300" s="203"/>
      <c r="BV300" s="203"/>
      <c r="BW300" s="62"/>
      <c r="BX300" s="185"/>
      <c r="BY300" s="35"/>
      <c r="BZ300" s="27"/>
      <c r="CA300" s="27"/>
      <c r="CB300" s="27"/>
      <c r="CC300" s="27"/>
      <c r="CD300" s="27"/>
      <c r="CE300" s="27"/>
      <c r="CF300" s="27"/>
    </row>
    <row r="301" spans="1:84" ht="15" customHeight="1">
      <c r="A301" s="4"/>
      <c r="B301" s="440">
        <f>CENY!B664</f>
        <v>9256890</v>
      </c>
      <c r="C301" s="48" t="str">
        <f>VLOOKUP(B301,CENY!$B$11:$G$1034,2,FALSE)</f>
        <v>QUADRO YOU PLNOVÝSUV 450 MM EB21 SILENT SYSTEM SADA</v>
      </c>
      <c r="D301" s="501">
        <f>VLOOKUP(B301,CENY!$B$11:$G$1034,3,FALSE)</f>
        <v>1</v>
      </c>
      <c r="E301" s="63" t="str">
        <f>IF(VLOOKUP(B301,CENY!$B$11:$G$1034,4,FALSE)=0,"",VLOOKUP(B301,CENY!$B$11:$G$1034,4,FALSE))</f>
        <v/>
      </c>
      <c r="F301" s="45" t="str">
        <f t="shared" si="50"/>
        <v/>
      </c>
      <c r="G301" s="59">
        <f>VLOOKUP(B301,CENY!$B$11:$M$1034,12,FALSE)</f>
        <v>391.72</v>
      </c>
      <c r="H301" s="61" t="str">
        <f t="shared" si="48"/>
        <v xml:space="preserve"> CZK</v>
      </c>
      <c r="I301" s="46" t="str">
        <f t="shared" si="49"/>
        <v/>
      </c>
      <c r="J301" s="138"/>
      <c r="K301" s="47">
        <f>VLOOKUP(B301,CENY!$B$11:$M$1034,8,FALSE)</f>
        <v>0</v>
      </c>
      <c r="L301" s="47" t="str">
        <f>VLOOKUP(B301,CENY!$B$11:$M$1034,9,FALSE)</f>
        <v xml:space="preserve"> </v>
      </c>
      <c r="M301" s="55"/>
      <c r="N301" s="38">
        <f t="shared" si="51"/>
        <v>0</v>
      </c>
      <c r="O301" s="39">
        <v>0</v>
      </c>
      <c r="P301" s="450">
        <f>'AVT101'!AZ58</f>
        <v>0</v>
      </c>
      <c r="Q301" s="41"/>
      <c r="R301" s="450">
        <f>'AVT139'!AZ49</f>
        <v>0</v>
      </c>
      <c r="S301" s="41"/>
      <c r="T301" s="450">
        <f>'AVT187'!AZ58</f>
        <v>0</v>
      </c>
      <c r="U301" s="41"/>
      <c r="V301" s="450">
        <f>'AVT251'!AZ46</f>
        <v>0</v>
      </c>
      <c r="W301" s="41"/>
      <c r="X301" s="450">
        <f>AVT187In!AZ46</f>
        <v>0</v>
      </c>
      <c r="Y301" s="41"/>
      <c r="Z301" s="450">
        <f>'AVT101(vn-A)'!AZ58</f>
        <v>0</v>
      </c>
      <c r="AA301" s="41"/>
      <c r="AB301" s="450">
        <f>'AVT139(vn-A)'!AZ49</f>
        <v>0</v>
      </c>
      <c r="AC301" s="41"/>
      <c r="AD301" s="450">
        <f>'AVT187(vn-A)'!AZ58</f>
        <v>0</v>
      </c>
      <c r="AE301" s="41"/>
      <c r="AF301" s="450">
        <f>'AVT187In(vn-A)'!AZ46</f>
        <v>0</v>
      </c>
      <c r="AG301" s="41"/>
      <c r="AH301" s="450">
        <f>'AVT187(vn-S)'!AZ58</f>
        <v>0</v>
      </c>
      <c r="AI301" s="41"/>
      <c r="AJ301" s="450">
        <f>'AVT187In(vn-S)'!AZ46</f>
        <v>0</v>
      </c>
      <c r="AK301" s="41"/>
      <c r="AL301" s="450">
        <f>'AVT77'!AZ31</f>
        <v>0</v>
      </c>
      <c r="AM301" s="41"/>
      <c r="AN301" s="450">
        <f>'AVT-celny-101+187'!AZ54</f>
        <v>0</v>
      </c>
      <c r="AO301" s="41"/>
      <c r="AP301" s="450">
        <f>'AVT-celny-139+187'!AZ45</f>
        <v>0</v>
      </c>
      <c r="AQ301" s="41"/>
      <c r="AR301" s="450">
        <f>'AVT-celny-2x187'!AZ44</f>
        <v>0</v>
      </c>
      <c r="AS301" s="41"/>
      <c r="AT301" s="450">
        <f>'AVT-celny-2x187In'!AZ36</f>
        <v>0</v>
      </c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203"/>
      <c r="BP301" s="203"/>
      <c r="BQ301" s="203"/>
      <c r="BR301" s="203"/>
      <c r="BS301" s="203"/>
      <c r="BT301" s="203"/>
      <c r="BU301" s="203"/>
      <c r="BV301" s="203"/>
      <c r="BW301" s="62"/>
      <c r="BX301" s="185"/>
      <c r="BY301" s="35"/>
      <c r="BZ301" s="27"/>
      <c r="CA301" s="27"/>
      <c r="CB301" s="27"/>
      <c r="CC301" s="27"/>
      <c r="CD301" s="27"/>
      <c r="CE301" s="27"/>
      <c r="CF301" s="27"/>
    </row>
    <row r="302" spans="1:84" ht="15" customHeight="1">
      <c r="A302" s="4"/>
      <c r="B302" s="440">
        <f>CENY!B665</f>
        <v>9256892</v>
      </c>
      <c r="C302" s="48" t="str">
        <f>VLOOKUP(B302,CENY!$B$11:$G$1034,2,FALSE)</f>
        <v>QUADRO YOU PLNOVÝSUV 500 MM EB21 SILENT SYSTEM SADA</v>
      </c>
      <c r="D302" s="501">
        <f>VLOOKUP(B302,CENY!$B$11:$G$1034,3,FALSE)</f>
        <v>1</v>
      </c>
      <c r="E302" s="63" t="str">
        <f>IF(VLOOKUP(B302,CENY!$B$11:$G$1034,4,FALSE)=0,"",VLOOKUP(B302,CENY!$B$11:$G$1034,4,FALSE))</f>
        <v/>
      </c>
      <c r="F302" s="45" t="str">
        <f t="shared" si="50"/>
        <v/>
      </c>
      <c r="G302" s="59">
        <f>VLOOKUP(B302,CENY!$B$11:$M$1034,12,FALSE)</f>
        <v>399.19</v>
      </c>
      <c r="H302" s="61" t="str">
        <f t="shared" si="48"/>
        <v xml:space="preserve"> CZK</v>
      </c>
      <c r="I302" s="46" t="str">
        <f t="shared" si="49"/>
        <v/>
      </c>
      <c r="J302" s="138"/>
      <c r="K302" s="47">
        <f>VLOOKUP(B302,CENY!$B$11:$M$1034,8,FALSE)</f>
        <v>0</v>
      </c>
      <c r="L302" s="47" t="str">
        <f>VLOOKUP(B302,CENY!$B$11:$M$1034,9,FALSE)</f>
        <v xml:space="preserve"> </v>
      </c>
      <c r="M302" s="55"/>
      <c r="N302" s="38">
        <f t="shared" si="51"/>
        <v>0</v>
      </c>
      <c r="O302" s="39">
        <v>0</v>
      </c>
      <c r="P302" s="450">
        <f>'AVT101'!AZ59</f>
        <v>0</v>
      </c>
      <c r="Q302" s="41"/>
      <c r="R302" s="450">
        <f>'AVT139'!AZ50</f>
        <v>0</v>
      </c>
      <c r="S302" s="41"/>
      <c r="T302" s="450">
        <f>'AVT187'!AZ59</f>
        <v>0</v>
      </c>
      <c r="U302" s="41"/>
      <c r="V302" s="450">
        <f>'AVT251'!AZ47</f>
        <v>0</v>
      </c>
      <c r="W302" s="41"/>
      <c r="X302" s="450">
        <f>AVT187In!AZ47</f>
        <v>0</v>
      </c>
      <c r="Y302" s="41"/>
      <c r="Z302" s="450">
        <f>'AVT101(vn-A)'!AZ59</f>
        <v>0</v>
      </c>
      <c r="AA302" s="41"/>
      <c r="AB302" s="450">
        <f>'AVT139(vn-A)'!AZ50</f>
        <v>0</v>
      </c>
      <c r="AC302" s="41"/>
      <c r="AD302" s="450">
        <f>'AVT187(vn-A)'!AZ59</f>
        <v>0</v>
      </c>
      <c r="AE302" s="41"/>
      <c r="AF302" s="450">
        <f>'AVT187In(vn-A)'!AZ47</f>
        <v>0</v>
      </c>
      <c r="AG302" s="41"/>
      <c r="AH302" s="450">
        <f>'AVT187(vn-S)'!AZ59</f>
        <v>0</v>
      </c>
      <c r="AI302" s="41"/>
      <c r="AJ302" s="450">
        <f>'AVT187In(vn-S)'!AZ47</f>
        <v>0</v>
      </c>
      <c r="AK302" s="41"/>
      <c r="AL302" s="450">
        <f>'AVT77'!AZ32</f>
        <v>0</v>
      </c>
      <c r="AM302" s="41"/>
      <c r="AN302" s="450">
        <f>'AVT-celny-101+187'!AZ55</f>
        <v>0</v>
      </c>
      <c r="AO302" s="41"/>
      <c r="AP302" s="450">
        <f>'AVT-celny-139+187'!AZ46</f>
        <v>0</v>
      </c>
      <c r="AQ302" s="41"/>
      <c r="AR302" s="450">
        <f>'AVT-celny-2x187'!AZ45</f>
        <v>0</v>
      </c>
      <c r="AS302" s="41"/>
      <c r="AT302" s="450">
        <f>'AVT-celny-2x187In'!AZ37</f>
        <v>0</v>
      </c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203"/>
      <c r="BP302" s="203"/>
      <c r="BQ302" s="203"/>
      <c r="BR302" s="203"/>
      <c r="BS302" s="203"/>
      <c r="BT302" s="203"/>
      <c r="BU302" s="203"/>
      <c r="BV302" s="203"/>
      <c r="BW302" s="62"/>
      <c r="BX302" s="185"/>
      <c r="BY302" s="35"/>
      <c r="BZ302" s="27"/>
      <c r="CA302" s="27"/>
      <c r="CB302" s="27"/>
      <c r="CC302" s="27"/>
      <c r="CD302" s="27"/>
      <c r="CE302" s="27"/>
      <c r="CF302" s="27"/>
    </row>
    <row r="303" spans="1:84" ht="15" customHeight="1">
      <c r="A303" s="4"/>
      <c r="B303" s="440">
        <f>CENY!B666</f>
        <v>9256894</v>
      </c>
      <c r="C303" s="48" t="str">
        <f>VLOOKUP(B303,CENY!$B$11:$G$1034,2,FALSE)</f>
        <v>QUADRO YOU PLNOVÝSUV 550 MM EB21 SILENT SYSTEM SADA</v>
      </c>
      <c r="D303" s="501">
        <f>VLOOKUP(B303,CENY!$B$11:$G$1034,3,FALSE)</f>
        <v>1</v>
      </c>
      <c r="E303" s="63" t="str">
        <f>IF(VLOOKUP(B303,CENY!$B$11:$G$1034,4,FALSE)=0,"",VLOOKUP(B303,CENY!$B$11:$G$1034,4,FALSE))</f>
        <v/>
      </c>
      <c r="F303" s="45" t="str">
        <f t="shared" si="50"/>
        <v/>
      </c>
      <c r="G303" s="59">
        <f>VLOOKUP(B303,CENY!$B$11:$M$1034,12,FALSE)</f>
        <v>412.64</v>
      </c>
      <c r="H303" s="61" t="str">
        <f t="shared" si="48"/>
        <v xml:space="preserve"> CZK</v>
      </c>
      <c r="I303" s="46" t="str">
        <f t="shared" si="49"/>
        <v/>
      </c>
      <c r="J303" s="138"/>
      <c r="K303" s="47">
        <f>VLOOKUP(B303,CENY!$B$11:$M$1034,8,FALSE)</f>
        <v>0</v>
      </c>
      <c r="L303" s="47" t="str">
        <f>VLOOKUP(B303,CENY!$B$11:$M$1034,9,FALSE)</f>
        <v xml:space="preserve"> </v>
      </c>
      <c r="M303" s="55"/>
      <c r="N303" s="38">
        <f t="shared" si="51"/>
        <v>0</v>
      </c>
      <c r="O303" s="39">
        <v>0</v>
      </c>
      <c r="P303" s="450">
        <f>'AVT101'!AZ60</f>
        <v>0</v>
      </c>
      <c r="Q303" s="41"/>
      <c r="R303" s="450">
        <f>'AVT139'!AZ51</f>
        <v>0</v>
      </c>
      <c r="S303" s="41"/>
      <c r="T303" s="450">
        <f>'AVT187'!AZ60</f>
        <v>0</v>
      </c>
      <c r="U303" s="41"/>
      <c r="V303" s="450">
        <f>'AVT251'!AZ48</f>
        <v>0</v>
      </c>
      <c r="W303" s="41"/>
      <c r="X303" s="450">
        <f>AVT187In!AZ48</f>
        <v>0</v>
      </c>
      <c r="Y303" s="41"/>
      <c r="Z303" s="450">
        <f>'AVT101(vn-A)'!AZ60</f>
        <v>0</v>
      </c>
      <c r="AA303" s="41"/>
      <c r="AB303" s="450">
        <f>'AVT139(vn-A)'!AZ51</f>
        <v>0</v>
      </c>
      <c r="AC303" s="41"/>
      <c r="AD303" s="450">
        <f>'AVT187(vn-A)'!AZ60</f>
        <v>0</v>
      </c>
      <c r="AE303" s="41"/>
      <c r="AF303" s="450">
        <f>'AVT187In(vn-A)'!AZ48</f>
        <v>0</v>
      </c>
      <c r="AG303" s="41"/>
      <c r="AH303" s="450">
        <f>'AVT187(vn-S)'!AZ60</f>
        <v>0</v>
      </c>
      <c r="AI303" s="41"/>
      <c r="AJ303" s="450">
        <f>'AVT187In(vn-S)'!AZ48</f>
        <v>0</v>
      </c>
      <c r="AK303" s="41"/>
      <c r="AL303" s="450">
        <f>'AVT77'!AZ33</f>
        <v>0</v>
      </c>
      <c r="AM303" s="41"/>
      <c r="AN303" s="450">
        <f>'AVT-celny-101+187'!AZ56</f>
        <v>0</v>
      </c>
      <c r="AO303" s="41"/>
      <c r="AP303" s="450">
        <f>'AVT-celny-139+187'!AZ47</f>
        <v>0</v>
      </c>
      <c r="AQ303" s="41"/>
      <c r="AR303" s="450">
        <f>'AVT-celny-2x187'!AZ46</f>
        <v>0</v>
      </c>
      <c r="AS303" s="41"/>
      <c r="AT303" s="450">
        <f>'AVT-celny-2x187In'!AZ38</f>
        <v>0</v>
      </c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203"/>
      <c r="BP303" s="203"/>
      <c r="BQ303" s="203"/>
      <c r="BR303" s="203"/>
      <c r="BS303" s="203"/>
      <c r="BT303" s="203"/>
      <c r="BU303" s="203"/>
      <c r="BV303" s="203"/>
      <c r="BW303" s="62"/>
      <c r="BX303" s="185"/>
      <c r="BY303" s="35"/>
      <c r="BZ303" s="27"/>
      <c r="CA303" s="27"/>
      <c r="CB303" s="27"/>
      <c r="CC303" s="27"/>
      <c r="CD303" s="27"/>
      <c r="CE303" s="27"/>
      <c r="CF303" s="27"/>
    </row>
    <row r="304" spans="1:84" ht="15" customHeight="1">
      <c r="A304" s="4"/>
      <c r="B304" s="440">
        <f>CENY!B667</f>
        <v>9256896</v>
      </c>
      <c r="C304" s="48" t="str">
        <f>VLOOKUP(B304,CENY!$B$11:$G$1034,2,FALSE)</f>
        <v>QUADRO YOU PLNOVÝSUV 600 MM EB21 SILENT SYSTEM SADA</v>
      </c>
      <c r="D304" s="501">
        <f>VLOOKUP(B304,CENY!$B$11:$G$1034,3,FALSE)</f>
        <v>1</v>
      </c>
      <c r="E304" s="63" t="str">
        <f>IF(VLOOKUP(B304,CENY!$B$11:$G$1034,4,FALSE)=0,"",VLOOKUP(B304,CENY!$B$11:$G$1034,4,FALSE))</f>
        <v/>
      </c>
      <c r="F304" s="45" t="str">
        <f t="shared" si="50"/>
        <v/>
      </c>
      <c r="G304" s="59">
        <f>VLOOKUP(B304,CENY!$B$11:$M$1034,12,FALSE)</f>
        <v>420.11</v>
      </c>
      <c r="H304" s="61" t="str">
        <f t="shared" si="48"/>
        <v xml:space="preserve"> CZK</v>
      </c>
      <c r="I304" s="46" t="str">
        <f t="shared" si="49"/>
        <v/>
      </c>
      <c r="J304" s="138"/>
      <c r="K304" s="47">
        <f>VLOOKUP(B304,CENY!$B$11:$M$1034,8,FALSE)</f>
        <v>0</v>
      </c>
      <c r="L304" s="47" t="str">
        <f>VLOOKUP(B304,CENY!$B$11:$M$1034,9,FALSE)</f>
        <v xml:space="preserve"> </v>
      </c>
      <c r="M304" s="55"/>
      <c r="N304" s="38">
        <f t="shared" si="51"/>
        <v>0</v>
      </c>
      <c r="O304" s="39">
        <v>0</v>
      </c>
      <c r="P304" s="450">
        <f>'AVT101'!AZ61</f>
        <v>0</v>
      </c>
      <c r="Q304" s="41"/>
      <c r="R304" s="450">
        <f>'AVT139'!AZ52</f>
        <v>0</v>
      </c>
      <c r="S304" s="41"/>
      <c r="T304" s="450">
        <f>'AVT187'!AZ61</f>
        <v>0</v>
      </c>
      <c r="U304" s="41"/>
      <c r="V304" s="450">
        <f>'AVT251'!AZ49</f>
        <v>0</v>
      </c>
      <c r="W304" s="41"/>
      <c r="X304" s="450">
        <f>AVT187In!AZ49</f>
        <v>0</v>
      </c>
      <c r="Y304" s="41"/>
      <c r="Z304" s="450">
        <f>'AVT101(vn-A)'!AZ61</f>
        <v>0</v>
      </c>
      <c r="AA304" s="41"/>
      <c r="AB304" s="450">
        <f>'AVT139(vn-A)'!AZ52</f>
        <v>0</v>
      </c>
      <c r="AC304" s="41"/>
      <c r="AD304" s="450">
        <f>'AVT187(vn-A)'!AZ61</f>
        <v>0</v>
      </c>
      <c r="AE304" s="41"/>
      <c r="AF304" s="450">
        <f>'AVT187In(vn-A)'!AZ49</f>
        <v>0</v>
      </c>
      <c r="AG304" s="41"/>
      <c r="AH304" s="450">
        <f>'AVT187(vn-S)'!AZ61</f>
        <v>0</v>
      </c>
      <c r="AI304" s="41"/>
      <c r="AJ304" s="450">
        <f>'AVT187In(vn-S)'!AZ49</f>
        <v>0</v>
      </c>
      <c r="AK304" s="41"/>
      <c r="AL304" s="41"/>
      <c r="AM304" s="41"/>
      <c r="AN304" s="450">
        <f>'AVT-celny-101+187'!AZ57</f>
        <v>0</v>
      </c>
      <c r="AO304" s="41"/>
      <c r="AP304" s="450">
        <f>'AVT-celny-139+187'!AZ48</f>
        <v>0</v>
      </c>
      <c r="AQ304" s="41"/>
      <c r="AR304" s="450">
        <f>'AVT-celny-2x187'!AZ47</f>
        <v>0</v>
      </c>
      <c r="AS304" s="41"/>
      <c r="AT304" s="450">
        <f>'AVT-celny-2x187In'!AZ39</f>
        <v>0</v>
      </c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203"/>
      <c r="BP304" s="203"/>
      <c r="BQ304" s="203"/>
      <c r="BR304" s="203"/>
      <c r="BS304" s="203"/>
      <c r="BT304" s="203"/>
      <c r="BU304" s="203"/>
      <c r="BV304" s="203"/>
      <c r="BW304" s="62"/>
      <c r="BX304" s="185"/>
      <c r="BY304" s="35"/>
      <c r="BZ304" s="27"/>
      <c r="CA304" s="27"/>
      <c r="CB304" s="27"/>
      <c r="CC304" s="27"/>
      <c r="CD304" s="27"/>
      <c r="CE304" s="27"/>
      <c r="CF304" s="27"/>
    </row>
    <row r="305" spans="1:84" ht="15" customHeight="1">
      <c r="A305" s="4"/>
      <c r="B305" s="440">
        <f>CENY!B668</f>
        <v>9256854</v>
      </c>
      <c r="C305" s="48" t="str">
        <f>VLOOKUP(B305,CENY!$B$11:$G$1034,2,FALSE)</f>
        <v>QUADRO YOU PLNOVÝSUV 270 MM EB21 SILENT SYSTEM LEVÝ</v>
      </c>
      <c r="D305" s="488">
        <f>VLOOKUP(B305,CENY!$B$11:$G$1034,3,FALSE)</f>
        <v>20</v>
      </c>
      <c r="E305" s="63" t="str">
        <f>IF(VLOOKUP(B305,CENY!$B$11:$G$1034,4,FALSE)=0,"",VLOOKUP(B305,CENY!$B$11:$G$1034,4,FALSE))</f>
        <v/>
      </c>
      <c r="F305" s="45" t="str">
        <f t="shared" si="50"/>
        <v/>
      </c>
      <c r="G305" s="59">
        <f>VLOOKUP(B305,CENY!$B$11:$M$1034,12,FALSE)</f>
        <v>174.19</v>
      </c>
      <c r="H305" s="61" t="str">
        <f t="shared" si="48"/>
        <v xml:space="preserve"> CZK</v>
      </c>
      <c r="I305" s="46" t="str">
        <f t="shared" si="49"/>
        <v/>
      </c>
      <c r="J305" s="138"/>
      <c r="K305" s="47">
        <f>VLOOKUP(B305,CENY!$B$11:$M$1034,8,FALSE)</f>
        <v>0</v>
      </c>
      <c r="L305" s="47" t="str">
        <f>VLOOKUP(B305,CENY!$B$11:$M$1034,9,FALSE)</f>
        <v xml:space="preserve"> </v>
      </c>
      <c r="M305" s="55"/>
      <c r="N305" s="38">
        <f t="shared" si="51"/>
        <v>0</v>
      </c>
      <c r="O305" s="39">
        <v>0</v>
      </c>
      <c r="P305" s="41"/>
      <c r="Q305" s="450">
        <f>'AVT101'!BI85</f>
        <v>0</v>
      </c>
      <c r="R305" s="41"/>
      <c r="S305" s="41"/>
      <c r="T305" s="41"/>
      <c r="U305" s="450">
        <f>'AVT187'!BI85</f>
        <v>0</v>
      </c>
      <c r="V305" s="41"/>
      <c r="W305" s="41"/>
      <c r="X305" s="41"/>
      <c r="Y305" s="41"/>
      <c r="Z305" s="41"/>
      <c r="AA305" s="450">
        <f>'AVT101(vn-A)'!BI85</f>
        <v>0</v>
      </c>
      <c r="AB305" s="41"/>
      <c r="AC305" s="41"/>
      <c r="AD305" s="41"/>
      <c r="AE305" s="450">
        <f>'AVT187(vn-A)'!BI85</f>
        <v>0</v>
      </c>
      <c r="AF305" s="41"/>
      <c r="AG305" s="41"/>
      <c r="AH305" s="41"/>
      <c r="AI305" s="450">
        <f>'AVT187(vn-S)'!BI85</f>
        <v>0</v>
      </c>
      <c r="AJ305" s="41"/>
      <c r="AK305" s="41"/>
      <c r="AL305" s="41"/>
      <c r="AM305" s="41"/>
      <c r="AN305" s="41"/>
      <c r="AO305" s="450">
        <f>'AVT-celny-101+187'!BI85</f>
        <v>0</v>
      </c>
      <c r="AP305" s="41"/>
      <c r="AQ305" s="41"/>
      <c r="AR305" s="41"/>
      <c r="AS305" s="450">
        <f>'AVT-celny-2x187'!BI65</f>
        <v>0</v>
      </c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203"/>
      <c r="BP305" s="203"/>
      <c r="BQ305" s="203"/>
      <c r="BR305" s="203"/>
      <c r="BS305" s="203"/>
      <c r="BT305" s="203"/>
      <c r="BU305" s="203"/>
      <c r="BV305" s="203"/>
      <c r="BW305" s="62"/>
      <c r="BX305" s="185"/>
      <c r="BY305" s="35"/>
      <c r="BZ305" s="27"/>
      <c r="CA305" s="27"/>
      <c r="CB305" s="27"/>
      <c r="CC305" s="27"/>
      <c r="CD305" s="27"/>
      <c r="CE305" s="27"/>
      <c r="CF305" s="27"/>
    </row>
    <row r="306" spans="1:84" ht="15" customHeight="1">
      <c r="A306" s="4"/>
      <c r="B306" s="440">
        <f>CENY!B669</f>
        <v>9256855</v>
      </c>
      <c r="C306" s="48" t="str">
        <f>VLOOKUP(B306,CENY!$B$11:$G$1034,2,FALSE)</f>
        <v>QUADRO YOU PLNOVÝSUV 270 MM EB21 SILENT SYSTEM PRAVÝ</v>
      </c>
      <c r="D306" s="488">
        <f>VLOOKUP(B306,CENY!$B$11:$G$1034,3,FALSE)</f>
        <v>20</v>
      </c>
      <c r="E306" s="63" t="str">
        <f>IF(VLOOKUP(B306,CENY!$B$11:$G$1034,4,FALSE)=0,"",VLOOKUP(B306,CENY!$B$11:$G$1034,4,FALSE))</f>
        <v/>
      </c>
      <c r="F306" s="45" t="str">
        <f t="shared" si="50"/>
        <v/>
      </c>
      <c r="G306" s="59">
        <f>VLOOKUP(B306,CENY!$B$11:$M$1034,12,FALSE)</f>
        <v>174.19</v>
      </c>
      <c r="H306" s="61" t="str">
        <f t="shared" si="48"/>
        <v xml:space="preserve"> CZK</v>
      </c>
      <c r="I306" s="46" t="str">
        <f t="shared" si="49"/>
        <v/>
      </c>
      <c r="J306" s="138"/>
      <c r="K306" s="47">
        <f>VLOOKUP(B306,CENY!$B$11:$M$1034,8,FALSE)</f>
        <v>0</v>
      </c>
      <c r="L306" s="47" t="str">
        <f>VLOOKUP(B306,CENY!$B$11:$M$1034,9,FALSE)</f>
        <v xml:space="preserve"> </v>
      </c>
      <c r="M306" s="55"/>
      <c r="N306" s="38">
        <f t="shared" si="51"/>
        <v>0</v>
      </c>
      <c r="O306" s="39">
        <v>0</v>
      </c>
      <c r="P306" s="41"/>
      <c r="Q306" s="450">
        <f>'AVT101'!BI86</f>
        <v>0</v>
      </c>
      <c r="R306" s="41"/>
      <c r="S306" s="41"/>
      <c r="T306" s="41"/>
      <c r="U306" s="450">
        <f>'AVT187'!BI86</f>
        <v>0</v>
      </c>
      <c r="V306" s="41"/>
      <c r="W306" s="41"/>
      <c r="X306" s="41"/>
      <c r="Y306" s="41"/>
      <c r="Z306" s="41"/>
      <c r="AA306" s="450">
        <f>'AVT101(vn-A)'!BI86</f>
        <v>0</v>
      </c>
      <c r="AB306" s="41"/>
      <c r="AC306" s="41"/>
      <c r="AD306" s="41"/>
      <c r="AE306" s="450">
        <f>'AVT187(vn-A)'!BI86</f>
        <v>0</v>
      </c>
      <c r="AF306" s="41"/>
      <c r="AG306" s="41"/>
      <c r="AH306" s="41"/>
      <c r="AI306" s="450">
        <f>'AVT187(vn-S)'!BI86</f>
        <v>0</v>
      </c>
      <c r="AJ306" s="41"/>
      <c r="AK306" s="41"/>
      <c r="AL306" s="41"/>
      <c r="AM306" s="41"/>
      <c r="AN306" s="41"/>
      <c r="AO306" s="450">
        <f>'AVT-celny-101+187'!BI86</f>
        <v>0</v>
      </c>
      <c r="AP306" s="41"/>
      <c r="AQ306" s="41"/>
      <c r="AR306" s="41"/>
      <c r="AS306" s="450">
        <f>'AVT-celny-2x187'!BI66</f>
        <v>0</v>
      </c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203"/>
      <c r="BP306" s="203"/>
      <c r="BQ306" s="203"/>
      <c r="BR306" s="203"/>
      <c r="BS306" s="203"/>
      <c r="BT306" s="203"/>
      <c r="BU306" s="203"/>
      <c r="BV306" s="203"/>
      <c r="BW306" s="62"/>
      <c r="BX306" s="185"/>
      <c r="BY306" s="35"/>
      <c r="BZ306" s="27"/>
      <c r="CA306" s="27"/>
      <c r="CB306" s="27"/>
      <c r="CC306" s="27"/>
      <c r="CD306" s="27"/>
      <c r="CE306" s="27"/>
      <c r="CF306" s="27"/>
    </row>
    <row r="307" spans="1:84" ht="15" customHeight="1">
      <c r="A307" s="4"/>
      <c r="B307" s="440">
        <f>CENY!B670</f>
        <v>9256856</v>
      </c>
      <c r="C307" s="48" t="str">
        <f>VLOOKUP(B307,CENY!$B$11:$G$1034,2,FALSE)</f>
        <v>QUADRO YOU PLNOVÝSUV 300 MM EB21 SILENT SYSTEM LEVÝ</v>
      </c>
      <c r="D307" s="488">
        <f>VLOOKUP(B307,CENY!$B$11:$G$1034,3,FALSE)</f>
        <v>20</v>
      </c>
      <c r="E307" s="63" t="str">
        <f>IF(VLOOKUP(B307,CENY!$B$11:$G$1034,4,FALSE)=0,"",VLOOKUP(B307,CENY!$B$11:$G$1034,4,FALSE))</f>
        <v/>
      </c>
      <c r="F307" s="45" t="str">
        <f t="shared" si="50"/>
        <v/>
      </c>
      <c r="G307" s="59">
        <f>VLOOKUP(B307,CENY!$B$11:$M$1034,12,FALSE)</f>
        <v>172.7</v>
      </c>
      <c r="H307" s="61" t="str">
        <f t="shared" si="48"/>
        <v xml:space="preserve"> CZK</v>
      </c>
      <c r="I307" s="46" t="str">
        <f t="shared" si="49"/>
        <v/>
      </c>
      <c r="J307" s="138"/>
      <c r="K307" s="47">
        <f>VLOOKUP(B307,CENY!$B$11:$M$1034,8,FALSE)</f>
        <v>0</v>
      </c>
      <c r="L307" s="47" t="str">
        <f>VLOOKUP(B307,CENY!$B$11:$M$1034,9,FALSE)</f>
        <v xml:space="preserve"> </v>
      </c>
      <c r="M307" s="55"/>
      <c r="N307" s="38">
        <f t="shared" si="51"/>
        <v>0</v>
      </c>
      <c r="O307" s="39">
        <v>0</v>
      </c>
      <c r="P307" s="41"/>
      <c r="Q307" s="450">
        <f>'AVT101'!BI87</f>
        <v>0</v>
      </c>
      <c r="R307" s="41"/>
      <c r="S307" s="450">
        <f>'AVT139'!BI71</f>
        <v>0</v>
      </c>
      <c r="T307" s="41"/>
      <c r="U307" s="450">
        <f>'AVT187'!BI87</f>
        <v>0</v>
      </c>
      <c r="V307" s="41"/>
      <c r="W307" s="41"/>
      <c r="X307" s="41"/>
      <c r="Y307" s="41"/>
      <c r="Z307" s="41"/>
      <c r="AA307" s="450">
        <f>'AVT101(vn-A)'!BI87</f>
        <v>0</v>
      </c>
      <c r="AB307" s="41"/>
      <c r="AC307" s="450">
        <f>'AVT139(vn-A)'!BI71</f>
        <v>0</v>
      </c>
      <c r="AD307" s="41"/>
      <c r="AE307" s="450">
        <f>'AVT187(vn-A)'!BI87</f>
        <v>0</v>
      </c>
      <c r="AF307" s="41"/>
      <c r="AG307" s="41"/>
      <c r="AH307" s="41"/>
      <c r="AI307" s="450">
        <f>'AVT187(vn-S)'!BI87</f>
        <v>0</v>
      </c>
      <c r="AJ307" s="41"/>
      <c r="AK307" s="41"/>
      <c r="AL307" s="41"/>
      <c r="AM307" s="41"/>
      <c r="AN307" s="41"/>
      <c r="AO307" s="450">
        <f>'AVT-celny-101+187'!BI87</f>
        <v>0</v>
      </c>
      <c r="AP307" s="41"/>
      <c r="AQ307" s="450">
        <f>'AVT-celny-139+187'!BI71</f>
        <v>0</v>
      </c>
      <c r="AR307" s="41"/>
      <c r="AS307" s="450">
        <f>'AVT-celny-2x187'!BI67</f>
        <v>0</v>
      </c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203"/>
      <c r="BP307" s="203"/>
      <c r="BQ307" s="203"/>
      <c r="BR307" s="203"/>
      <c r="BS307" s="203"/>
      <c r="BT307" s="203"/>
      <c r="BU307" s="203"/>
      <c r="BV307" s="203"/>
      <c r="BW307" s="62"/>
      <c r="BX307" s="185"/>
      <c r="BY307" s="35"/>
      <c r="BZ307" s="27"/>
      <c r="CA307" s="27"/>
      <c r="CB307" s="27"/>
      <c r="CC307" s="27"/>
      <c r="CD307" s="27"/>
      <c r="CE307" s="27"/>
      <c r="CF307" s="27"/>
    </row>
    <row r="308" spans="1:84" ht="15" customHeight="1">
      <c r="A308" s="4"/>
      <c r="B308" s="440">
        <f>CENY!B671</f>
        <v>9256857</v>
      </c>
      <c r="C308" s="48" t="str">
        <f>VLOOKUP(B308,CENY!$B$11:$G$1034,2,FALSE)</f>
        <v>QUADRO YOU PLNOVÝSUV 300 MM EB21 SILENT SYSTEM PRAVÝ</v>
      </c>
      <c r="D308" s="488">
        <f>VLOOKUP(B308,CENY!$B$11:$G$1034,3,FALSE)</f>
        <v>20</v>
      </c>
      <c r="E308" s="63" t="str">
        <f>IF(VLOOKUP(B308,CENY!$B$11:$G$1034,4,FALSE)=0,"",VLOOKUP(B308,CENY!$B$11:$G$1034,4,FALSE))</f>
        <v/>
      </c>
      <c r="F308" s="45" t="str">
        <f t="shared" si="50"/>
        <v/>
      </c>
      <c r="G308" s="59">
        <f>VLOOKUP(B308,CENY!$B$11:$M$1034,12,FALSE)</f>
        <v>172.7</v>
      </c>
      <c r="H308" s="61" t="str">
        <f t="shared" si="48"/>
        <v xml:space="preserve"> CZK</v>
      </c>
      <c r="I308" s="46" t="str">
        <f t="shared" si="49"/>
        <v/>
      </c>
      <c r="J308" s="138"/>
      <c r="K308" s="47">
        <f>VLOOKUP(B308,CENY!$B$11:$M$1034,8,FALSE)</f>
        <v>0</v>
      </c>
      <c r="L308" s="47" t="str">
        <f>VLOOKUP(B308,CENY!$B$11:$M$1034,9,FALSE)</f>
        <v xml:space="preserve"> </v>
      </c>
      <c r="M308" s="55"/>
      <c r="N308" s="38">
        <f t="shared" si="51"/>
        <v>0</v>
      </c>
      <c r="O308" s="39">
        <v>0</v>
      </c>
      <c r="P308" s="41"/>
      <c r="Q308" s="450">
        <f>'AVT101'!BI88</f>
        <v>0</v>
      </c>
      <c r="R308" s="41"/>
      <c r="S308" s="450">
        <f>'AVT139'!BI72</f>
        <v>0</v>
      </c>
      <c r="T308" s="41"/>
      <c r="U308" s="450">
        <f>'AVT187'!BI88</f>
        <v>0</v>
      </c>
      <c r="V308" s="41"/>
      <c r="W308" s="41"/>
      <c r="X308" s="41"/>
      <c r="Y308" s="41"/>
      <c r="Z308" s="41"/>
      <c r="AA308" s="450">
        <f>'AVT101(vn-A)'!BI88</f>
        <v>0</v>
      </c>
      <c r="AB308" s="41"/>
      <c r="AC308" s="450">
        <f>'AVT139(vn-A)'!BI72</f>
        <v>0</v>
      </c>
      <c r="AD308" s="41"/>
      <c r="AE308" s="450">
        <f>'AVT187(vn-A)'!BI88</f>
        <v>0</v>
      </c>
      <c r="AF308" s="41"/>
      <c r="AG308" s="41"/>
      <c r="AH308" s="41"/>
      <c r="AI308" s="450">
        <f>'AVT187(vn-S)'!BI88</f>
        <v>0</v>
      </c>
      <c r="AJ308" s="41"/>
      <c r="AK308" s="41"/>
      <c r="AL308" s="41"/>
      <c r="AM308" s="41"/>
      <c r="AN308" s="41"/>
      <c r="AO308" s="450">
        <f>'AVT-celny-101+187'!BI88</f>
        <v>0</v>
      </c>
      <c r="AP308" s="41"/>
      <c r="AQ308" s="450">
        <f>'AVT-celny-139+187'!BI72</f>
        <v>0</v>
      </c>
      <c r="AR308" s="41"/>
      <c r="AS308" s="450">
        <f>'AVT-celny-2x187'!BI68</f>
        <v>0</v>
      </c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203"/>
      <c r="BP308" s="203"/>
      <c r="BQ308" s="203"/>
      <c r="BR308" s="203"/>
      <c r="BS308" s="203"/>
      <c r="BT308" s="203"/>
      <c r="BU308" s="203"/>
      <c r="BV308" s="203"/>
      <c r="BW308" s="62"/>
      <c r="BX308" s="185"/>
      <c r="BY308" s="35"/>
      <c r="BZ308" s="27"/>
      <c r="CA308" s="27"/>
      <c r="CB308" s="27"/>
      <c r="CC308" s="27"/>
      <c r="CD308" s="27"/>
      <c r="CE308" s="27"/>
      <c r="CF308" s="27"/>
    </row>
    <row r="309" spans="1:84" ht="15" customHeight="1">
      <c r="A309" s="4"/>
      <c r="B309" s="440">
        <f>CENY!B672</f>
        <v>9256860</v>
      </c>
      <c r="C309" s="48" t="str">
        <f>VLOOKUP(B309,CENY!$B$11:$G$1034,2,FALSE)</f>
        <v>QUADRO YOU PLNOVÝSUV 350 MM EB21 SILENT SYSTEM LEVÝ</v>
      </c>
      <c r="D309" s="488">
        <f>VLOOKUP(B309,CENY!$B$11:$G$1034,3,FALSE)</f>
        <v>20</v>
      </c>
      <c r="E309" s="63" t="str">
        <f>IF(VLOOKUP(B309,CENY!$B$11:$G$1034,4,FALSE)=0,"",VLOOKUP(B309,CENY!$B$11:$G$1034,4,FALSE))</f>
        <v/>
      </c>
      <c r="F309" s="45" t="str">
        <f t="shared" si="50"/>
        <v/>
      </c>
      <c r="G309" s="59">
        <f>VLOOKUP(B309,CENY!$B$11:$M$1034,12,FALSE)</f>
        <v>176.43</v>
      </c>
      <c r="H309" s="61" t="str">
        <f t="shared" si="48"/>
        <v xml:space="preserve"> CZK</v>
      </c>
      <c r="I309" s="46" t="str">
        <f t="shared" si="49"/>
        <v/>
      </c>
      <c r="J309" s="138"/>
      <c r="K309" s="47">
        <f>VLOOKUP(B309,CENY!$B$11:$M$1034,8,FALSE)</f>
        <v>0</v>
      </c>
      <c r="L309" s="47" t="str">
        <f>VLOOKUP(B309,CENY!$B$11:$M$1034,9,FALSE)</f>
        <v xml:space="preserve"> </v>
      </c>
      <c r="M309" s="55"/>
      <c r="N309" s="38">
        <f t="shared" si="51"/>
        <v>0</v>
      </c>
      <c r="O309" s="39">
        <v>0</v>
      </c>
      <c r="P309" s="41"/>
      <c r="Q309" s="450">
        <f>'AVT101'!BI89</f>
        <v>0</v>
      </c>
      <c r="R309" s="41"/>
      <c r="S309" s="450">
        <f>'AVT139'!BI73</f>
        <v>0</v>
      </c>
      <c r="T309" s="41"/>
      <c r="U309" s="450">
        <f>'AVT187'!BI89</f>
        <v>0</v>
      </c>
      <c r="V309" s="41"/>
      <c r="W309" s="450">
        <f>'AVT251'!BI68</f>
        <v>0</v>
      </c>
      <c r="X309" s="41"/>
      <c r="Y309" s="450">
        <f>AVT187In!BI67</f>
        <v>0</v>
      </c>
      <c r="Z309" s="41"/>
      <c r="AA309" s="450">
        <f>'AVT101(vn-A)'!BI89</f>
        <v>0</v>
      </c>
      <c r="AB309" s="41"/>
      <c r="AC309" s="450">
        <f>'AVT139(vn-A)'!BI73</f>
        <v>0</v>
      </c>
      <c r="AD309" s="41"/>
      <c r="AE309" s="450">
        <f>'AVT187(vn-A)'!BI89</f>
        <v>0</v>
      </c>
      <c r="AF309" s="41"/>
      <c r="AG309" s="450">
        <f>'AVT187In(vn-A)'!BI67</f>
        <v>0</v>
      </c>
      <c r="AH309" s="41"/>
      <c r="AI309" s="450">
        <f>'AVT187(vn-S)'!BI89</f>
        <v>0</v>
      </c>
      <c r="AJ309" s="41"/>
      <c r="AK309" s="450">
        <f>'AVT187In(vn-S)'!BI67</f>
        <v>0</v>
      </c>
      <c r="AL309" s="41"/>
      <c r="AM309" s="41"/>
      <c r="AN309" s="41"/>
      <c r="AO309" s="450">
        <f>'AVT-celny-101+187'!BI89</f>
        <v>0</v>
      </c>
      <c r="AP309" s="41"/>
      <c r="AQ309" s="450">
        <f>'AVT-celny-139+187'!BI73</f>
        <v>0</v>
      </c>
      <c r="AR309" s="41"/>
      <c r="AS309" s="450">
        <f>'AVT-celny-2x187'!BI69</f>
        <v>0</v>
      </c>
      <c r="AT309" s="41"/>
      <c r="AU309" s="450">
        <f>'AVT-celny-2x187In'!BI55</f>
        <v>0</v>
      </c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203"/>
      <c r="BP309" s="203"/>
      <c r="BQ309" s="203"/>
      <c r="BR309" s="203"/>
      <c r="BS309" s="203"/>
      <c r="BT309" s="203"/>
      <c r="BU309" s="203"/>
      <c r="BV309" s="203"/>
      <c r="BW309" s="62"/>
      <c r="BX309" s="185"/>
      <c r="BY309" s="35"/>
      <c r="BZ309" s="27"/>
      <c r="CA309" s="27"/>
      <c r="CB309" s="27"/>
      <c r="CC309" s="27"/>
      <c r="CD309" s="27"/>
      <c r="CE309" s="27"/>
      <c r="CF309" s="27"/>
    </row>
    <row r="310" spans="1:84" ht="15" customHeight="1">
      <c r="A310" s="4"/>
      <c r="B310" s="440">
        <f>CENY!B673</f>
        <v>9256861</v>
      </c>
      <c r="C310" s="48" t="str">
        <f>VLOOKUP(B310,CENY!$B$11:$G$1034,2,FALSE)</f>
        <v>QUADRO YOU PLNOVÝSUV 350 MM EB21 SILENT SYSTEM PRAVÝ</v>
      </c>
      <c r="D310" s="488">
        <f>VLOOKUP(B310,CENY!$B$11:$G$1034,3,FALSE)</f>
        <v>20</v>
      </c>
      <c r="E310" s="63" t="str">
        <f>IF(VLOOKUP(B310,CENY!$B$11:$G$1034,4,FALSE)=0,"",VLOOKUP(B310,CENY!$B$11:$G$1034,4,FALSE))</f>
        <v/>
      </c>
      <c r="F310" s="45" t="str">
        <f t="shared" si="50"/>
        <v/>
      </c>
      <c r="G310" s="59">
        <f>VLOOKUP(B310,CENY!$B$11:$M$1034,12,FALSE)</f>
        <v>176.43</v>
      </c>
      <c r="H310" s="61" t="str">
        <f t="shared" si="48"/>
        <v xml:space="preserve"> CZK</v>
      </c>
      <c r="I310" s="46" t="str">
        <f t="shared" si="49"/>
        <v/>
      </c>
      <c r="J310" s="138"/>
      <c r="K310" s="47">
        <f>VLOOKUP(B310,CENY!$B$11:$M$1034,8,FALSE)</f>
        <v>0</v>
      </c>
      <c r="L310" s="47" t="str">
        <f>VLOOKUP(B310,CENY!$B$11:$M$1034,9,FALSE)</f>
        <v xml:space="preserve"> </v>
      </c>
      <c r="M310" s="55"/>
      <c r="N310" s="38">
        <f t="shared" si="51"/>
        <v>0</v>
      </c>
      <c r="O310" s="39">
        <v>0</v>
      </c>
      <c r="P310" s="41"/>
      <c r="Q310" s="450">
        <f>'AVT101'!BI90</f>
        <v>0</v>
      </c>
      <c r="R310" s="41"/>
      <c r="S310" s="450">
        <f>'AVT139'!BI74</f>
        <v>0</v>
      </c>
      <c r="T310" s="41"/>
      <c r="U310" s="450">
        <f>'AVT187'!BI90</f>
        <v>0</v>
      </c>
      <c r="V310" s="41"/>
      <c r="W310" s="450">
        <f>'AVT251'!BI69</f>
        <v>0</v>
      </c>
      <c r="X310" s="41"/>
      <c r="Y310" s="450">
        <f>AVT187In!BI68</f>
        <v>0</v>
      </c>
      <c r="Z310" s="41"/>
      <c r="AA310" s="450">
        <f>'AVT101(vn-A)'!BI90</f>
        <v>0</v>
      </c>
      <c r="AB310" s="41"/>
      <c r="AC310" s="450">
        <f>'AVT139(vn-A)'!BI74</f>
        <v>0</v>
      </c>
      <c r="AD310" s="41"/>
      <c r="AE310" s="450">
        <f>'AVT187(vn-A)'!BI90</f>
        <v>0</v>
      </c>
      <c r="AF310" s="41"/>
      <c r="AG310" s="450">
        <f>'AVT187In(vn-A)'!BI68</f>
        <v>0</v>
      </c>
      <c r="AH310" s="41"/>
      <c r="AI310" s="450">
        <f>'AVT187(vn-S)'!BI90</f>
        <v>0</v>
      </c>
      <c r="AJ310" s="41"/>
      <c r="AK310" s="450">
        <f>'AVT187In(vn-S)'!BI68</f>
        <v>0</v>
      </c>
      <c r="AL310" s="41"/>
      <c r="AM310" s="41"/>
      <c r="AN310" s="41"/>
      <c r="AO310" s="450">
        <f>'AVT-celny-101+187'!BI90</f>
        <v>0</v>
      </c>
      <c r="AP310" s="41"/>
      <c r="AQ310" s="450">
        <f>'AVT-celny-139+187'!BI74</f>
        <v>0</v>
      </c>
      <c r="AR310" s="41"/>
      <c r="AS310" s="450">
        <f>'AVT-celny-2x187'!BI70</f>
        <v>0</v>
      </c>
      <c r="AT310" s="41"/>
      <c r="AU310" s="450">
        <f>'AVT-celny-2x187In'!BI56</f>
        <v>0</v>
      </c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203"/>
      <c r="BP310" s="203"/>
      <c r="BQ310" s="203"/>
      <c r="BR310" s="203"/>
      <c r="BS310" s="203"/>
      <c r="BT310" s="203"/>
      <c r="BU310" s="203"/>
      <c r="BV310" s="203"/>
      <c r="BW310" s="62"/>
      <c r="BX310" s="185"/>
      <c r="BY310" s="35"/>
      <c r="BZ310" s="27"/>
      <c r="CA310" s="27"/>
      <c r="CB310" s="27"/>
      <c r="CC310" s="27"/>
      <c r="CD310" s="27"/>
      <c r="CE310" s="27"/>
      <c r="CF310" s="27"/>
    </row>
    <row r="311" spans="1:84" ht="15" customHeight="1">
      <c r="A311" s="4"/>
      <c r="B311" s="440">
        <f>CENY!B674</f>
        <v>9256864</v>
      </c>
      <c r="C311" s="48" t="str">
        <f>VLOOKUP(B311,CENY!$B$11:$G$1034,2,FALSE)</f>
        <v>QUADRO YOU PLNOVÝSUV 400 MM EB21 SILENT SYSTEM LEVÝ</v>
      </c>
      <c r="D311" s="488">
        <f>VLOOKUP(B311,CENY!$B$11:$G$1034,3,FALSE)</f>
        <v>20</v>
      </c>
      <c r="E311" s="63" t="str">
        <f>IF(VLOOKUP(B311,CENY!$B$11:$G$1034,4,FALSE)=0,"",VLOOKUP(B311,CENY!$B$11:$G$1034,4,FALSE))</f>
        <v/>
      </c>
      <c r="F311" s="45" t="str">
        <f t="shared" si="50"/>
        <v/>
      </c>
      <c r="G311" s="59">
        <f>VLOOKUP(B311,CENY!$B$11:$M$1034,12,FALSE)</f>
        <v>180.17</v>
      </c>
      <c r="H311" s="61" t="str">
        <f t="shared" si="48"/>
        <v xml:space="preserve"> CZK</v>
      </c>
      <c r="I311" s="46" t="str">
        <f t="shared" si="49"/>
        <v/>
      </c>
      <c r="J311" s="138"/>
      <c r="K311" s="47">
        <f>VLOOKUP(B311,CENY!$B$11:$M$1034,8,FALSE)</f>
        <v>0</v>
      </c>
      <c r="L311" s="47" t="str">
        <f>VLOOKUP(B311,CENY!$B$11:$M$1034,9,FALSE)</f>
        <v xml:space="preserve"> </v>
      </c>
      <c r="M311" s="55"/>
      <c r="N311" s="38">
        <f t="shared" si="51"/>
        <v>0</v>
      </c>
      <c r="O311" s="39">
        <v>0</v>
      </c>
      <c r="P311" s="41"/>
      <c r="Q311" s="450">
        <f>'AVT101'!BI91</f>
        <v>0</v>
      </c>
      <c r="R311" s="41"/>
      <c r="S311" s="450">
        <f>'AVT139'!BI75</f>
        <v>0</v>
      </c>
      <c r="T311" s="41"/>
      <c r="U311" s="450">
        <f>'AVT187'!BI91</f>
        <v>0</v>
      </c>
      <c r="V311" s="41"/>
      <c r="W311" s="450">
        <f>'AVT251'!BI70</f>
        <v>0</v>
      </c>
      <c r="X311" s="41"/>
      <c r="Y311" s="450">
        <f>AVT187In!BI69</f>
        <v>0</v>
      </c>
      <c r="Z311" s="41"/>
      <c r="AA311" s="450">
        <f>'AVT101(vn-A)'!BI91</f>
        <v>0</v>
      </c>
      <c r="AB311" s="41"/>
      <c r="AC311" s="450">
        <f>'AVT139(vn-A)'!BI75</f>
        <v>0</v>
      </c>
      <c r="AD311" s="41"/>
      <c r="AE311" s="450">
        <f>'AVT187(vn-A)'!BI91</f>
        <v>0</v>
      </c>
      <c r="AF311" s="41"/>
      <c r="AG311" s="450">
        <f>'AVT187In(vn-A)'!BI69</f>
        <v>0</v>
      </c>
      <c r="AH311" s="41"/>
      <c r="AI311" s="450">
        <f>'AVT187(vn-S)'!BI91</f>
        <v>0</v>
      </c>
      <c r="AJ311" s="41"/>
      <c r="AK311" s="450">
        <f>'AVT187In(vn-S)'!BI69</f>
        <v>0</v>
      </c>
      <c r="AL311" s="41"/>
      <c r="AM311" s="450">
        <f>'AVT77'!BI44</f>
        <v>0</v>
      </c>
      <c r="AN311" s="41"/>
      <c r="AO311" s="450">
        <f>'AVT-celny-101+187'!BI91</f>
        <v>0</v>
      </c>
      <c r="AP311" s="41"/>
      <c r="AQ311" s="450">
        <f>'AVT-celny-139+187'!BI75</f>
        <v>0</v>
      </c>
      <c r="AR311" s="41"/>
      <c r="AS311" s="450">
        <f>'AVT-celny-2x187'!BI71</f>
        <v>0</v>
      </c>
      <c r="AT311" s="41"/>
      <c r="AU311" s="450">
        <f>'AVT-celny-2x187In'!BI57</f>
        <v>0</v>
      </c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203"/>
      <c r="BP311" s="203"/>
      <c r="BQ311" s="203"/>
      <c r="BR311" s="203"/>
      <c r="BS311" s="203"/>
      <c r="BT311" s="203"/>
      <c r="BU311" s="203"/>
      <c r="BV311" s="203"/>
      <c r="BW311" s="62"/>
      <c r="BX311" s="185"/>
      <c r="BY311" s="35"/>
      <c r="BZ311" s="27"/>
      <c r="CA311" s="27"/>
      <c r="CB311" s="27"/>
      <c r="CC311" s="27"/>
      <c r="CD311" s="27"/>
      <c r="CE311" s="27"/>
      <c r="CF311" s="27"/>
    </row>
    <row r="312" spans="1:84" ht="15" customHeight="1">
      <c r="A312" s="4"/>
      <c r="B312" s="440">
        <f>CENY!B675</f>
        <v>9256865</v>
      </c>
      <c r="C312" s="48" t="str">
        <f>VLOOKUP(B312,CENY!$B$11:$G$1034,2,FALSE)</f>
        <v>QUADRO YOU PLNOVÝSUV 400 MM EB21 SILENT SYSTEM PRAVÝ</v>
      </c>
      <c r="D312" s="488">
        <f>VLOOKUP(B312,CENY!$B$11:$G$1034,3,FALSE)</f>
        <v>20</v>
      </c>
      <c r="E312" s="63" t="str">
        <f>IF(VLOOKUP(B312,CENY!$B$11:$G$1034,4,FALSE)=0,"",VLOOKUP(B312,CENY!$B$11:$G$1034,4,FALSE))</f>
        <v/>
      </c>
      <c r="F312" s="45" t="str">
        <f t="shared" si="50"/>
        <v/>
      </c>
      <c r="G312" s="59">
        <f>VLOOKUP(B312,CENY!$B$11:$M$1034,12,FALSE)</f>
        <v>180.17</v>
      </c>
      <c r="H312" s="61" t="str">
        <f t="shared" si="48"/>
        <v xml:space="preserve"> CZK</v>
      </c>
      <c r="I312" s="46" t="str">
        <f t="shared" si="49"/>
        <v/>
      </c>
      <c r="J312" s="138"/>
      <c r="K312" s="47">
        <f>VLOOKUP(B312,CENY!$B$11:$M$1034,8,FALSE)</f>
        <v>0</v>
      </c>
      <c r="L312" s="47" t="str">
        <f>VLOOKUP(B312,CENY!$B$11:$M$1034,9,FALSE)</f>
        <v xml:space="preserve"> </v>
      </c>
      <c r="M312" s="55"/>
      <c r="N312" s="38">
        <f t="shared" si="51"/>
        <v>0</v>
      </c>
      <c r="O312" s="39">
        <v>0</v>
      </c>
      <c r="P312" s="41"/>
      <c r="Q312" s="450">
        <f>'AVT101'!BI92</f>
        <v>0</v>
      </c>
      <c r="R312" s="41"/>
      <c r="S312" s="450">
        <f>'AVT139'!BI76</f>
        <v>0</v>
      </c>
      <c r="T312" s="41"/>
      <c r="U312" s="450">
        <f>'AVT187'!BI92</f>
        <v>0</v>
      </c>
      <c r="V312" s="41"/>
      <c r="W312" s="450">
        <f>'AVT251'!BI71</f>
        <v>0</v>
      </c>
      <c r="X312" s="41"/>
      <c r="Y312" s="450">
        <f>AVT187In!BI70</f>
        <v>0</v>
      </c>
      <c r="Z312" s="41"/>
      <c r="AA312" s="450">
        <f>'AVT101(vn-A)'!BI92</f>
        <v>0</v>
      </c>
      <c r="AB312" s="41"/>
      <c r="AC312" s="450">
        <f>'AVT139(vn-A)'!BI76</f>
        <v>0</v>
      </c>
      <c r="AD312" s="41"/>
      <c r="AE312" s="450">
        <f>'AVT187(vn-A)'!BI92</f>
        <v>0</v>
      </c>
      <c r="AF312" s="41"/>
      <c r="AG312" s="450">
        <f>'AVT187In(vn-A)'!BI70</f>
        <v>0</v>
      </c>
      <c r="AH312" s="41"/>
      <c r="AI312" s="450">
        <f>'AVT187(vn-S)'!BI92</f>
        <v>0</v>
      </c>
      <c r="AJ312" s="41"/>
      <c r="AK312" s="450">
        <f>'AVT187In(vn-S)'!BI70</f>
        <v>0</v>
      </c>
      <c r="AL312" s="41"/>
      <c r="AM312" s="450">
        <f>'AVT77'!BI45</f>
        <v>0</v>
      </c>
      <c r="AN312" s="41"/>
      <c r="AO312" s="450">
        <f>'AVT-celny-101+187'!BI92</f>
        <v>0</v>
      </c>
      <c r="AP312" s="41"/>
      <c r="AQ312" s="450">
        <f>'AVT-celny-139+187'!BI76</f>
        <v>0</v>
      </c>
      <c r="AR312" s="41"/>
      <c r="AS312" s="450">
        <f>'AVT-celny-2x187'!BI72</f>
        <v>0</v>
      </c>
      <c r="AT312" s="41"/>
      <c r="AU312" s="450">
        <f>'AVT-celny-2x187In'!BI58</f>
        <v>0</v>
      </c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203"/>
      <c r="BP312" s="203"/>
      <c r="BQ312" s="203"/>
      <c r="BR312" s="203"/>
      <c r="BS312" s="203"/>
      <c r="BT312" s="203"/>
      <c r="BU312" s="203"/>
      <c r="BV312" s="203"/>
      <c r="BW312" s="62"/>
      <c r="BX312" s="185"/>
      <c r="BY312" s="35"/>
      <c r="BZ312" s="27"/>
      <c r="CA312" s="27"/>
      <c r="CB312" s="27"/>
      <c r="CC312" s="27"/>
      <c r="CD312" s="27"/>
      <c r="CE312" s="27"/>
      <c r="CF312" s="27"/>
    </row>
    <row r="313" spans="1:84" ht="15" customHeight="1">
      <c r="A313" s="4"/>
      <c r="B313" s="440">
        <f>CENY!B676</f>
        <v>9256868</v>
      </c>
      <c r="C313" s="48" t="str">
        <f>VLOOKUP(B313,CENY!$B$11:$G$1034,2,FALSE)</f>
        <v>QUADRO YOU PLNOVÝSUV 450 MM EB21 SILENT SYSTEM LEVÝ</v>
      </c>
      <c r="D313" s="488">
        <f>VLOOKUP(B313,CENY!$B$11:$G$1034,3,FALSE)</f>
        <v>20</v>
      </c>
      <c r="E313" s="63" t="str">
        <f>IF(VLOOKUP(B313,CENY!$B$11:$G$1034,4,FALSE)=0,"",VLOOKUP(B313,CENY!$B$11:$G$1034,4,FALSE))</f>
        <v/>
      </c>
      <c r="F313" s="45" t="str">
        <f t="shared" si="50"/>
        <v/>
      </c>
      <c r="G313" s="59">
        <f>VLOOKUP(B313,CENY!$B$11:$M$1034,12,FALSE)</f>
        <v>183.9</v>
      </c>
      <c r="H313" s="61" t="str">
        <f t="shared" si="48"/>
        <v xml:space="preserve"> CZK</v>
      </c>
      <c r="I313" s="46" t="str">
        <f t="shared" si="49"/>
        <v/>
      </c>
      <c r="J313" s="138"/>
      <c r="K313" s="47">
        <f>VLOOKUP(B313,CENY!$B$11:$M$1034,8,FALSE)</f>
        <v>0</v>
      </c>
      <c r="L313" s="47" t="str">
        <f>VLOOKUP(B313,CENY!$B$11:$M$1034,9,FALSE)</f>
        <v xml:space="preserve"> </v>
      </c>
      <c r="M313" s="55"/>
      <c r="N313" s="38">
        <f t="shared" si="51"/>
        <v>0</v>
      </c>
      <c r="O313" s="39">
        <v>0</v>
      </c>
      <c r="P313" s="41"/>
      <c r="Q313" s="450">
        <f>'AVT101'!BI93</f>
        <v>0</v>
      </c>
      <c r="R313" s="41"/>
      <c r="S313" s="450">
        <f>'AVT139'!BI77</f>
        <v>0</v>
      </c>
      <c r="T313" s="41"/>
      <c r="U313" s="450">
        <f>'AVT187'!BI93</f>
        <v>0</v>
      </c>
      <c r="V313" s="41"/>
      <c r="W313" s="450">
        <f>'AVT251'!BI72</f>
        <v>0</v>
      </c>
      <c r="X313" s="41"/>
      <c r="Y313" s="450">
        <f>AVT187In!BI71</f>
        <v>0</v>
      </c>
      <c r="Z313" s="41"/>
      <c r="AA313" s="450">
        <f>'AVT101(vn-A)'!BI93</f>
        <v>0</v>
      </c>
      <c r="AB313" s="41"/>
      <c r="AC313" s="450">
        <f>'AVT139(vn-A)'!BI77</f>
        <v>0</v>
      </c>
      <c r="AD313" s="41"/>
      <c r="AE313" s="450">
        <f>'AVT187(vn-A)'!BI93</f>
        <v>0</v>
      </c>
      <c r="AF313" s="41"/>
      <c r="AG313" s="450">
        <f>'AVT187In(vn-A)'!BI71</f>
        <v>0</v>
      </c>
      <c r="AH313" s="41"/>
      <c r="AI313" s="450">
        <f>'AVT187(vn-S)'!BI93</f>
        <v>0</v>
      </c>
      <c r="AJ313" s="41"/>
      <c r="AK313" s="450">
        <f>'AVT187In(vn-S)'!BI71</f>
        <v>0</v>
      </c>
      <c r="AL313" s="41"/>
      <c r="AM313" s="450">
        <f>'AVT77'!BI46</f>
        <v>0</v>
      </c>
      <c r="AN313" s="41"/>
      <c r="AO313" s="450">
        <f>'AVT-celny-101+187'!BI93</f>
        <v>0</v>
      </c>
      <c r="AP313" s="41"/>
      <c r="AQ313" s="450">
        <f>'AVT-celny-139+187'!BI77</f>
        <v>0</v>
      </c>
      <c r="AR313" s="41"/>
      <c r="AS313" s="450">
        <f>'AVT-celny-2x187'!BI73</f>
        <v>0</v>
      </c>
      <c r="AT313" s="41"/>
      <c r="AU313" s="450">
        <f>'AVT-celny-2x187In'!BI59</f>
        <v>0</v>
      </c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203"/>
      <c r="BP313" s="203"/>
      <c r="BQ313" s="203"/>
      <c r="BR313" s="203"/>
      <c r="BS313" s="203"/>
      <c r="BT313" s="203"/>
      <c r="BU313" s="203"/>
      <c r="BV313" s="203"/>
      <c r="BW313" s="62"/>
      <c r="BX313" s="185"/>
      <c r="BY313" s="35"/>
      <c r="BZ313" s="27"/>
      <c r="CA313" s="27"/>
      <c r="CB313" s="27"/>
      <c r="CC313" s="27"/>
      <c r="CD313" s="27"/>
      <c r="CE313" s="27"/>
      <c r="CF313" s="27"/>
    </row>
    <row r="314" spans="1:84" ht="15" customHeight="1">
      <c r="A314" s="4"/>
      <c r="B314" s="440">
        <f>CENY!B677</f>
        <v>9256869</v>
      </c>
      <c r="C314" s="48" t="str">
        <f>VLOOKUP(B314,CENY!$B$11:$G$1034,2,FALSE)</f>
        <v>QUADRO YOU PLNOVÝSUV 450 MM EB21 SILENT SYSTEM PRAVÝ</v>
      </c>
      <c r="D314" s="488">
        <f>VLOOKUP(B314,CENY!$B$11:$G$1034,3,FALSE)</f>
        <v>20</v>
      </c>
      <c r="E314" s="63" t="str">
        <f>IF(VLOOKUP(B314,CENY!$B$11:$G$1034,4,FALSE)=0,"",VLOOKUP(B314,CENY!$B$11:$G$1034,4,FALSE))</f>
        <v/>
      </c>
      <c r="F314" s="45" t="str">
        <f t="shared" si="50"/>
        <v/>
      </c>
      <c r="G314" s="59">
        <f>VLOOKUP(B314,CENY!$B$11:$M$1034,12,FALSE)</f>
        <v>183.9</v>
      </c>
      <c r="H314" s="61" t="str">
        <f t="shared" si="48"/>
        <v xml:space="preserve"> CZK</v>
      </c>
      <c r="I314" s="46" t="str">
        <f t="shared" si="49"/>
        <v/>
      </c>
      <c r="J314" s="138"/>
      <c r="K314" s="47">
        <f>VLOOKUP(B314,CENY!$B$11:$M$1034,8,FALSE)</f>
        <v>0</v>
      </c>
      <c r="L314" s="47" t="str">
        <f>VLOOKUP(B314,CENY!$B$11:$M$1034,9,FALSE)</f>
        <v xml:space="preserve"> </v>
      </c>
      <c r="M314" s="55"/>
      <c r="N314" s="38">
        <f t="shared" si="51"/>
        <v>0</v>
      </c>
      <c r="O314" s="39">
        <v>0</v>
      </c>
      <c r="P314" s="41"/>
      <c r="Q314" s="450">
        <f>'AVT101'!BI94</f>
        <v>0</v>
      </c>
      <c r="R314" s="41"/>
      <c r="S314" s="450">
        <f>'AVT139'!BI78</f>
        <v>0</v>
      </c>
      <c r="T314" s="41"/>
      <c r="U314" s="450">
        <f>'AVT187'!BI94</f>
        <v>0</v>
      </c>
      <c r="V314" s="41"/>
      <c r="W314" s="450">
        <f>'AVT251'!BI73</f>
        <v>0</v>
      </c>
      <c r="X314" s="41"/>
      <c r="Y314" s="450">
        <f>AVT187In!BI72</f>
        <v>0</v>
      </c>
      <c r="Z314" s="41"/>
      <c r="AA314" s="450">
        <f>'AVT101(vn-A)'!BI94</f>
        <v>0</v>
      </c>
      <c r="AB314" s="41"/>
      <c r="AC314" s="450">
        <f>'AVT139(vn-A)'!BI78</f>
        <v>0</v>
      </c>
      <c r="AD314" s="41"/>
      <c r="AE314" s="450">
        <f>'AVT187(vn-A)'!BI94</f>
        <v>0</v>
      </c>
      <c r="AF314" s="41"/>
      <c r="AG314" s="450">
        <f>'AVT187In(vn-A)'!BI72</f>
        <v>0</v>
      </c>
      <c r="AH314" s="41"/>
      <c r="AI314" s="450">
        <f>'AVT187(vn-S)'!BI94</f>
        <v>0</v>
      </c>
      <c r="AJ314" s="41"/>
      <c r="AK314" s="450">
        <f>'AVT187In(vn-S)'!BI72</f>
        <v>0</v>
      </c>
      <c r="AL314" s="41"/>
      <c r="AM314" s="450">
        <f>'AVT77'!BI47</f>
        <v>0</v>
      </c>
      <c r="AN314" s="41"/>
      <c r="AO314" s="450">
        <f>'AVT-celny-101+187'!BI94</f>
        <v>0</v>
      </c>
      <c r="AP314" s="41"/>
      <c r="AQ314" s="450">
        <f>'AVT-celny-139+187'!BI78</f>
        <v>0</v>
      </c>
      <c r="AR314" s="41"/>
      <c r="AS314" s="450">
        <f>'AVT-celny-2x187'!BI74</f>
        <v>0</v>
      </c>
      <c r="AT314" s="41"/>
      <c r="AU314" s="450">
        <f>'AVT-celny-2x187In'!BI60</f>
        <v>0</v>
      </c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203"/>
      <c r="BP314" s="203"/>
      <c r="BQ314" s="203"/>
      <c r="BR314" s="203"/>
      <c r="BS314" s="203"/>
      <c r="BT314" s="203"/>
      <c r="BU314" s="203"/>
      <c r="BV314" s="203"/>
      <c r="BW314" s="62"/>
      <c r="BX314" s="185"/>
      <c r="BY314" s="35"/>
      <c r="BZ314" s="27"/>
      <c r="CA314" s="27"/>
      <c r="CB314" s="27"/>
      <c r="CC314" s="27"/>
      <c r="CD314" s="27"/>
      <c r="CE314" s="27"/>
      <c r="CF314" s="27"/>
    </row>
    <row r="315" spans="1:84" ht="15" customHeight="1">
      <c r="A315" s="4"/>
      <c r="B315" s="440">
        <f>CENY!B678</f>
        <v>9256872</v>
      </c>
      <c r="C315" s="48" t="str">
        <f>VLOOKUP(B315,CENY!$B$11:$G$1034,2,FALSE)</f>
        <v>QUADRO YOU PLNOVÝSUV 500 MM EB21 SILENT SYSTEM LEVÝ</v>
      </c>
      <c r="D315" s="488">
        <f>VLOOKUP(B315,CENY!$B$11:$G$1034,3,FALSE)</f>
        <v>20</v>
      </c>
      <c r="E315" s="63" t="str">
        <f>IF(VLOOKUP(B315,CENY!$B$11:$G$1034,4,FALSE)=0,"",VLOOKUP(B315,CENY!$B$11:$G$1034,4,FALSE))</f>
        <v/>
      </c>
      <c r="F315" s="45" t="str">
        <f t="shared" si="50"/>
        <v/>
      </c>
      <c r="G315" s="59">
        <f>VLOOKUP(B315,CENY!$B$11:$M$1034,12,FALSE)</f>
        <v>187.64</v>
      </c>
      <c r="H315" s="61" t="str">
        <f t="shared" si="48"/>
        <v xml:space="preserve"> CZK</v>
      </c>
      <c r="I315" s="46" t="str">
        <f t="shared" si="49"/>
        <v/>
      </c>
      <c r="J315" s="138"/>
      <c r="K315" s="47">
        <f>VLOOKUP(B315,CENY!$B$11:$M$1034,8,FALSE)</f>
        <v>0</v>
      </c>
      <c r="L315" s="47" t="str">
        <f>VLOOKUP(B315,CENY!$B$11:$M$1034,9,FALSE)</f>
        <v xml:space="preserve"> </v>
      </c>
      <c r="M315" s="55"/>
      <c r="N315" s="38">
        <f t="shared" si="51"/>
        <v>0</v>
      </c>
      <c r="O315" s="39">
        <v>0</v>
      </c>
      <c r="P315" s="41"/>
      <c r="Q315" s="450">
        <f>'AVT101'!BI95</f>
        <v>0</v>
      </c>
      <c r="R315" s="41"/>
      <c r="S315" s="450">
        <f>'AVT139'!BI79</f>
        <v>0</v>
      </c>
      <c r="T315" s="41"/>
      <c r="U315" s="450">
        <f>'AVT187'!BI95</f>
        <v>0</v>
      </c>
      <c r="V315" s="41"/>
      <c r="W315" s="450">
        <f>'AVT251'!BI74</f>
        <v>0</v>
      </c>
      <c r="X315" s="41"/>
      <c r="Y315" s="450">
        <f>AVT187In!BI73</f>
        <v>0</v>
      </c>
      <c r="Z315" s="41"/>
      <c r="AA315" s="450">
        <f>'AVT101(vn-A)'!BI95</f>
        <v>0</v>
      </c>
      <c r="AB315" s="41"/>
      <c r="AC315" s="450">
        <f>'AVT139(vn-A)'!BI79</f>
        <v>0</v>
      </c>
      <c r="AD315" s="41"/>
      <c r="AE315" s="450">
        <f>'AVT187(vn-A)'!BI95</f>
        <v>0</v>
      </c>
      <c r="AF315" s="41"/>
      <c r="AG315" s="450">
        <f>'AVT187In(vn-A)'!BI73</f>
        <v>0</v>
      </c>
      <c r="AH315" s="41"/>
      <c r="AI315" s="450">
        <f>'AVT187(vn-S)'!BI95</f>
        <v>0</v>
      </c>
      <c r="AJ315" s="41"/>
      <c r="AK315" s="450">
        <f>'AVT187In(vn-S)'!BI73</f>
        <v>0</v>
      </c>
      <c r="AL315" s="41"/>
      <c r="AM315" s="450">
        <f>'AVT77'!BI48</f>
        <v>0</v>
      </c>
      <c r="AN315" s="41"/>
      <c r="AO315" s="450">
        <f>'AVT-celny-101+187'!BI95</f>
        <v>0</v>
      </c>
      <c r="AP315" s="41"/>
      <c r="AQ315" s="450">
        <f>'AVT-celny-139+187'!BI79</f>
        <v>0</v>
      </c>
      <c r="AR315" s="41"/>
      <c r="AS315" s="450">
        <f>'AVT-celny-2x187'!BI75</f>
        <v>0</v>
      </c>
      <c r="AT315" s="41"/>
      <c r="AU315" s="450">
        <f>'AVT-celny-2x187In'!BI61</f>
        <v>0</v>
      </c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203"/>
      <c r="BP315" s="203"/>
      <c r="BQ315" s="203"/>
      <c r="BR315" s="203"/>
      <c r="BS315" s="203"/>
      <c r="BT315" s="203"/>
      <c r="BU315" s="203"/>
      <c r="BV315" s="203"/>
      <c r="BW315" s="62"/>
      <c r="BX315" s="185"/>
      <c r="BY315" s="35"/>
      <c r="BZ315" s="27"/>
      <c r="CA315" s="27"/>
      <c r="CB315" s="27"/>
      <c r="CC315" s="27"/>
      <c r="CD315" s="27"/>
      <c r="CE315" s="27"/>
      <c r="CF315" s="27"/>
    </row>
    <row r="316" spans="1:84" ht="15" customHeight="1">
      <c r="A316" s="4"/>
      <c r="B316" s="440">
        <f>CENY!B679</f>
        <v>9256873</v>
      </c>
      <c r="C316" s="48" t="str">
        <f>VLOOKUP(B316,CENY!$B$11:$G$1034,2,FALSE)</f>
        <v>QUADRO YOU PLNOVÝSUV 500 MM EB21 SILENT SYSTEM PRAVÝ</v>
      </c>
      <c r="D316" s="488">
        <f>VLOOKUP(B316,CENY!$B$11:$G$1034,3,FALSE)</f>
        <v>20</v>
      </c>
      <c r="E316" s="63" t="str">
        <f>IF(VLOOKUP(B316,CENY!$B$11:$G$1034,4,FALSE)=0,"",VLOOKUP(B316,CENY!$B$11:$G$1034,4,FALSE))</f>
        <v/>
      </c>
      <c r="F316" s="45" t="str">
        <f t="shared" si="50"/>
        <v/>
      </c>
      <c r="G316" s="59">
        <f>VLOOKUP(B316,CENY!$B$11:$M$1034,12,FALSE)</f>
        <v>187.64</v>
      </c>
      <c r="H316" s="61" t="str">
        <f t="shared" si="48"/>
        <v xml:space="preserve"> CZK</v>
      </c>
      <c r="I316" s="46" t="str">
        <f t="shared" si="49"/>
        <v/>
      </c>
      <c r="J316" s="138"/>
      <c r="K316" s="47">
        <f>VLOOKUP(B316,CENY!$B$11:$M$1034,8,FALSE)</f>
        <v>0</v>
      </c>
      <c r="L316" s="47" t="str">
        <f>VLOOKUP(B316,CENY!$B$11:$M$1034,9,FALSE)</f>
        <v xml:space="preserve"> </v>
      </c>
      <c r="M316" s="55"/>
      <c r="N316" s="38">
        <f t="shared" si="51"/>
        <v>0</v>
      </c>
      <c r="O316" s="39">
        <v>0</v>
      </c>
      <c r="P316" s="41"/>
      <c r="Q316" s="450">
        <f>'AVT101'!BI96</f>
        <v>0</v>
      </c>
      <c r="R316" s="41"/>
      <c r="S316" s="450">
        <f>'AVT139'!BI80</f>
        <v>0</v>
      </c>
      <c r="T316" s="41"/>
      <c r="U316" s="450">
        <f>'AVT187'!BI96</f>
        <v>0</v>
      </c>
      <c r="V316" s="41"/>
      <c r="W316" s="450">
        <f>'AVT251'!BI75</f>
        <v>0</v>
      </c>
      <c r="X316" s="41"/>
      <c r="Y316" s="450">
        <f>AVT187In!BI74</f>
        <v>0</v>
      </c>
      <c r="Z316" s="41"/>
      <c r="AA316" s="450">
        <f>'AVT101(vn-A)'!BI96</f>
        <v>0</v>
      </c>
      <c r="AB316" s="41"/>
      <c r="AC316" s="450">
        <f>'AVT139(vn-A)'!BI80</f>
        <v>0</v>
      </c>
      <c r="AD316" s="41"/>
      <c r="AE316" s="450">
        <f>'AVT187(vn-A)'!BI96</f>
        <v>0</v>
      </c>
      <c r="AF316" s="41"/>
      <c r="AG316" s="450">
        <f>'AVT187In(vn-A)'!BI74</f>
        <v>0</v>
      </c>
      <c r="AH316" s="41"/>
      <c r="AI316" s="450">
        <f>'AVT187(vn-S)'!BI96</f>
        <v>0</v>
      </c>
      <c r="AJ316" s="41"/>
      <c r="AK316" s="450">
        <f>'AVT187In(vn-S)'!BI74</f>
        <v>0</v>
      </c>
      <c r="AL316" s="41"/>
      <c r="AM316" s="450">
        <f>'AVT77'!BI49</f>
        <v>0</v>
      </c>
      <c r="AN316" s="41"/>
      <c r="AO316" s="450">
        <f>'AVT-celny-101+187'!BI96</f>
        <v>0</v>
      </c>
      <c r="AP316" s="41"/>
      <c r="AQ316" s="450">
        <f>'AVT-celny-139+187'!BI80</f>
        <v>0</v>
      </c>
      <c r="AR316" s="41"/>
      <c r="AS316" s="450">
        <f>'AVT-celny-2x187'!BI76</f>
        <v>0</v>
      </c>
      <c r="AT316" s="41"/>
      <c r="AU316" s="450">
        <f>'AVT-celny-2x187In'!BI62</f>
        <v>0</v>
      </c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203"/>
      <c r="BP316" s="203"/>
      <c r="BQ316" s="203"/>
      <c r="BR316" s="203"/>
      <c r="BS316" s="203"/>
      <c r="BT316" s="203"/>
      <c r="BU316" s="203"/>
      <c r="BV316" s="203"/>
      <c r="BW316" s="62"/>
      <c r="BX316" s="185"/>
      <c r="BY316" s="35"/>
      <c r="BZ316" s="27"/>
      <c r="CA316" s="27"/>
      <c r="CB316" s="27"/>
      <c r="CC316" s="27"/>
      <c r="CD316" s="27"/>
      <c r="CE316" s="27"/>
      <c r="CF316" s="27"/>
    </row>
    <row r="317" spans="1:84" ht="15" customHeight="1">
      <c r="A317" s="4"/>
      <c r="B317" s="440">
        <f>CENY!B680</f>
        <v>9256876</v>
      </c>
      <c r="C317" s="48" t="str">
        <f>VLOOKUP(B317,CENY!$B$11:$G$1034,2,FALSE)</f>
        <v>QUADRO YOU PLNOVÝSUV 550 MM EB21 SILENT SYSTEM LEVÝ</v>
      </c>
      <c r="D317" s="488">
        <f>VLOOKUP(B317,CENY!$B$11:$G$1034,3,FALSE)</f>
        <v>20</v>
      </c>
      <c r="E317" s="63" t="str">
        <f>IF(VLOOKUP(B317,CENY!$B$11:$G$1034,4,FALSE)=0,"",VLOOKUP(B317,CENY!$B$11:$G$1034,4,FALSE))</f>
        <v/>
      </c>
      <c r="F317" s="45" t="str">
        <f t="shared" si="50"/>
        <v/>
      </c>
      <c r="G317" s="59">
        <f>VLOOKUP(B317,CENY!$B$11:$M$1034,12,FALSE)</f>
        <v>194.36</v>
      </c>
      <c r="H317" s="61" t="str">
        <f t="shared" si="48"/>
        <v xml:space="preserve"> CZK</v>
      </c>
      <c r="I317" s="46" t="str">
        <f t="shared" si="49"/>
        <v/>
      </c>
      <c r="J317" s="138"/>
      <c r="K317" s="47">
        <f>VLOOKUP(B317,CENY!$B$11:$M$1034,8,FALSE)</f>
        <v>0</v>
      </c>
      <c r="L317" s="47" t="str">
        <f>VLOOKUP(B317,CENY!$B$11:$M$1034,9,FALSE)</f>
        <v xml:space="preserve"> </v>
      </c>
      <c r="M317" s="55"/>
      <c r="N317" s="38">
        <f t="shared" si="51"/>
        <v>0</v>
      </c>
      <c r="O317" s="39">
        <v>0</v>
      </c>
      <c r="P317" s="41"/>
      <c r="Q317" s="450">
        <f>'AVT101'!BI97</f>
        <v>0</v>
      </c>
      <c r="R317" s="41"/>
      <c r="S317" s="450">
        <f>'AVT139'!BI81</f>
        <v>0</v>
      </c>
      <c r="T317" s="41"/>
      <c r="U317" s="450">
        <f>'AVT187'!BI97</f>
        <v>0</v>
      </c>
      <c r="V317" s="41"/>
      <c r="W317" s="450">
        <f>'AVT251'!BI76</f>
        <v>0</v>
      </c>
      <c r="X317" s="41"/>
      <c r="Y317" s="450">
        <f>AVT187In!BI75</f>
        <v>0</v>
      </c>
      <c r="Z317" s="41"/>
      <c r="AA317" s="450">
        <f>'AVT101(vn-A)'!BI97</f>
        <v>0</v>
      </c>
      <c r="AB317" s="41"/>
      <c r="AC317" s="450">
        <f>'AVT139(vn-A)'!BI81</f>
        <v>0</v>
      </c>
      <c r="AD317" s="41"/>
      <c r="AE317" s="450">
        <f>'AVT187(vn-A)'!BI97</f>
        <v>0</v>
      </c>
      <c r="AF317" s="41"/>
      <c r="AG317" s="450">
        <f>'AVT187In(vn-A)'!BI75</f>
        <v>0</v>
      </c>
      <c r="AH317" s="41"/>
      <c r="AI317" s="450">
        <f>'AVT187(vn-S)'!BI97</f>
        <v>0</v>
      </c>
      <c r="AJ317" s="41"/>
      <c r="AK317" s="450">
        <f>'AVT187In(vn-S)'!BI75</f>
        <v>0</v>
      </c>
      <c r="AL317" s="41"/>
      <c r="AM317" s="450">
        <f>'AVT77'!BI50</f>
        <v>0</v>
      </c>
      <c r="AN317" s="41"/>
      <c r="AO317" s="450">
        <f>'AVT-celny-101+187'!BI97</f>
        <v>0</v>
      </c>
      <c r="AP317" s="41"/>
      <c r="AQ317" s="450">
        <f>'AVT-celny-139+187'!BI81</f>
        <v>0</v>
      </c>
      <c r="AR317" s="41"/>
      <c r="AS317" s="450">
        <f>'AVT-celny-2x187'!BI77</f>
        <v>0</v>
      </c>
      <c r="AT317" s="41"/>
      <c r="AU317" s="450">
        <f>'AVT-celny-2x187In'!BI63</f>
        <v>0</v>
      </c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203"/>
      <c r="BP317" s="203"/>
      <c r="BQ317" s="203"/>
      <c r="BR317" s="203"/>
      <c r="BS317" s="203"/>
      <c r="BT317" s="203"/>
      <c r="BU317" s="203"/>
      <c r="BV317" s="203"/>
      <c r="BW317" s="62"/>
      <c r="BX317" s="185"/>
      <c r="BY317" s="35"/>
      <c r="BZ317" s="27"/>
      <c r="CA317" s="27"/>
      <c r="CB317" s="27"/>
      <c r="CC317" s="27"/>
      <c r="CD317" s="27"/>
      <c r="CE317" s="27"/>
      <c r="CF317" s="27"/>
    </row>
    <row r="318" spans="1:84" ht="15" customHeight="1">
      <c r="A318" s="4"/>
      <c r="B318" s="440">
        <f>CENY!B681</f>
        <v>9256877</v>
      </c>
      <c r="C318" s="48" t="str">
        <f>VLOOKUP(B318,CENY!$B$11:$G$1034,2,FALSE)</f>
        <v>QUADRO YOU PLNOVÝSUV 550 MM EB21 SILENT SYSTEM PRAVÝ</v>
      </c>
      <c r="D318" s="488">
        <f>VLOOKUP(B318,CENY!$B$11:$G$1034,3,FALSE)</f>
        <v>20</v>
      </c>
      <c r="E318" s="63" t="str">
        <f>IF(VLOOKUP(B318,CENY!$B$11:$G$1034,4,FALSE)=0,"",VLOOKUP(B318,CENY!$B$11:$G$1034,4,FALSE))</f>
        <v/>
      </c>
      <c r="F318" s="45" t="str">
        <f t="shared" si="50"/>
        <v/>
      </c>
      <c r="G318" s="59">
        <f>VLOOKUP(B318,CENY!$B$11:$M$1034,12,FALSE)</f>
        <v>194.36</v>
      </c>
      <c r="H318" s="61" t="str">
        <f t="shared" si="48"/>
        <v xml:space="preserve"> CZK</v>
      </c>
      <c r="I318" s="46" t="str">
        <f t="shared" si="49"/>
        <v/>
      </c>
      <c r="J318" s="138"/>
      <c r="K318" s="47">
        <f>VLOOKUP(B318,CENY!$B$11:$M$1034,8,FALSE)</f>
        <v>0</v>
      </c>
      <c r="L318" s="47" t="str">
        <f>VLOOKUP(B318,CENY!$B$11:$M$1034,9,FALSE)</f>
        <v xml:space="preserve"> </v>
      </c>
      <c r="M318" s="55"/>
      <c r="N318" s="38">
        <f t="shared" si="51"/>
        <v>0</v>
      </c>
      <c r="O318" s="39">
        <v>0</v>
      </c>
      <c r="P318" s="41"/>
      <c r="Q318" s="450">
        <f>'AVT101'!BI98</f>
        <v>0</v>
      </c>
      <c r="R318" s="41"/>
      <c r="S318" s="450">
        <f>'AVT139'!BI82</f>
        <v>0</v>
      </c>
      <c r="T318" s="41"/>
      <c r="U318" s="450">
        <f>'AVT187'!BI98</f>
        <v>0</v>
      </c>
      <c r="V318" s="41"/>
      <c r="W318" s="450">
        <f>'AVT251'!BI77</f>
        <v>0</v>
      </c>
      <c r="X318" s="41"/>
      <c r="Y318" s="450">
        <f>AVT187In!BI76</f>
        <v>0</v>
      </c>
      <c r="Z318" s="41"/>
      <c r="AA318" s="450">
        <f>'AVT101(vn-A)'!BI98</f>
        <v>0</v>
      </c>
      <c r="AB318" s="41"/>
      <c r="AC318" s="450">
        <f>'AVT139(vn-A)'!BI82</f>
        <v>0</v>
      </c>
      <c r="AD318" s="41"/>
      <c r="AE318" s="450">
        <f>'AVT187(vn-A)'!BI98</f>
        <v>0</v>
      </c>
      <c r="AF318" s="41"/>
      <c r="AG318" s="450">
        <f>'AVT187In(vn-A)'!BI76</f>
        <v>0</v>
      </c>
      <c r="AH318" s="41"/>
      <c r="AI318" s="450">
        <f>'AVT187(vn-S)'!BI98</f>
        <v>0</v>
      </c>
      <c r="AJ318" s="41"/>
      <c r="AK318" s="450">
        <f>'AVT187In(vn-S)'!BI76</f>
        <v>0</v>
      </c>
      <c r="AL318" s="41"/>
      <c r="AM318" s="450">
        <f>'AVT77'!BI51</f>
        <v>0</v>
      </c>
      <c r="AN318" s="41"/>
      <c r="AO318" s="450">
        <f>'AVT-celny-101+187'!BI98</f>
        <v>0</v>
      </c>
      <c r="AP318" s="41"/>
      <c r="AQ318" s="450">
        <f>'AVT-celny-139+187'!BI82</f>
        <v>0</v>
      </c>
      <c r="AR318" s="41"/>
      <c r="AS318" s="450">
        <f>'AVT-celny-2x187'!BI78</f>
        <v>0</v>
      </c>
      <c r="AT318" s="41"/>
      <c r="AU318" s="450">
        <f>'AVT-celny-2x187In'!BI64</f>
        <v>0</v>
      </c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203"/>
      <c r="BP318" s="203"/>
      <c r="BQ318" s="203"/>
      <c r="BR318" s="203"/>
      <c r="BS318" s="203"/>
      <c r="BT318" s="203"/>
      <c r="BU318" s="203"/>
      <c r="BV318" s="203"/>
      <c r="BW318" s="62"/>
      <c r="BX318" s="185"/>
      <c r="BY318" s="35"/>
      <c r="BZ318" s="27"/>
      <c r="CA318" s="27"/>
      <c r="CB318" s="27"/>
      <c r="CC318" s="27"/>
      <c r="CD318" s="27"/>
      <c r="CE318" s="27"/>
      <c r="CF318" s="27"/>
    </row>
    <row r="319" spans="1:84" ht="15" customHeight="1">
      <c r="A319" s="4"/>
      <c r="B319" s="440">
        <f>CENY!B682</f>
        <v>9256880</v>
      </c>
      <c r="C319" s="48" t="str">
        <f>VLOOKUP(B319,CENY!$B$11:$G$1034,2,FALSE)</f>
        <v>QUADRO YOU PLNOVÝSUV 600 MM EB21 SILENT SYSTEM LEVÝ</v>
      </c>
      <c r="D319" s="488">
        <f>VLOOKUP(B319,CENY!$B$11:$G$1034,3,FALSE)</f>
        <v>20</v>
      </c>
      <c r="E319" s="63" t="str">
        <f>IF(VLOOKUP(B319,CENY!$B$11:$G$1034,4,FALSE)=0,"",VLOOKUP(B319,CENY!$B$11:$G$1034,4,FALSE))</f>
        <v/>
      </c>
      <c r="F319" s="45" t="str">
        <f t="shared" si="50"/>
        <v/>
      </c>
      <c r="G319" s="59">
        <f>VLOOKUP(B319,CENY!$B$11:$M$1034,12,FALSE)</f>
        <v>198.1</v>
      </c>
      <c r="H319" s="61" t="str">
        <f t="shared" si="48"/>
        <v xml:space="preserve"> CZK</v>
      </c>
      <c r="I319" s="46" t="str">
        <f t="shared" si="49"/>
        <v/>
      </c>
      <c r="J319" s="138"/>
      <c r="K319" s="47">
        <f>VLOOKUP(B319,CENY!$B$11:$M$1034,8,FALSE)</f>
        <v>0</v>
      </c>
      <c r="L319" s="47" t="str">
        <f>VLOOKUP(B319,CENY!$B$11:$M$1034,9,FALSE)</f>
        <v xml:space="preserve"> </v>
      </c>
      <c r="M319" s="55"/>
      <c r="N319" s="38">
        <f t="shared" si="51"/>
        <v>0</v>
      </c>
      <c r="O319" s="39">
        <v>0</v>
      </c>
      <c r="P319" s="41"/>
      <c r="Q319" s="450">
        <f>'AVT101'!BI99</f>
        <v>0</v>
      </c>
      <c r="R319" s="41"/>
      <c r="S319" s="450">
        <f>'AVT139'!BI83</f>
        <v>0</v>
      </c>
      <c r="T319" s="41"/>
      <c r="U319" s="450">
        <f>'AVT187'!BI99</f>
        <v>0</v>
      </c>
      <c r="V319" s="41"/>
      <c r="W319" s="450">
        <f>'AVT251'!BI78</f>
        <v>0</v>
      </c>
      <c r="X319" s="41"/>
      <c r="Y319" s="450">
        <f>AVT187In!BI77</f>
        <v>0</v>
      </c>
      <c r="Z319" s="41"/>
      <c r="AA319" s="450">
        <f>'AVT101(vn-A)'!BI99</f>
        <v>0</v>
      </c>
      <c r="AB319" s="41"/>
      <c r="AC319" s="450">
        <f>'AVT139(vn-A)'!BI83</f>
        <v>0</v>
      </c>
      <c r="AD319" s="41"/>
      <c r="AE319" s="450">
        <f>'AVT187(vn-A)'!BI99</f>
        <v>0</v>
      </c>
      <c r="AF319" s="41"/>
      <c r="AG319" s="450">
        <f>'AVT187In(vn-A)'!BI77</f>
        <v>0</v>
      </c>
      <c r="AH319" s="41"/>
      <c r="AI319" s="450">
        <f>'AVT187(vn-S)'!BI99</f>
        <v>0</v>
      </c>
      <c r="AJ319" s="41"/>
      <c r="AK319" s="450">
        <f>'AVT187In(vn-S)'!BI77</f>
        <v>0</v>
      </c>
      <c r="AL319" s="41"/>
      <c r="AM319" s="41"/>
      <c r="AN319" s="41"/>
      <c r="AO319" s="450">
        <f>'AVT-celny-101+187'!BI99</f>
        <v>0</v>
      </c>
      <c r="AP319" s="41"/>
      <c r="AQ319" s="450">
        <f>'AVT-celny-139+187'!BI83</f>
        <v>0</v>
      </c>
      <c r="AR319" s="41"/>
      <c r="AS319" s="450">
        <f>'AVT-celny-2x187'!BI79</f>
        <v>0</v>
      </c>
      <c r="AT319" s="41"/>
      <c r="AU319" s="450">
        <f>'AVT-celny-2x187In'!BI65</f>
        <v>0</v>
      </c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203"/>
      <c r="BP319" s="203"/>
      <c r="BQ319" s="203"/>
      <c r="BR319" s="203"/>
      <c r="BS319" s="203"/>
      <c r="BT319" s="203"/>
      <c r="BU319" s="203"/>
      <c r="BV319" s="203"/>
      <c r="BW319" s="62"/>
      <c r="BX319" s="185"/>
      <c r="BY319" s="35"/>
      <c r="BZ319" s="27"/>
      <c r="CA319" s="27"/>
      <c r="CB319" s="27"/>
      <c r="CC319" s="27"/>
      <c r="CD319" s="27"/>
      <c r="CE319" s="27"/>
      <c r="CF319" s="27"/>
    </row>
    <row r="320" spans="1:84" ht="15" customHeight="1">
      <c r="A320" s="4"/>
      <c r="B320" s="440">
        <f>CENY!B683</f>
        <v>9256881</v>
      </c>
      <c r="C320" s="48" t="str">
        <f>VLOOKUP(B320,CENY!$B$11:$G$1034,2,FALSE)</f>
        <v>QUADRO YOU PLNOVÝSUV 600 MM EB21 SILENT SYSTEM PRAVÝ</v>
      </c>
      <c r="D320" s="488">
        <f>VLOOKUP(B320,CENY!$B$11:$G$1034,3,FALSE)</f>
        <v>20</v>
      </c>
      <c r="E320" s="63" t="str">
        <f>IF(VLOOKUP(B320,CENY!$B$11:$G$1034,4,FALSE)=0,"",VLOOKUP(B320,CENY!$B$11:$G$1034,4,FALSE))</f>
        <v/>
      </c>
      <c r="F320" s="45" t="str">
        <f t="shared" si="50"/>
        <v/>
      </c>
      <c r="G320" s="59">
        <f>VLOOKUP(B320,CENY!$B$11:$M$1034,12,FALSE)</f>
        <v>198.1</v>
      </c>
      <c r="H320" s="61" t="str">
        <f t="shared" si="48"/>
        <v xml:space="preserve"> CZK</v>
      </c>
      <c r="I320" s="46" t="str">
        <f t="shared" si="49"/>
        <v/>
      </c>
      <c r="J320" s="138"/>
      <c r="K320" s="47">
        <f>VLOOKUP(B320,CENY!$B$11:$M$1034,8,FALSE)</f>
        <v>0</v>
      </c>
      <c r="L320" s="47" t="str">
        <f>VLOOKUP(B320,CENY!$B$11:$M$1034,9,FALSE)</f>
        <v xml:space="preserve"> </v>
      </c>
      <c r="M320" s="55"/>
      <c r="N320" s="38">
        <f t="shared" si="51"/>
        <v>0</v>
      </c>
      <c r="O320" s="39">
        <v>0</v>
      </c>
      <c r="P320" s="41"/>
      <c r="Q320" s="450">
        <f>'AVT101'!BI100</f>
        <v>0</v>
      </c>
      <c r="R320" s="41"/>
      <c r="S320" s="450">
        <f>'AVT139'!BI84</f>
        <v>0</v>
      </c>
      <c r="T320" s="41"/>
      <c r="U320" s="450">
        <f>'AVT187'!BI100</f>
        <v>0</v>
      </c>
      <c r="V320" s="41"/>
      <c r="W320" s="450">
        <f>'AVT251'!BI79</f>
        <v>0</v>
      </c>
      <c r="X320" s="41"/>
      <c r="Y320" s="450">
        <f>AVT187In!BI78</f>
        <v>0</v>
      </c>
      <c r="Z320" s="41"/>
      <c r="AA320" s="450">
        <f>'AVT101(vn-A)'!BI100</f>
        <v>0</v>
      </c>
      <c r="AB320" s="41"/>
      <c r="AC320" s="450">
        <f>'AVT139(vn-A)'!BI84</f>
        <v>0</v>
      </c>
      <c r="AD320" s="41"/>
      <c r="AE320" s="450">
        <f>'AVT187(vn-A)'!BI100</f>
        <v>0</v>
      </c>
      <c r="AF320" s="41"/>
      <c r="AG320" s="450">
        <f>'AVT187In(vn-A)'!BI78</f>
        <v>0</v>
      </c>
      <c r="AH320" s="41"/>
      <c r="AI320" s="450">
        <f>'AVT187(vn-S)'!BI100</f>
        <v>0</v>
      </c>
      <c r="AJ320" s="41"/>
      <c r="AK320" s="450">
        <f>'AVT187In(vn-S)'!BI78</f>
        <v>0</v>
      </c>
      <c r="AL320" s="41"/>
      <c r="AM320" s="41"/>
      <c r="AN320" s="41"/>
      <c r="AO320" s="450">
        <f>'AVT-celny-101+187'!BI100</f>
        <v>0</v>
      </c>
      <c r="AP320" s="41"/>
      <c r="AQ320" s="450">
        <f>'AVT-celny-139+187'!BI84</f>
        <v>0</v>
      </c>
      <c r="AR320" s="41"/>
      <c r="AS320" s="450">
        <f>'AVT-celny-2x187'!BI80</f>
        <v>0</v>
      </c>
      <c r="AT320" s="41"/>
      <c r="AU320" s="450">
        <f>'AVT-celny-2x187In'!BI66</f>
        <v>0</v>
      </c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203"/>
      <c r="BP320" s="203"/>
      <c r="BQ320" s="203"/>
      <c r="BR320" s="203"/>
      <c r="BS320" s="203"/>
      <c r="BT320" s="203"/>
      <c r="BU320" s="203"/>
      <c r="BV320" s="203"/>
      <c r="BW320" s="62"/>
      <c r="BX320" s="185"/>
      <c r="BY320" s="35"/>
      <c r="BZ320" s="27"/>
      <c r="CA320" s="27"/>
      <c r="CB320" s="27"/>
      <c r="CC320" s="27"/>
      <c r="CD320" s="27"/>
      <c r="CE320" s="27"/>
      <c r="CF320" s="27"/>
    </row>
    <row r="321" spans="1:84" ht="8.1" customHeight="1">
      <c r="A321" s="4"/>
      <c r="B321" s="142"/>
      <c r="C321" s="48"/>
      <c r="D321" s="44"/>
      <c r="E321" s="63"/>
      <c r="F321" s="67"/>
      <c r="G321" s="59"/>
      <c r="H321" s="61"/>
      <c r="I321" s="46"/>
      <c r="J321" s="138"/>
      <c r="K321" s="47"/>
      <c r="L321" s="47"/>
      <c r="M321" s="55"/>
      <c r="N321" s="38"/>
      <c r="O321" s="39">
        <v>0</v>
      </c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203"/>
      <c r="BP321" s="203"/>
      <c r="BQ321" s="203"/>
      <c r="BR321" s="203"/>
      <c r="BS321" s="203"/>
      <c r="BT321" s="203"/>
      <c r="BU321" s="203"/>
      <c r="BV321" s="203"/>
      <c r="BW321" s="62"/>
      <c r="BX321" s="185"/>
      <c r="BY321" s="35"/>
      <c r="BZ321" s="27"/>
      <c r="CA321" s="27"/>
      <c r="CB321" s="27"/>
      <c r="CC321" s="27"/>
      <c r="CD321" s="27"/>
      <c r="CE321" s="27"/>
      <c r="CF321" s="27"/>
    </row>
    <row r="322" spans="1:84" ht="15" customHeight="1">
      <c r="A322" s="4"/>
      <c r="B322" s="440">
        <f>CENY!B685</f>
        <v>9257894</v>
      </c>
      <c r="C322" s="48" t="str">
        <f>VLOOKUP(B322,CENY!$B$11:$G$1034,2,FALSE)</f>
        <v>PUSH TO OPEN SILENT QUADRO YOU 10 KG</v>
      </c>
      <c r="D322" s="490">
        <f>VLOOKUP(B322,CENY!$B$11:$G$1034,3,FALSE)</f>
        <v>1</v>
      </c>
      <c r="E322" s="63" t="str">
        <f>IF(VLOOKUP(B322,CENY!$B$11:$G$1034,4,FALSE)=0,"",VLOOKUP(B322,CENY!$B$11:$G$1034,4,FALSE))</f>
        <v/>
      </c>
      <c r="F322" s="45" t="str">
        <f>IF(J322&lt;&gt;"",J322,IF(N322=0,"",N322))</f>
        <v/>
      </c>
      <c r="G322" s="59">
        <f>VLOOKUP(B322,CENY!$B$11:$M$1034,12,FALSE)</f>
        <v>544.37</v>
      </c>
      <c r="H322" s="61" t="str">
        <f t="shared" si="48"/>
        <v xml:space="preserve"> CZK</v>
      </c>
      <c r="I322" s="46" t="str">
        <f t="shared" si="49"/>
        <v/>
      </c>
      <c r="J322" s="138"/>
      <c r="K322" s="47">
        <f>VLOOKUP(B322,CENY!$B$11:$M$1034,8,FALSE)</f>
        <v>0</v>
      </c>
      <c r="L322" s="47" t="str">
        <f>VLOOKUP(B322,CENY!$B$11:$M$1034,9,FALSE)</f>
        <v xml:space="preserve"> </v>
      </c>
      <c r="M322" s="55"/>
      <c r="N322" s="38">
        <f>SUM(P322:BX322)</f>
        <v>0</v>
      </c>
      <c r="O322" s="39">
        <v>0</v>
      </c>
      <c r="P322" s="450">
        <f>'AVT101'!AZ63</f>
        <v>0</v>
      </c>
      <c r="Q322" s="450">
        <f>'AVT101'!BI102</f>
        <v>0</v>
      </c>
      <c r="R322" s="450">
        <f>'AVT139'!AZ54</f>
        <v>0</v>
      </c>
      <c r="S322" s="450">
        <f>'AVT139'!BI86</f>
        <v>0</v>
      </c>
      <c r="T322" s="450">
        <f>'AVT187'!AZ63</f>
        <v>0</v>
      </c>
      <c r="U322" s="450">
        <f>'AVT187'!BI102</f>
        <v>0</v>
      </c>
      <c r="V322" s="450">
        <f>'AVT251'!AZ51</f>
        <v>0</v>
      </c>
      <c r="W322" s="450">
        <f>'AVT251'!BI81</f>
        <v>0</v>
      </c>
      <c r="X322" s="450">
        <f>AVT187In!AZ51</f>
        <v>0</v>
      </c>
      <c r="Y322" s="450">
        <f>AVT187In!BI80</f>
        <v>0</v>
      </c>
      <c r="Z322" s="450">
        <f>'AVT101(vn-A)'!AZ63</f>
        <v>0</v>
      </c>
      <c r="AA322" s="450">
        <f>'AVT101(vn-A)'!BI102</f>
        <v>0</v>
      </c>
      <c r="AB322" s="450">
        <f>'AVT139(vn-A)'!AZ54</f>
        <v>0</v>
      </c>
      <c r="AC322" s="450">
        <f>'AVT139(vn-A)'!BI86</f>
        <v>0</v>
      </c>
      <c r="AD322" s="450">
        <f>'AVT187(vn-A)'!AZ63</f>
        <v>0</v>
      </c>
      <c r="AE322" s="450">
        <f>'AVT187(vn-A)'!BI102</f>
        <v>0</v>
      </c>
      <c r="AF322" s="450">
        <f>'AVT187In(vn-A)'!AZ51</f>
        <v>0</v>
      </c>
      <c r="AG322" s="450">
        <f>'AVT187In(vn-A)'!BI80</f>
        <v>0</v>
      </c>
      <c r="AH322" s="450">
        <f>'AVT187(vn-S)'!AZ63</f>
        <v>0</v>
      </c>
      <c r="AI322" s="450">
        <f>'AVT187(vn-S)'!BI102</f>
        <v>0</v>
      </c>
      <c r="AJ322" s="450">
        <f>'AVT187In(vn-S)'!AZ51</f>
        <v>0</v>
      </c>
      <c r="AK322" s="450">
        <f>'AVT187In(vn-S)'!BI80</f>
        <v>0</v>
      </c>
      <c r="AL322" s="450">
        <f>'AVT77'!AZ35</f>
        <v>0</v>
      </c>
      <c r="AM322" s="450">
        <f>'AVT77'!BI53</f>
        <v>0</v>
      </c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203"/>
      <c r="BP322" s="203"/>
      <c r="BQ322" s="203"/>
      <c r="BR322" s="203"/>
      <c r="BS322" s="203"/>
      <c r="BT322" s="203"/>
      <c r="BU322" s="203"/>
      <c r="BV322" s="203"/>
      <c r="BW322" s="62"/>
      <c r="BX322" s="185"/>
      <c r="BY322" s="35"/>
      <c r="BZ322" s="27"/>
      <c r="CA322" s="27"/>
      <c r="CB322" s="27"/>
      <c r="CC322" s="27"/>
      <c r="CD322" s="27"/>
      <c r="CE322" s="27"/>
      <c r="CF322" s="27"/>
    </row>
    <row r="323" spans="1:84" ht="15" customHeight="1">
      <c r="A323" s="4"/>
      <c r="B323" s="440">
        <f>CENY!B686</f>
        <v>9257895</v>
      </c>
      <c r="C323" s="48" t="str">
        <f>VLOOKUP(B323,CENY!$B$11:$G$1034,2,FALSE)</f>
        <v>PUSH TO OPEN SILENT QUADRO YOU 20 KG</v>
      </c>
      <c r="D323" s="490">
        <f>VLOOKUP(B323,CENY!$B$11:$G$1034,3,FALSE)</f>
        <v>1</v>
      </c>
      <c r="E323" s="63" t="str">
        <f>IF(VLOOKUP(B323,CENY!$B$11:$G$1034,4,FALSE)=0,"",VLOOKUP(B323,CENY!$B$11:$G$1034,4,FALSE))</f>
        <v/>
      </c>
      <c r="F323" s="45" t="str">
        <f>IF(J323&lt;&gt;"",J323,IF(N323=0,"",N323))</f>
        <v/>
      </c>
      <c r="G323" s="59">
        <f>VLOOKUP(B323,CENY!$B$11:$M$1034,12,FALSE)</f>
        <v>544.37</v>
      </c>
      <c r="H323" s="61" t="str">
        <f t="shared" si="48"/>
        <v xml:space="preserve"> CZK</v>
      </c>
      <c r="I323" s="46" t="str">
        <f t="shared" si="49"/>
        <v/>
      </c>
      <c r="J323" s="138"/>
      <c r="K323" s="47">
        <f>VLOOKUP(B323,CENY!$B$11:$M$1034,8,FALSE)</f>
        <v>0</v>
      </c>
      <c r="L323" s="47" t="str">
        <f>VLOOKUP(B323,CENY!$B$11:$M$1034,9,FALSE)</f>
        <v xml:space="preserve"> </v>
      </c>
      <c r="M323" s="55"/>
      <c r="N323" s="38">
        <f>SUM(P323:BX323)</f>
        <v>0</v>
      </c>
      <c r="O323" s="39">
        <v>0</v>
      </c>
      <c r="P323" s="450">
        <f>'AVT101'!AZ64</f>
        <v>0</v>
      </c>
      <c r="Q323" s="450">
        <f>'AVT101'!BI103</f>
        <v>0</v>
      </c>
      <c r="R323" s="450">
        <f>'AVT139'!AZ55</f>
        <v>0</v>
      </c>
      <c r="S323" s="450">
        <f>'AVT139'!BI87</f>
        <v>0</v>
      </c>
      <c r="T323" s="450">
        <f>'AVT187'!AZ64</f>
        <v>0</v>
      </c>
      <c r="U323" s="450">
        <f>'AVT187'!BI103</f>
        <v>0</v>
      </c>
      <c r="V323" s="450">
        <f>'AVT251'!AZ52</f>
        <v>0</v>
      </c>
      <c r="W323" s="450">
        <f>'AVT251'!BI82</f>
        <v>0</v>
      </c>
      <c r="X323" s="450">
        <f>AVT187In!AZ52</f>
        <v>0</v>
      </c>
      <c r="Y323" s="450">
        <f>AVT187In!BI81</f>
        <v>0</v>
      </c>
      <c r="Z323" s="450">
        <f>'AVT101(vn-A)'!AZ64</f>
        <v>0</v>
      </c>
      <c r="AA323" s="450">
        <f>'AVT101(vn-A)'!BI103</f>
        <v>0</v>
      </c>
      <c r="AB323" s="450">
        <f>'AVT139(vn-A)'!AZ55</f>
        <v>0</v>
      </c>
      <c r="AC323" s="450">
        <f>'AVT139(vn-A)'!BI87</f>
        <v>0</v>
      </c>
      <c r="AD323" s="450">
        <f>'AVT187(vn-A)'!AZ64</f>
        <v>0</v>
      </c>
      <c r="AE323" s="450">
        <f>'AVT187(vn-A)'!BI103</f>
        <v>0</v>
      </c>
      <c r="AF323" s="450">
        <f>'AVT187In(vn-A)'!AZ52</f>
        <v>0</v>
      </c>
      <c r="AG323" s="450">
        <f>'AVT187In(vn-A)'!BI81</f>
        <v>0</v>
      </c>
      <c r="AH323" s="450">
        <f>'AVT187(vn-S)'!AZ64</f>
        <v>0</v>
      </c>
      <c r="AI323" s="450">
        <f>'AVT187(vn-S)'!BI103</f>
        <v>0</v>
      </c>
      <c r="AJ323" s="450">
        <f>'AVT187In(vn-S)'!AZ52</f>
        <v>0</v>
      </c>
      <c r="AK323" s="450">
        <f>'AVT187In(vn-S)'!BI81</f>
        <v>0</v>
      </c>
      <c r="AL323" s="450">
        <f>'AVT77'!AZ36</f>
        <v>0</v>
      </c>
      <c r="AM323" s="450">
        <f>'AVT77'!BI54</f>
        <v>0</v>
      </c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203"/>
      <c r="BP323" s="203"/>
      <c r="BQ323" s="203"/>
      <c r="BR323" s="203"/>
      <c r="BS323" s="203"/>
      <c r="BT323" s="203"/>
      <c r="BU323" s="203"/>
      <c r="BV323" s="203"/>
      <c r="BW323" s="62"/>
      <c r="BX323" s="185"/>
      <c r="BY323" s="35"/>
      <c r="BZ323" s="27"/>
      <c r="CA323" s="27"/>
      <c r="CB323" s="27"/>
      <c r="CC323" s="27"/>
      <c r="CD323" s="27"/>
      <c r="CE323" s="27"/>
      <c r="CF323" s="27"/>
    </row>
    <row r="324" spans="1:84" ht="15" customHeight="1">
      <c r="A324" s="4"/>
      <c r="B324" s="440">
        <f>CENY!B687</f>
        <v>9257896</v>
      </c>
      <c r="C324" s="48" t="str">
        <f>VLOOKUP(B324,CENY!$B$11:$G$1034,2,FALSE)</f>
        <v>PUSH TO OPEN SILENT QUADRO YOU 30 KG</v>
      </c>
      <c r="D324" s="490">
        <f>VLOOKUP(B324,CENY!$B$11:$G$1034,3,FALSE)</f>
        <v>1</v>
      </c>
      <c r="E324" s="63" t="str">
        <f>IF(VLOOKUP(B324,CENY!$B$11:$G$1034,4,FALSE)=0,"",VLOOKUP(B324,CENY!$B$11:$G$1034,4,FALSE))</f>
        <v/>
      </c>
      <c r="F324" s="45" t="str">
        <f>IF(J324&lt;&gt;"",J324,IF(N324=0,"",N324))</f>
        <v/>
      </c>
      <c r="G324" s="59">
        <f>VLOOKUP(B324,CENY!$B$11:$M$1034,12,FALSE)</f>
        <v>544.37</v>
      </c>
      <c r="H324" s="61" t="str">
        <f t="shared" si="48"/>
        <v xml:space="preserve"> CZK</v>
      </c>
      <c r="I324" s="46" t="str">
        <f t="shared" si="49"/>
        <v/>
      </c>
      <c r="J324" s="138"/>
      <c r="K324" s="47">
        <f>VLOOKUP(B324,CENY!$B$11:$M$1034,8,FALSE)</f>
        <v>0</v>
      </c>
      <c r="L324" s="47" t="str">
        <f>VLOOKUP(B324,CENY!$B$11:$M$1034,9,FALSE)</f>
        <v xml:space="preserve"> </v>
      </c>
      <c r="M324" s="55"/>
      <c r="N324" s="38">
        <f>SUM(P324:BX324)</f>
        <v>0</v>
      </c>
      <c r="O324" s="39">
        <v>0</v>
      </c>
      <c r="P324" s="450">
        <f>'AVT101'!AZ65</f>
        <v>0</v>
      </c>
      <c r="Q324" s="450">
        <f>'AVT101'!BI104</f>
        <v>0</v>
      </c>
      <c r="R324" s="450">
        <f>'AVT139'!AZ56</f>
        <v>0</v>
      </c>
      <c r="S324" s="450">
        <f>'AVT139'!BI88</f>
        <v>0</v>
      </c>
      <c r="T324" s="450">
        <f>'AVT187'!AZ65</f>
        <v>0</v>
      </c>
      <c r="U324" s="450">
        <f>'AVT187'!BI104</f>
        <v>0</v>
      </c>
      <c r="V324" s="450">
        <f>'AVT251'!AZ53</f>
        <v>0</v>
      </c>
      <c r="W324" s="450">
        <f>'AVT251'!BI83</f>
        <v>0</v>
      </c>
      <c r="X324" s="450">
        <f>AVT187In!AZ53</f>
        <v>0</v>
      </c>
      <c r="Y324" s="450">
        <f>AVT187In!BI82</f>
        <v>0</v>
      </c>
      <c r="Z324" s="450">
        <f>'AVT101(vn-A)'!AZ65</f>
        <v>0</v>
      </c>
      <c r="AA324" s="450">
        <f>'AVT101(vn-A)'!BI104</f>
        <v>0</v>
      </c>
      <c r="AB324" s="450">
        <f>'AVT139(vn-A)'!AZ56</f>
        <v>0</v>
      </c>
      <c r="AC324" s="450">
        <f>'AVT139(vn-A)'!BI88</f>
        <v>0</v>
      </c>
      <c r="AD324" s="450">
        <f>'AVT187(vn-A)'!AZ65</f>
        <v>0</v>
      </c>
      <c r="AE324" s="450">
        <f>'AVT187(vn-A)'!BI104</f>
        <v>0</v>
      </c>
      <c r="AF324" s="450">
        <f>'AVT187In(vn-A)'!AZ53</f>
        <v>0</v>
      </c>
      <c r="AG324" s="450">
        <f>'AVT187In(vn-A)'!BI82</f>
        <v>0</v>
      </c>
      <c r="AH324" s="450">
        <f>'AVT187(vn-S)'!AZ65</f>
        <v>0</v>
      </c>
      <c r="AI324" s="450">
        <f>'AVT187(vn-S)'!BI104</f>
        <v>0</v>
      </c>
      <c r="AJ324" s="450">
        <f>'AVT187In(vn-S)'!AZ53</f>
        <v>0</v>
      </c>
      <c r="AK324" s="450">
        <f>'AVT187In(vn-S)'!BI82</f>
        <v>0</v>
      </c>
      <c r="AL324" s="450">
        <f>'AVT77'!AZ37</f>
        <v>0</v>
      </c>
      <c r="AM324" s="450">
        <f>'AVT77'!BI55</f>
        <v>0</v>
      </c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203"/>
      <c r="BP324" s="203"/>
      <c r="BQ324" s="203"/>
      <c r="BR324" s="203"/>
      <c r="BS324" s="203"/>
      <c r="BT324" s="203"/>
      <c r="BU324" s="203"/>
      <c r="BV324" s="203"/>
      <c r="BW324" s="62"/>
      <c r="BX324" s="185"/>
      <c r="BY324" s="35"/>
      <c r="BZ324" s="27"/>
      <c r="CA324" s="27"/>
      <c r="CB324" s="27"/>
      <c r="CC324" s="27"/>
      <c r="CD324" s="27"/>
      <c r="CE324" s="27"/>
      <c r="CF324" s="27"/>
    </row>
    <row r="325" spans="1:84" ht="8.1" customHeight="1">
      <c r="A325" s="4"/>
      <c r="B325" s="142"/>
      <c r="C325" s="48"/>
      <c r="D325" s="44"/>
      <c r="E325" s="63"/>
      <c r="F325" s="67"/>
      <c r="G325" s="59"/>
      <c r="H325" s="61"/>
      <c r="I325" s="46"/>
      <c r="J325" s="138"/>
      <c r="K325" s="47"/>
      <c r="L325" s="47"/>
      <c r="M325" s="55"/>
      <c r="N325" s="38"/>
      <c r="O325" s="39">
        <v>0</v>
      </c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203"/>
      <c r="BP325" s="203"/>
      <c r="BQ325" s="203"/>
      <c r="BR325" s="203"/>
      <c r="BS325" s="203"/>
      <c r="BT325" s="203"/>
      <c r="BU325" s="203"/>
      <c r="BV325" s="203"/>
      <c r="BW325" s="62"/>
      <c r="BX325" s="185"/>
      <c r="BY325" s="35"/>
      <c r="BZ325" s="27"/>
      <c r="CA325" s="27"/>
      <c r="CB325" s="27"/>
      <c r="CC325" s="27"/>
      <c r="CD325" s="27"/>
      <c r="CE325" s="27"/>
      <c r="CF325" s="27"/>
    </row>
    <row r="326" spans="1:84" ht="15" customHeight="1">
      <c r="A326" s="4"/>
      <c r="B326" s="440">
        <f>CENY!B689</f>
        <v>9256928</v>
      </c>
      <c r="C326" s="48" t="str">
        <f>VLOOKUP(B326,CENY!$B$11:$G$1034,2,FALSE)</f>
        <v>QUADRO YOU PLNOVÝSUV 270 MM EB21 PUSH TO OPEN SADA</v>
      </c>
      <c r="D326" s="501">
        <f>VLOOKUP(B326,CENY!$B$11:$G$1034,3,FALSE)</f>
        <v>1</v>
      </c>
      <c r="E326" s="63" t="str">
        <f>IF(VLOOKUP(B326,CENY!$B$11:$G$1034,4,FALSE)=0,"",VLOOKUP(B326,CENY!$B$11:$G$1034,4,FALSE))</f>
        <v/>
      </c>
      <c r="F326" s="45" t="str">
        <f t="shared" ref="F326:F349" si="52">IF(J326&lt;&gt;"",J326,IF(N326=0,"",N326))</f>
        <v/>
      </c>
      <c r="G326" s="59">
        <f>VLOOKUP(B326,CENY!$B$11:$M$1034,12,FALSE)</f>
        <v>413.4</v>
      </c>
      <c r="H326" s="61" t="str">
        <f t="shared" si="48"/>
        <v xml:space="preserve"> CZK</v>
      </c>
      <c r="I326" s="46" t="str">
        <f t="shared" si="49"/>
        <v/>
      </c>
      <c r="J326" s="138"/>
      <c r="K326" s="47">
        <f>VLOOKUP(B326,CENY!$B$11:$M$1034,8,FALSE)</f>
        <v>0</v>
      </c>
      <c r="L326" s="47" t="str">
        <f>VLOOKUP(B326,CENY!$B$11:$M$1034,9,FALSE)</f>
        <v xml:space="preserve"> </v>
      </c>
      <c r="M326" s="55"/>
      <c r="N326" s="38">
        <f t="shared" ref="N326:N349" si="53">SUM(P326:BX326)</f>
        <v>0</v>
      </c>
      <c r="O326" s="39">
        <v>0</v>
      </c>
      <c r="P326" s="450">
        <f>'AVT101'!AZ67</f>
        <v>0</v>
      </c>
      <c r="Q326" s="41"/>
      <c r="R326" s="41"/>
      <c r="S326" s="41"/>
      <c r="T326" s="450">
        <f>'AVT187'!AZ67</f>
        <v>0</v>
      </c>
      <c r="U326" s="41"/>
      <c r="V326" s="41"/>
      <c r="W326" s="41"/>
      <c r="X326" s="41"/>
      <c r="Y326" s="41"/>
      <c r="Z326" s="450">
        <f>'AVT101(vn-A)'!AZ67</f>
        <v>0</v>
      </c>
      <c r="AA326" s="41"/>
      <c r="AB326" s="41"/>
      <c r="AC326" s="41"/>
      <c r="AD326" s="450">
        <f>'AVT187(vn-A)'!AZ67</f>
        <v>0</v>
      </c>
      <c r="AE326" s="41"/>
      <c r="AF326" s="41"/>
      <c r="AG326" s="41"/>
      <c r="AH326" s="450">
        <f>'AVT187(vn-S)'!AZ67</f>
        <v>0</v>
      </c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203"/>
      <c r="BP326" s="203"/>
      <c r="BQ326" s="203"/>
      <c r="BR326" s="203"/>
      <c r="BS326" s="203"/>
      <c r="BT326" s="203"/>
      <c r="BU326" s="203"/>
      <c r="BV326" s="203"/>
      <c r="BW326" s="62"/>
      <c r="BX326" s="185"/>
      <c r="BY326" s="35"/>
      <c r="BZ326" s="27"/>
      <c r="CA326" s="27"/>
      <c r="CB326" s="27"/>
      <c r="CC326" s="27"/>
      <c r="CD326" s="27"/>
      <c r="CE326" s="27"/>
      <c r="CF326" s="27"/>
    </row>
    <row r="327" spans="1:84" ht="15" customHeight="1">
      <c r="A327" s="4"/>
      <c r="B327" s="440">
        <f>CENY!B690</f>
        <v>9256929</v>
      </c>
      <c r="C327" s="48" t="str">
        <f>VLOOKUP(B327,CENY!$B$11:$G$1034,2,FALSE)</f>
        <v>QUADRO YOU PLNOVÝSUV 300 MM EB21 PUSH TO OPEN SADA</v>
      </c>
      <c r="D327" s="501">
        <f>VLOOKUP(B327,CENY!$B$11:$G$1034,3,FALSE)</f>
        <v>1</v>
      </c>
      <c r="E327" s="63" t="str">
        <f>IF(VLOOKUP(B327,CENY!$B$11:$G$1034,4,FALSE)=0,"",VLOOKUP(B327,CENY!$B$11:$G$1034,4,FALSE))</f>
        <v/>
      </c>
      <c r="F327" s="45" t="str">
        <f t="shared" si="52"/>
        <v/>
      </c>
      <c r="G327" s="59">
        <f>VLOOKUP(B327,CENY!$B$11:$M$1034,12,FALSE)</f>
        <v>414.13</v>
      </c>
      <c r="H327" s="61" t="str">
        <f t="shared" si="48"/>
        <v xml:space="preserve"> CZK</v>
      </c>
      <c r="I327" s="46" t="str">
        <f t="shared" si="49"/>
        <v/>
      </c>
      <c r="J327" s="138"/>
      <c r="K327" s="47">
        <f>VLOOKUP(B327,CENY!$B$11:$M$1034,8,FALSE)</f>
        <v>0</v>
      </c>
      <c r="L327" s="47" t="str">
        <f>VLOOKUP(B327,CENY!$B$11:$M$1034,9,FALSE)</f>
        <v xml:space="preserve"> </v>
      </c>
      <c r="M327" s="55"/>
      <c r="N327" s="38">
        <f t="shared" si="53"/>
        <v>0</v>
      </c>
      <c r="O327" s="39">
        <v>0</v>
      </c>
      <c r="P327" s="450">
        <f>'AVT101'!AZ68</f>
        <v>0</v>
      </c>
      <c r="Q327" s="41"/>
      <c r="R327" s="450">
        <f>'AVT139'!AZ58</f>
        <v>0</v>
      </c>
      <c r="S327" s="41"/>
      <c r="T327" s="450">
        <f>'AVT187'!AZ68</f>
        <v>0</v>
      </c>
      <c r="U327" s="41"/>
      <c r="V327" s="41"/>
      <c r="W327" s="41"/>
      <c r="X327" s="41"/>
      <c r="Y327" s="41"/>
      <c r="Z327" s="450">
        <f>'AVT101(vn-A)'!AZ68</f>
        <v>0</v>
      </c>
      <c r="AA327" s="41"/>
      <c r="AB327" s="450">
        <f>'AVT139(vn-A)'!AZ58</f>
        <v>0</v>
      </c>
      <c r="AC327" s="41"/>
      <c r="AD327" s="450">
        <f>'AVT187(vn-A)'!AZ68</f>
        <v>0</v>
      </c>
      <c r="AE327" s="41"/>
      <c r="AF327" s="41"/>
      <c r="AG327" s="41"/>
      <c r="AH327" s="450">
        <f>'AVT187(vn-S)'!AZ68</f>
        <v>0</v>
      </c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203"/>
      <c r="BP327" s="203"/>
      <c r="BQ327" s="203"/>
      <c r="BR327" s="203"/>
      <c r="BS327" s="203"/>
      <c r="BT327" s="203"/>
      <c r="BU327" s="203"/>
      <c r="BV327" s="203"/>
      <c r="BW327" s="62"/>
      <c r="BX327" s="185"/>
      <c r="BY327" s="35"/>
      <c r="BZ327" s="27"/>
      <c r="CA327" s="27"/>
      <c r="CB327" s="27"/>
      <c r="CC327" s="27"/>
      <c r="CD327" s="27"/>
      <c r="CE327" s="27"/>
      <c r="CF327" s="27"/>
    </row>
    <row r="328" spans="1:84" ht="15" customHeight="1">
      <c r="A328" s="4"/>
      <c r="B328" s="440">
        <f>CENY!B691</f>
        <v>9256931</v>
      </c>
      <c r="C328" s="48" t="str">
        <f>VLOOKUP(B328,CENY!$B$11:$G$1034,2,FALSE)</f>
        <v>QUADRO YOU PLNOVÝSUV 350 MM EB21 PUSH TO OPEN SADA</v>
      </c>
      <c r="D328" s="501">
        <f>VLOOKUP(B328,CENY!$B$11:$G$1034,3,FALSE)</f>
        <v>1</v>
      </c>
      <c r="E328" s="63" t="str">
        <f>IF(VLOOKUP(B328,CENY!$B$11:$G$1034,4,FALSE)=0,"",VLOOKUP(B328,CENY!$B$11:$G$1034,4,FALSE))</f>
        <v/>
      </c>
      <c r="F328" s="45" t="str">
        <f t="shared" si="52"/>
        <v/>
      </c>
      <c r="G328" s="59">
        <f>VLOOKUP(B328,CENY!$B$11:$M$1034,12,FALSE)</f>
        <v>421.61</v>
      </c>
      <c r="H328" s="61" t="str">
        <f t="shared" si="48"/>
        <v xml:space="preserve"> CZK</v>
      </c>
      <c r="I328" s="46" t="str">
        <f t="shared" si="49"/>
        <v/>
      </c>
      <c r="J328" s="138"/>
      <c r="K328" s="47">
        <f>VLOOKUP(B328,CENY!$B$11:$M$1034,8,FALSE)</f>
        <v>0</v>
      </c>
      <c r="L328" s="47" t="str">
        <f>VLOOKUP(B328,CENY!$B$11:$M$1034,9,FALSE)</f>
        <v xml:space="preserve"> </v>
      </c>
      <c r="M328" s="55"/>
      <c r="N328" s="38">
        <f t="shared" si="53"/>
        <v>0</v>
      </c>
      <c r="O328" s="39">
        <v>0</v>
      </c>
      <c r="P328" s="450">
        <f>'AVT101'!AZ69</f>
        <v>0</v>
      </c>
      <c r="Q328" s="41"/>
      <c r="R328" s="450">
        <f>'AVT139'!AZ59</f>
        <v>0</v>
      </c>
      <c r="S328" s="41"/>
      <c r="T328" s="450">
        <f>'AVT187'!AZ69</f>
        <v>0</v>
      </c>
      <c r="U328" s="41"/>
      <c r="V328" s="450">
        <f>'AVT251'!AZ55</f>
        <v>0</v>
      </c>
      <c r="W328" s="41"/>
      <c r="X328" s="450">
        <f>AVT187In!AZ55</f>
        <v>0</v>
      </c>
      <c r="Y328" s="41"/>
      <c r="Z328" s="450">
        <f>'AVT101(vn-A)'!AZ69</f>
        <v>0</v>
      </c>
      <c r="AA328" s="41"/>
      <c r="AB328" s="450">
        <f>'AVT139(vn-A)'!AZ59</f>
        <v>0</v>
      </c>
      <c r="AC328" s="41"/>
      <c r="AD328" s="450">
        <f>'AVT187(vn-A)'!AZ69</f>
        <v>0</v>
      </c>
      <c r="AE328" s="41"/>
      <c r="AF328" s="450">
        <f>'AVT187In(vn-A)'!AZ55</f>
        <v>0</v>
      </c>
      <c r="AG328" s="41"/>
      <c r="AH328" s="450">
        <f>'AVT187(vn-S)'!AZ69</f>
        <v>0</v>
      </c>
      <c r="AI328" s="41"/>
      <c r="AJ328" s="450">
        <f>'AVT187In(vn-S)'!AZ55</f>
        <v>0</v>
      </c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203"/>
      <c r="BP328" s="203"/>
      <c r="BQ328" s="203"/>
      <c r="BR328" s="203"/>
      <c r="BS328" s="203"/>
      <c r="BT328" s="203"/>
      <c r="BU328" s="203"/>
      <c r="BV328" s="203"/>
      <c r="BW328" s="62"/>
      <c r="BX328" s="185"/>
      <c r="BY328" s="35"/>
      <c r="BZ328" s="27"/>
      <c r="CA328" s="27"/>
      <c r="CB328" s="27"/>
      <c r="CC328" s="27"/>
      <c r="CD328" s="27"/>
      <c r="CE328" s="27"/>
      <c r="CF328" s="27"/>
    </row>
    <row r="329" spans="1:84" ht="15" customHeight="1">
      <c r="A329" s="4"/>
      <c r="B329" s="440">
        <f>CENY!B692</f>
        <v>9256933</v>
      </c>
      <c r="C329" s="48" t="str">
        <f>VLOOKUP(B329,CENY!$B$11:$G$1034,2,FALSE)</f>
        <v>QUADRO YOU PLNOVÝSUV 400 MM EB21 PUSH TO OPEN SADA</v>
      </c>
      <c r="D329" s="501">
        <f>VLOOKUP(B329,CENY!$B$11:$G$1034,3,FALSE)</f>
        <v>1</v>
      </c>
      <c r="E329" s="63" t="str">
        <f>IF(VLOOKUP(B329,CENY!$B$11:$G$1034,4,FALSE)=0,"",VLOOKUP(B329,CENY!$B$11:$G$1034,4,FALSE))</f>
        <v/>
      </c>
      <c r="F329" s="45" t="str">
        <f t="shared" si="52"/>
        <v/>
      </c>
      <c r="G329" s="59">
        <f>VLOOKUP(B329,CENY!$B$11:$M$1034,12,FALSE)</f>
        <v>429.08</v>
      </c>
      <c r="H329" s="61" t="str">
        <f t="shared" si="48"/>
        <v xml:space="preserve"> CZK</v>
      </c>
      <c r="I329" s="46" t="str">
        <f t="shared" si="49"/>
        <v/>
      </c>
      <c r="J329" s="138"/>
      <c r="K329" s="47">
        <f>VLOOKUP(B329,CENY!$B$11:$M$1034,8,FALSE)</f>
        <v>0</v>
      </c>
      <c r="L329" s="47" t="str">
        <f>VLOOKUP(B329,CENY!$B$11:$M$1034,9,FALSE)</f>
        <v xml:space="preserve"> </v>
      </c>
      <c r="M329" s="55"/>
      <c r="N329" s="38">
        <f t="shared" si="53"/>
        <v>0</v>
      </c>
      <c r="O329" s="39">
        <v>0</v>
      </c>
      <c r="P329" s="450">
        <f>'AVT101'!AZ70</f>
        <v>0</v>
      </c>
      <c r="Q329" s="41"/>
      <c r="R329" s="450">
        <f>'AVT139'!AZ60</f>
        <v>0</v>
      </c>
      <c r="S329" s="41"/>
      <c r="T329" s="450">
        <f>'AVT187'!AZ70</f>
        <v>0</v>
      </c>
      <c r="U329" s="41"/>
      <c r="V329" s="450">
        <f>'AVT251'!AZ56</f>
        <v>0</v>
      </c>
      <c r="W329" s="41"/>
      <c r="X329" s="450">
        <f>AVT187In!AZ56</f>
        <v>0</v>
      </c>
      <c r="Y329" s="41"/>
      <c r="Z329" s="450">
        <f>'AVT101(vn-A)'!AZ70</f>
        <v>0</v>
      </c>
      <c r="AA329" s="41"/>
      <c r="AB329" s="450">
        <f>'AVT139(vn-A)'!AZ60</f>
        <v>0</v>
      </c>
      <c r="AC329" s="41"/>
      <c r="AD329" s="450">
        <f>'AVT187(vn-A)'!AZ70</f>
        <v>0</v>
      </c>
      <c r="AE329" s="41"/>
      <c r="AF329" s="450">
        <f>'AVT187In(vn-A)'!AZ56</f>
        <v>0</v>
      </c>
      <c r="AG329" s="41"/>
      <c r="AH329" s="450">
        <f>'AVT187(vn-S)'!AZ70</f>
        <v>0</v>
      </c>
      <c r="AI329" s="41"/>
      <c r="AJ329" s="450">
        <f>'AVT187In(vn-S)'!AZ56</f>
        <v>0</v>
      </c>
      <c r="AK329" s="41"/>
      <c r="AL329" s="450">
        <f>'AVT77'!AZ39</f>
        <v>0</v>
      </c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203"/>
      <c r="BP329" s="203"/>
      <c r="BQ329" s="203"/>
      <c r="BR329" s="203"/>
      <c r="BS329" s="203"/>
      <c r="BT329" s="203"/>
      <c r="BU329" s="203"/>
      <c r="BV329" s="203"/>
      <c r="BW329" s="62"/>
      <c r="BX329" s="185"/>
      <c r="BY329" s="35"/>
      <c r="BZ329" s="27"/>
      <c r="CA329" s="27"/>
      <c r="CB329" s="27"/>
      <c r="CC329" s="27"/>
      <c r="CD329" s="27"/>
      <c r="CE329" s="27"/>
      <c r="CF329" s="27"/>
    </row>
    <row r="330" spans="1:84" ht="15" customHeight="1">
      <c r="A330" s="4"/>
      <c r="B330" s="440">
        <f>CENY!B693</f>
        <v>9256935</v>
      </c>
      <c r="C330" s="48" t="str">
        <f>VLOOKUP(B330,CENY!$B$11:$G$1034,2,FALSE)</f>
        <v>QUADRO YOU PLNOVÝSUV 450 MM EB21 PUSH TO OPEN SADA</v>
      </c>
      <c r="D330" s="501">
        <f>VLOOKUP(B330,CENY!$B$11:$G$1034,3,FALSE)</f>
        <v>1</v>
      </c>
      <c r="E330" s="63" t="str">
        <f>IF(VLOOKUP(B330,CENY!$B$11:$G$1034,4,FALSE)=0,"",VLOOKUP(B330,CENY!$B$11:$G$1034,4,FALSE))</f>
        <v/>
      </c>
      <c r="F330" s="45" t="str">
        <f t="shared" si="52"/>
        <v/>
      </c>
      <c r="G330" s="59">
        <f>VLOOKUP(B330,CENY!$B$11:$M$1034,12,FALSE)</f>
        <v>436.55</v>
      </c>
      <c r="H330" s="61" t="str">
        <f t="shared" si="48"/>
        <v xml:space="preserve"> CZK</v>
      </c>
      <c r="I330" s="46" t="str">
        <f t="shared" si="49"/>
        <v/>
      </c>
      <c r="J330" s="138"/>
      <c r="K330" s="47">
        <f>VLOOKUP(B330,CENY!$B$11:$M$1034,8,FALSE)</f>
        <v>0</v>
      </c>
      <c r="L330" s="47" t="str">
        <f>VLOOKUP(B330,CENY!$B$11:$M$1034,9,FALSE)</f>
        <v xml:space="preserve"> </v>
      </c>
      <c r="M330" s="55"/>
      <c r="N330" s="38">
        <f t="shared" si="53"/>
        <v>0</v>
      </c>
      <c r="O330" s="39">
        <v>0</v>
      </c>
      <c r="P330" s="450">
        <f>'AVT101'!AZ71</f>
        <v>0</v>
      </c>
      <c r="Q330" s="41"/>
      <c r="R330" s="450">
        <f>'AVT139'!AZ61</f>
        <v>0</v>
      </c>
      <c r="S330" s="41"/>
      <c r="T330" s="450">
        <f>'AVT187'!AZ71</f>
        <v>0</v>
      </c>
      <c r="U330" s="41"/>
      <c r="V330" s="450">
        <f>'AVT251'!AZ57</f>
        <v>0</v>
      </c>
      <c r="W330" s="41"/>
      <c r="X330" s="450">
        <f>AVT187In!AZ57</f>
        <v>0</v>
      </c>
      <c r="Y330" s="41"/>
      <c r="Z330" s="450">
        <f>'AVT101(vn-A)'!AZ71</f>
        <v>0</v>
      </c>
      <c r="AA330" s="41"/>
      <c r="AB330" s="450">
        <f>'AVT139(vn-A)'!AZ61</f>
        <v>0</v>
      </c>
      <c r="AC330" s="41"/>
      <c r="AD330" s="450">
        <f>'AVT187(vn-A)'!AZ71</f>
        <v>0</v>
      </c>
      <c r="AE330" s="41"/>
      <c r="AF330" s="450">
        <f>'AVT187In(vn-A)'!AZ57</f>
        <v>0</v>
      </c>
      <c r="AG330" s="41"/>
      <c r="AH330" s="450">
        <f>'AVT187(vn-S)'!AZ71</f>
        <v>0</v>
      </c>
      <c r="AI330" s="41"/>
      <c r="AJ330" s="450">
        <f>'AVT187In(vn-S)'!AZ57</f>
        <v>0</v>
      </c>
      <c r="AK330" s="41"/>
      <c r="AL330" s="450">
        <f>'AVT77'!AZ40</f>
        <v>0</v>
      </c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203"/>
      <c r="BP330" s="203"/>
      <c r="BQ330" s="203"/>
      <c r="BR330" s="203"/>
      <c r="BS330" s="203"/>
      <c r="BT330" s="203"/>
      <c r="BU330" s="203"/>
      <c r="BV330" s="203"/>
      <c r="BW330" s="62"/>
      <c r="BX330" s="185"/>
      <c r="BY330" s="35"/>
      <c r="BZ330" s="27"/>
      <c r="CA330" s="27"/>
      <c r="CB330" s="27"/>
      <c r="CC330" s="27"/>
      <c r="CD330" s="27"/>
      <c r="CE330" s="27"/>
      <c r="CF330" s="27"/>
    </row>
    <row r="331" spans="1:84" ht="15" customHeight="1">
      <c r="A331" s="4"/>
      <c r="B331" s="440">
        <f>CENY!B694</f>
        <v>9256937</v>
      </c>
      <c r="C331" s="48" t="str">
        <f>VLOOKUP(B331,CENY!$B$11:$G$1034,2,FALSE)</f>
        <v>QUADRO YOU PLNOVÝSUV 500 MM EB21 PUSH TO OPEN SADA</v>
      </c>
      <c r="D331" s="501">
        <f>VLOOKUP(B331,CENY!$B$11:$G$1034,3,FALSE)</f>
        <v>1</v>
      </c>
      <c r="E331" s="63" t="str">
        <f>IF(VLOOKUP(B331,CENY!$B$11:$G$1034,4,FALSE)=0,"",VLOOKUP(B331,CENY!$B$11:$G$1034,4,FALSE))</f>
        <v/>
      </c>
      <c r="F331" s="45" t="str">
        <f t="shared" si="52"/>
        <v/>
      </c>
      <c r="G331" s="59">
        <f>VLOOKUP(B331,CENY!$B$11:$M$1034,12,FALSE)</f>
        <v>444.02</v>
      </c>
      <c r="H331" s="61" t="str">
        <f t="shared" si="48"/>
        <v xml:space="preserve"> CZK</v>
      </c>
      <c r="I331" s="46" t="str">
        <f t="shared" si="49"/>
        <v/>
      </c>
      <c r="J331" s="138"/>
      <c r="K331" s="47">
        <f>VLOOKUP(B331,CENY!$B$11:$M$1034,8,FALSE)</f>
        <v>0</v>
      </c>
      <c r="L331" s="47" t="str">
        <f>VLOOKUP(B331,CENY!$B$11:$M$1034,9,FALSE)</f>
        <v xml:space="preserve"> </v>
      </c>
      <c r="M331" s="55"/>
      <c r="N331" s="38">
        <f t="shared" si="53"/>
        <v>0</v>
      </c>
      <c r="O331" s="39">
        <v>0</v>
      </c>
      <c r="P331" s="450">
        <f>'AVT101'!AZ72</f>
        <v>0</v>
      </c>
      <c r="Q331" s="41"/>
      <c r="R331" s="450">
        <f>'AVT139'!AZ62</f>
        <v>0</v>
      </c>
      <c r="S331" s="41"/>
      <c r="T331" s="450">
        <f>'AVT187'!AZ72</f>
        <v>0</v>
      </c>
      <c r="U331" s="41"/>
      <c r="V331" s="450">
        <f>'AVT251'!AZ58</f>
        <v>0</v>
      </c>
      <c r="W331" s="41"/>
      <c r="X331" s="450">
        <f>AVT187In!AZ58</f>
        <v>0</v>
      </c>
      <c r="Y331" s="41"/>
      <c r="Z331" s="450">
        <f>'AVT101(vn-A)'!AZ72</f>
        <v>0</v>
      </c>
      <c r="AA331" s="41"/>
      <c r="AB331" s="450">
        <f>'AVT139(vn-A)'!AZ62</f>
        <v>0</v>
      </c>
      <c r="AC331" s="41"/>
      <c r="AD331" s="450">
        <f>'AVT187(vn-A)'!AZ72</f>
        <v>0</v>
      </c>
      <c r="AE331" s="41"/>
      <c r="AF331" s="450">
        <f>'AVT187In(vn-A)'!AZ58</f>
        <v>0</v>
      </c>
      <c r="AG331" s="41"/>
      <c r="AH331" s="450">
        <f>'AVT187(vn-S)'!AZ72</f>
        <v>0</v>
      </c>
      <c r="AI331" s="41"/>
      <c r="AJ331" s="450">
        <f>'AVT187In(vn-S)'!AZ58</f>
        <v>0</v>
      </c>
      <c r="AK331" s="41"/>
      <c r="AL331" s="450">
        <f>'AVT77'!AZ41</f>
        <v>0</v>
      </c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203"/>
      <c r="BP331" s="203"/>
      <c r="BQ331" s="203"/>
      <c r="BR331" s="203"/>
      <c r="BS331" s="203"/>
      <c r="BT331" s="203"/>
      <c r="BU331" s="203"/>
      <c r="BV331" s="203"/>
      <c r="BW331" s="62"/>
      <c r="BX331" s="185"/>
      <c r="BY331" s="35"/>
      <c r="BZ331" s="27"/>
      <c r="CA331" s="27"/>
      <c r="CB331" s="27"/>
      <c r="CC331" s="27"/>
      <c r="CD331" s="27"/>
      <c r="CE331" s="27"/>
      <c r="CF331" s="27"/>
    </row>
    <row r="332" spans="1:84" ht="15" customHeight="1">
      <c r="A332" s="4"/>
      <c r="B332" s="440">
        <f>CENY!B695</f>
        <v>9256939</v>
      </c>
      <c r="C332" s="48" t="str">
        <f>VLOOKUP(B332,CENY!$B$11:$G$1034,2,FALSE)</f>
        <v>QUADRO YOU PLNOVÝSUV 550 MM EB21 PUSH TO OPEN SADA</v>
      </c>
      <c r="D332" s="501">
        <f>VLOOKUP(B332,CENY!$B$11:$G$1034,3,FALSE)</f>
        <v>1</v>
      </c>
      <c r="E332" s="63" t="str">
        <f>IF(VLOOKUP(B332,CENY!$B$11:$G$1034,4,FALSE)=0,"",VLOOKUP(B332,CENY!$B$11:$G$1034,4,FALSE))</f>
        <v/>
      </c>
      <c r="F332" s="45" t="str">
        <f t="shared" si="52"/>
        <v/>
      </c>
      <c r="G332" s="59">
        <f>VLOOKUP(B332,CENY!$B$11:$M$1034,12,FALSE)</f>
        <v>457.48</v>
      </c>
      <c r="H332" s="61" t="str">
        <f t="shared" si="48"/>
        <v xml:space="preserve"> CZK</v>
      </c>
      <c r="I332" s="46" t="str">
        <f t="shared" si="49"/>
        <v/>
      </c>
      <c r="J332" s="138"/>
      <c r="K332" s="47">
        <f>VLOOKUP(B332,CENY!$B$11:$M$1034,8,FALSE)</f>
        <v>0</v>
      </c>
      <c r="L332" s="47" t="str">
        <f>VLOOKUP(B332,CENY!$B$11:$M$1034,9,FALSE)</f>
        <v xml:space="preserve"> </v>
      </c>
      <c r="M332" s="55"/>
      <c r="N332" s="38">
        <f t="shared" si="53"/>
        <v>0</v>
      </c>
      <c r="O332" s="39">
        <v>0</v>
      </c>
      <c r="P332" s="450">
        <f>'AVT101'!AZ73</f>
        <v>0</v>
      </c>
      <c r="Q332" s="41"/>
      <c r="R332" s="450">
        <f>'AVT139'!AZ63</f>
        <v>0</v>
      </c>
      <c r="S332" s="41"/>
      <c r="T332" s="450">
        <f>'AVT187'!AZ73</f>
        <v>0</v>
      </c>
      <c r="U332" s="41"/>
      <c r="V332" s="450">
        <f>'AVT251'!AZ59</f>
        <v>0</v>
      </c>
      <c r="W332" s="41"/>
      <c r="X332" s="450">
        <f>AVT187In!AZ59</f>
        <v>0</v>
      </c>
      <c r="Y332" s="41"/>
      <c r="Z332" s="450">
        <f>'AVT101(vn-A)'!AZ73</f>
        <v>0</v>
      </c>
      <c r="AA332" s="41"/>
      <c r="AB332" s="450">
        <f>'AVT139(vn-A)'!AZ63</f>
        <v>0</v>
      </c>
      <c r="AC332" s="41"/>
      <c r="AD332" s="450">
        <f>'AVT187(vn-A)'!AZ73</f>
        <v>0</v>
      </c>
      <c r="AE332" s="41"/>
      <c r="AF332" s="450">
        <f>'AVT187In(vn-A)'!AZ59</f>
        <v>0</v>
      </c>
      <c r="AG332" s="41"/>
      <c r="AH332" s="450">
        <f>'AVT187(vn-S)'!AZ73</f>
        <v>0</v>
      </c>
      <c r="AI332" s="41"/>
      <c r="AJ332" s="450">
        <f>'AVT187In(vn-S)'!AZ59</f>
        <v>0</v>
      </c>
      <c r="AK332" s="41"/>
      <c r="AL332" s="450">
        <f>'AVT77'!AZ42</f>
        <v>0</v>
      </c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203"/>
      <c r="BP332" s="203"/>
      <c r="BQ332" s="203"/>
      <c r="BR332" s="203"/>
      <c r="BS332" s="203"/>
      <c r="BT332" s="203"/>
      <c r="BU332" s="203"/>
      <c r="BV332" s="203"/>
      <c r="BW332" s="62"/>
      <c r="BX332" s="185"/>
      <c r="BY332" s="35"/>
      <c r="BZ332" s="27"/>
      <c r="CA332" s="27"/>
      <c r="CB332" s="27"/>
      <c r="CC332" s="27"/>
      <c r="CD332" s="27"/>
      <c r="CE332" s="27"/>
      <c r="CF332" s="27"/>
    </row>
    <row r="333" spans="1:84" ht="15" customHeight="1">
      <c r="A333" s="4"/>
      <c r="B333" s="440">
        <f>CENY!B696</f>
        <v>9256941</v>
      </c>
      <c r="C333" s="48" t="str">
        <f>VLOOKUP(B333,CENY!$B$11:$G$1034,2,FALSE)</f>
        <v>QUADRO YOU PLNOVÝSUV 600 MM EB21 PUSH TO OPEN SADA</v>
      </c>
      <c r="D333" s="501">
        <f>VLOOKUP(B333,CENY!$B$11:$G$1034,3,FALSE)</f>
        <v>1</v>
      </c>
      <c r="E333" s="63" t="str">
        <f>IF(VLOOKUP(B333,CENY!$B$11:$G$1034,4,FALSE)=0,"",VLOOKUP(B333,CENY!$B$11:$G$1034,4,FALSE))</f>
        <v/>
      </c>
      <c r="F333" s="45" t="str">
        <f t="shared" si="52"/>
        <v/>
      </c>
      <c r="G333" s="59">
        <f>VLOOKUP(B333,CENY!$B$11:$M$1034,12,FALSE)</f>
        <v>464.95</v>
      </c>
      <c r="H333" s="61" t="str">
        <f t="shared" si="48"/>
        <v xml:space="preserve"> CZK</v>
      </c>
      <c r="I333" s="46" t="str">
        <f t="shared" si="49"/>
        <v/>
      </c>
      <c r="J333" s="138"/>
      <c r="K333" s="47">
        <f>VLOOKUP(B333,CENY!$B$11:$M$1034,8,FALSE)</f>
        <v>0</v>
      </c>
      <c r="L333" s="47" t="str">
        <f>VLOOKUP(B333,CENY!$B$11:$M$1034,9,FALSE)</f>
        <v xml:space="preserve"> </v>
      </c>
      <c r="M333" s="55"/>
      <c r="N333" s="38">
        <f t="shared" si="53"/>
        <v>0</v>
      </c>
      <c r="O333" s="39">
        <v>0</v>
      </c>
      <c r="P333" s="450">
        <f>'AVT101'!AZ74</f>
        <v>0</v>
      </c>
      <c r="Q333" s="41"/>
      <c r="R333" s="450">
        <f>'AVT139'!AZ64</f>
        <v>0</v>
      </c>
      <c r="S333" s="41"/>
      <c r="T333" s="450">
        <f>'AVT187'!AZ74</f>
        <v>0</v>
      </c>
      <c r="U333" s="41"/>
      <c r="V333" s="450">
        <f>'AVT251'!AZ60</f>
        <v>0</v>
      </c>
      <c r="W333" s="41"/>
      <c r="X333" s="450">
        <f>AVT187In!AZ60</f>
        <v>0</v>
      </c>
      <c r="Y333" s="41"/>
      <c r="Z333" s="450">
        <f>'AVT101(vn-A)'!AZ74</f>
        <v>0</v>
      </c>
      <c r="AA333" s="41"/>
      <c r="AB333" s="450">
        <f>'AVT139(vn-A)'!AZ64</f>
        <v>0</v>
      </c>
      <c r="AC333" s="41"/>
      <c r="AD333" s="450">
        <f>'AVT187(vn-A)'!AZ74</f>
        <v>0</v>
      </c>
      <c r="AE333" s="41"/>
      <c r="AF333" s="450">
        <f>'AVT187In(vn-A)'!AZ60</f>
        <v>0</v>
      </c>
      <c r="AG333" s="41"/>
      <c r="AH333" s="450">
        <f>'AVT187(vn-S)'!AZ74</f>
        <v>0</v>
      </c>
      <c r="AI333" s="41"/>
      <c r="AJ333" s="450">
        <f>'AVT187In(vn-S)'!AZ60</f>
        <v>0</v>
      </c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203"/>
      <c r="BP333" s="203"/>
      <c r="BQ333" s="203"/>
      <c r="BR333" s="203"/>
      <c r="BS333" s="203"/>
      <c r="BT333" s="203"/>
      <c r="BU333" s="203"/>
      <c r="BV333" s="203"/>
      <c r="BW333" s="62"/>
      <c r="BX333" s="185"/>
      <c r="BY333" s="35"/>
      <c r="BZ333" s="27"/>
      <c r="CA333" s="27"/>
      <c r="CB333" s="27"/>
      <c r="CC333" s="27"/>
      <c r="CD333" s="27"/>
      <c r="CE333" s="27"/>
      <c r="CF333" s="27"/>
    </row>
    <row r="334" spans="1:84" ht="15" customHeight="1">
      <c r="A334" s="4"/>
      <c r="B334" s="440">
        <f>CENY!B697</f>
        <v>9256899</v>
      </c>
      <c r="C334" s="48" t="str">
        <f>VLOOKUP(B334,CENY!$B$11:$G$1034,2,FALSE)</f>
        <v>QUADRO YOU PLNOVÝSUV 270 MM EB21 PUSH TO OPEN LEVÝ</v>
      </c>
      <c r="D334" s="488">
        <f>VLOOKUP(B334,CENY!$B$11:$G$1034,3,FALSE)</f>
        <v>20</v>
      </c>
      <c r="E334" s="63" t="str">
        <f>IF(VLOOKUP(B334,CENY!$B$11:$G$1034,4,FALSE)=0,"",VLOOKUP(B334,CENY!$B$11:$G$1034,4,FALSE))</f>
        <v/>
      </c>
      <c r="F334" s="45" t="str">
        <f t="shared" si="52"/>
        <v/>
      </c>
      <c r="G334" s="59">
        <f>VLOOKUP(B334,CENY!$B$11:$M$1034,12,FALSE)</f>
        <v>194.74</v>
      </c>
      <c r="H334" s="61" t="str">
        <f t="shared" si="48"/>
        <v xml:space="preserve"> CZK</v>
      </c>
      <c r="I334" s="46" t="str">
        <f t="shared" si="49"/>
        <v/>
      </c>
      <c r="J334" s="138"/>
      <c r="K334" s="47">
        <f>VLOOKUP(B334,CENY!$B$11:$M$1034,8,FALSE)</f>
        <v>0</v>
      </c>
      <c r="L334" s="47" t="str">
        <f>VLOOKUP(B334,CENY!$B$11:$M$1034,9,FALSE)</f>
        <v xml:space="preserve"> </v>
      </c>
      <c r="M334" s="55"/>
      <c r="N334" s="38">
        <f t="shared" si="53"/>
        <v>0</v>
      </c>
      <c r="O334" s="39">
        <v>0</v>
      </c>
      <c r="P334" s="41"/>
      <c r="Q334" s="450">
        <f>'AVT101'!BI106</f>
        <v>0</v>
      </c>
      <c r="R334" s="41"/>
      <c r="S334" s="41"/>
      <c r="T334" s="41"/>
      <c r="U334" s="450">
        <f>'AVT187'!BI106</f>
        <v>0</v>
      </c>
      <c r="V334" s="41"/>
      <c r="W334" s="41"/>
      <c r="X334" s="41"/>
      <c r="Y334" s="41"/>
      <c r="Z334" s="41"/>
      <c r="AA334" s="450">
        <f>'AVT101(vn-A)'!BI106</f>
        <v>0</v>
      </c>
      <c r="AB334" s="41"/>
      <c r="AC334" s="41"/>
      <c r="AD334" s="41"/>
      <c r="AE334" s="450">
        <f>'AVT187(vn-A)'!BI106</f>
        <v>0</v>
      </c>
      <c r="AF334" s="41"/>
      <c r="AG334" s="41"/>
      <c r="AH334" s="41"/>
      <c r="AI334" s="450">
        <f>'AVT187(vn-S)'!BI106</f>
        <v>0</v>
      </c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203"/>
      <c r="BP334" s="203"/>
      <c r="BQ334" s="203"/>
      <c r="BR334" s="203"/>
      <c r="BS334" s="203"/>
      <c r="BT334" s="203"/>
      <c r="BU334" s="203"/>
      <c r="BV334" s="203"/>
      <c r="BW334" s="62"/>
      <c r="BX334" s="185"/>
      <c r="BY334" s="35"/>
      <c r="BZ334" s="27"/>
      <c r="CA334" s="27"/>
      <c r="CB334" s="27"/>
      <c r="CC334" s="27"/>
      <c r="CD334" s="27"/>
      <c r="CE334" s="27"/>
      <c r="CF334" s="27"/>
    </row>
    <row r="335" spans="1:84" ht="15" customHeight="1">
      <c r="A335" s="4"/>
      <c r="B335" s="440">
        <f>CENY!B698</f>
        <v>9256900</v>
      </c>
      <c r="C335" s="48" t="str">
        <f>VLOOKUP(B335,CENY!$B$11:$G$1034,2,FALSE)</f>
        <v>QUADRO YOU PLNOVÝSUV 270 MM EB21 PUSH TO OPEN PRAVÝ</v>
      </c>
      <c r="D335" s="488">
        <f>VLOOKUP(B335,CENY!$B$11:$G$1034,3,FALSE)</f>
        <v>20</v>
      </c>
      <c r="E335" s="63" t="str">
        <f>IF(VLOOKUP(B335,CENY!$B$11:$G$1034,4,FALSE)=0,"",VLOOKUP(B335,CENY!$B$11:$G$1034,4,FALSE))</f>
        <v/>
      </c>
      <c r="F335" s="45" t="str">
        <f t="shared" si="52"/>
        <v/>
      </c>
      <c r="G335" s="59">
        <f>VLOOKUP(B335,CENY!$B$11:$M$1034,12,FALSE)</f>
        <v>194.74</v>
      </c>
      <c r="H335" s="61" t="str">
        <f t="shared" si="48"/>
        <v xml:space="preserve"> CZK</v>
      </c>
      <c r="I335" s="46" t="str">
        <f t="shared" si="49"/>
        <v/>
      </c>
      <c r="J335" s="138"/>
      <c r="K335" s="47">
        <f>VLOOKUP(B335,CENY!$B$11:$M$1034,8,FALSE)</f>
        <v>0</v>
      </c>
      <c r="L335" s="47" t="str">
        <f>VLOOKUP(B335,CENY!$B$11:$M$1034,9,FALSE)</f>
        <v xml:space="preserve"> </v>
      </c>
      <c r="M335" s="55"/>
      <c r="N335" s="38">
        <f t="shared" si="53"/>
        <v>0</v>
      </c>
      <c r="O335" s="39">
        <v>0</v>
      </c>
      <c r="P335" s="41"/>
      <c r="Q335" s="450">
        <f>'AVT101'!BI107</f>
        <v>0</v>
      </c>
      <c r="R335" s="41"/>
      <c r="S335" s="41"/>
      <c r="T335" s="41"/>
      <c r="U335" s="450">
        <f>'AVT187'!BI107</f>
        <v>0</v>
      </c>
      <c r="V335" s="41"/>
      <c r="W335" s="41"/>
      <c r="X335" s="41"/>
      <c r="Y335" s="41"/>
      <c r="Z335" s="41"/>
      <c r="AA335" s="450">
        <f>'AVT101(vn-A)'!BI107</f>
        <v>0</v>
      </c>
      <c r="AB335" s="41"/>
      <c r="AC335" s="41"/>
      <c r="AD335" s="41"/>
      <c r="AE335" s="450">
        <f>'AVT187(vn-A)'!BI107</f>
        <v>0</v>
      </c>
      <c r="AF335" s="41"/>
      <c r="AG335" s="41"/>
      <c r="AH335" s="41"/>
      <c r="AI335" s="450">
        <f>'AVT187(vn-S)'!BI107</f>
        <v>0</v>
      </c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203"/>
      <c r="BP335" s="203"/>
      <c r="BQ335" s="203"/>
      <c r="BR335" s="203"/>
      <c r="BS335" s="203"/>
      <c r="BT335" s="203"/>
      <c r="BU335" s="203"/>
      <c r="BV335" s="203"/>
      <c r="BW335" s="62"/>
      <c r="BX335" s="185"/>
      <c r="BY335" s="35"/>
      <c r="BZ335" s="27"/>
      <c r="CA335" s="27"/>
      <c r="CB335" s="27"/>
      <c r="CC335" s="27"/>
      <c r="CD335" s="27"/>
      <c r="CE335" s="27"/>
      <c r="CF335" s="27"/>
    </row>
    <row r="336" spans="1:84" ht="15" customHeight="1">
      <c r="A336" s="4"/>
      <c r="B336" s="440">
        <f>CENY!B699</f>
        <v>9256901</v>
      </c>
      <c r="C336" s="48" t="str">
        <f>VLOOKUP(B336,CENY!$B$11:$G$1034,2,FALSE)</f>
        <v>QUADRO YOU PLNOVÝSUV 300 MM EB21 PUSH TO OPEN LEVÝ</v>
      </c>
      <c r="D336" s="488">
        <f>VLOOKUP(B336,CENY!$B$11:$G$1034,3,FALSE)</f>
        <v>20</v>
      </c>
      <c r="E336" s="63" t="str">
        <f>IF(VLOOKUP(B336,CENY!$B$11:$G$1034,4,FALSE)=0,"",VLOOKUP(B336,CENY!$B$11:$G$1034,4,FALSE))</f>
        <v/>
      </c>
      <c r="F336" s="45" t="str">
        <f t="shared" si="52"/>
        <v/>
      </c>
      <c r="G336" s="59">
        <f>VLOOKUP(B336,CENY!$B$11:$M$1034,12,FALSE)</f>
        <v>195.11</v>
      </c>
      <c r="H336" s="61" t="str">
        <f t="shared" si="48"/>
        <v xml:space="preserve"> CZK</v>
      </c>
      <c r="I336" s="46" t="str">
        <f t="shared" si="49"/>
        <v/>
      </c>
      <c r="J336" s="138"/>
      <c r="K336" s="47">
        <f>VLOOKUP(B336,CENY!$B$11:$M$1034,8,FALSE)</f>
        <v>0</v>
      </c>
      <c r="L336" s="47" t="str">
        <f>VLOOKUP(B336,CENY!$B$11:$M$1034,9,FALSE)</f>
        <v xml:space="preserve"> </v>
      </c>
      <c r="M336" s="55"/>
      <c r="N336" s="38">
        <f t="shared" si="53"/>
        <v>0</v>
      </c>
      <c r="O336" s="39">
        <v>0</v>
      </c>
      <c r="P336" s="41"/>
      <c r="Q336" s="450">
        <f>'AVT101'!BI108</f>
        <v>0</v>
      </c>
      <c r="R336" s="41"/>
      <c r="S336" s="450">
        <f>'AVT139'!BI90</f>
        <v>0</v>
      </c>
      <c r="T336" s="41"/>
      <c r="U336" s="450">
        <f>'AVT187'!BI108</f>
        <v>0</v>
      </c>
      <c r="V336" s="41"/>
      <c r="W336" s="41"/>
      <c r="X336" s="41"/>
      <c r="Y336" s="41"/>
      <c r="Z336" s="41"/>
      <c r="AA336" s="450">
        <f>'AVT101(vn-A)'!BI108</f>
        <v>0</v>
      </c>
      <c r="AB336" s="41"/>
      <c r="AC336" s="450">
        <f>'AVT139(vn-A)'!BI90</f>
        <v>0</v>
      </c>
      <c r="AD336" s="41"/>
      <c r="AE336" s="450">
        <f>'AVT187(vn-A)'!BI108</f>
        <v>0</v>
      </c>
      <c r="AF336" s="41"/>
      <c r="AG336" s="41"/>
      <c r="AH336" s="41"/>
      <c r="AI336" s="450">
        <f>'AVT187(vn-S)'!BI108</f>
        <v>0</v>
      </c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203"/>
      <c r="BP336" s="203"/>
      <c r="BQ336" s="203"/>
      <c r="BR336" s="203"/>
      <c r="BS336" s="203"/>
      <c r="BT336" s="203"/>
      <c r="BU336" s="203"/>
      <c r="BV336" s="203"/>
      <c r="BW336" s="62"/>
      <c r="BX336" s="185"/>
      <c r="BY336" s="35"/>
      <c r="BZ336" s="27"/>
      <c r="CA336" s="27"/>
      <c r="CB336" s="27"/>
      <c r="CC336" s="27"/>
      <c r="CD336" s="27"/>
      <c r="CE336" s="27"/>
      <c r="CF336" s="27"/>
    </row>
    <row r="337" spans="1:84" ht="15" customHeight="1">
      <c r="A337" s="4"/>
      <c r="B337" s="440">
        <f>CENY!B700</f>
        <v>9256902</v>
      </c>
      <c r="C337" s="48" t="str">
        <f>VLOOKUP(B337,CENY!$B$11:$G$1034,2,FALSE)</f>
        <v>QUADRO YOU PLNOVÝSUV 300 MM EB21 PUSH TO OPEN PRAVÝ</v>
      </c>
      <c r="D337" s="488">
        <f>VLOOKUP(B337,CENY!$B$11:$G$1034,3,FALSE)</f>
        <v>20</v>
      </c>
      <c r="E337" s="63" t="str">
        <f>IF(VLOOKUP(B337,CENY!$B$11:$G$1034,4,FALSE)=0,"",VLOOKUP(B337,CENY!$B$11:$G$1034,4,FALSE))</f>
        <v/>
      </c>
      <c r="F337" s="45" t="str">
        <f t="shared" si="52"/>
        <v/>
      </c>
      <c r="G337" s="59">
        <f>VLOOKUP(B337,CENY!$B$11:$M$1034,12,FALSE)</f>
        <v>195.11</v>
      </c>
      <c r="H337" s="61" t="str">
        <f t="shared" si="48"/>
        <v xml:space="preserve"> CZK</v>
      </c>
      <c r="I337" s="46" t="str">
        <f t="shared" si="49"/>
        <v/>
      </c>
      <c r="J337" s="138"/>
      <c r="K337" s="47">
        <f>VLOOKUP(B337,CENY!$B$11:$M$1034,8,FALSE)</f>
        <v>0</v>
      </c>
      <c r="L337" s="47" t="str">
        <f>VLOOKUP(B337,CENY!$B$11:$M$1034,9,FALSE)</f>
        <v xml:space="preserve"> </v>
      </c>
      <c r="M337" s="55"/>
      <c r="N337" s="38">
        <f t="shared" si="53"/>
        <v>0</v>
      </c>
      <c r="O337" s="39">
        <v>0</v>
      </c>
      <c r="P337" s="41"/>
      <c r="Q337" s="450">
        <f>'AVT101'!BI109</f>
        <v>0</v>
      </c>
      <c r="R337" s="41"/>
      <c r="S337" s="450">
        <f>'AVT139'!BI91</f>
        <v>0</v>
      </c>
      <c r="T337" s="41"/>
      <c r="U337" s="450">
        <f>'AVT187'!BI109</f>
        <v>0</v>
      </c>
      <c r="V337" s="41"/>
      <c r="W337" s="41"/>
      <c r="X337" s="41"/>
      <c r="Y337" s="41"/>
      <c r="Z337" s="41"/>
      <c r="AA337" s="450">
        <f>'AVT101(vn-A)'!BI109</f>
        <v>0</v>
      </c>
      <c r="AB337" s="41"/>
      <c r="AC337" s="450">
        <f>'AVT139(vn-A)'!BI91</f>
        <v>0</v>
      </c>
      <c r="AD337" s="41"/>
      <c r="AE337" s="450">
        <f>'AVT187(vn-A)'!BI109</f>
        <v>0</v>
      </c>
      <c r="AF337" s="41"/>
      <c r="AG337" s="41"/>
      <c r="AH337" s="41"/>
      <c r="AI337" s="450">
        <f>'AVT187(vn-S)'!BI109</f>
        <v>0</v>
      </c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203"/>
      <c r="BP337" s="203"/>
      <c r="BQ337" s="203"/>
      <c r="BR337" s="203"/>
      <c r="BS337" s="203"/>
      <c r="BT337" s="203"/>
      <c r="BU337" s="203"/>
      <c r="BV337" s="203"/>
      <c r="BW337" s="62"/>
      <c r="BX337" s="185"/>
      <c r="BY337" s="35"/>
      <c r="BZ337" s="27"/>
      <c r="CA337" s="27"/>
      <c r="CB337" s="27"/>
      <c r="CC337" s="27"/>
      <c r="CD337" s="27"/>
      <c r="CE337" s="27"/>
      <c r="CF337" s="27"/>
    </row>
    <row r="338" spans="1:84" ht="15" customHeight="1">
      <c r="A338" s="4"/>
      <c r="B338" s="440">
        <f>CENY!B701</f>
        <v>9256905</v>
      </c>
      <c r="C338" s="48" t="str">
        <f>VLOOKUP(B338,CENY!$B$11:$G$1034,2,FALSE)</f>
        <v>QUADRO YOU PLNOVÝSUV 350 MM EB21 PUSH TO OPEN LEVÝ</v>
      </c>
      <c r="D338" s="488">
        <f>VLOOKUP(B338,CENY!$B$11:$G$1034,3,FALSE)</f>
        <v>20</v>
      </c>
      <c r="E338" s="63" t="str">
        <f>IF(VLOOKUP(B338,CENY!$B$11:$G$1034,4,FALSE)=0,"",VLOOKUP(B338,CENY!$B$11:$G$1034,4,FALSE))</f>
        <v/>
      </c>
      <c r="F338" s="45" t="str">
        <f t="shared" si="52"/>
        <v/>
      </c>
      <c r="G338" s="59">
        <f>VLOOKUP(B338,CENY!$B$11:$M$1034,12,FALSE)</f>
        <v>198.85</v>
      </c>
      <c r="H338" s="61" t="str">
        <f t="shared" si="48"/>
        <v xml:space="preserve"> CZK</v>
      </c>
      <c r="I338" s="46" t="str">
        <f t="shared" si="49"/>
        <v/>
      </c>
      <c r="J338" s="138"/>
      <c r="K338" s="47">
        <f>VLOOKUP(B338,CENY!$B$11:$M$1034,8,FALSE)</f>
        <v>0</v>
      </c>
      <c r="L338" s="47" t="str">
        <f>VLOOKUP(B338,CENY!$B$11:$M$1034,9,FALSE)</f>
        <v xml:space="preserve"> </v>
      </c>
      <c r="M338" s="55"/>
      <c r="N338" s="38">
        <f t="shared" si="53"/>
        <v>0</v>
      </c>
      <c r="O338" s="39">
        <v>0</v>
      </c>
      <c r="P338" s="41"/>
      <c r="Q338" s="450">
        <f>'AVT101'!BI110</f>
        <v>0</v>
      </c>
      <c r="R338" s="41"/>
      <c r="S338" s="450">
        <f>'AVT139'!BI92</f>
        <v>0</v>
      </c>
      <c r="T338" s="41"/>
      <c r="U338" s="450">
        <f>'AVT187'!BI110</f>
        <v>0</v>
      </c>
      <c r="V338" s="41"/>
      <c r="W338" s="450">
        <f>'AVT251'!BI85</f>
        <v>0</v>
      </c>
      <c r="X338" s="41"/>
      <c r="Y338" s="450">
        <f>AVT187In!BI84</f>
        <v>0</v>
      </c>
      <c r="Z338" s="41"/>
      <c r="AA338" s="450">
        <f>'AVT101(vn-A)'!BI110</f>
        <v>0</v>
      </c>
      <c r="AB338" s="41"/>
      <c r="AC338" s="450">
        <f>'AVT139(vn-A)'!BI92</f>
        <v>0</v>
      </c>
      <c r="AD338" s="41"/>
      <c r="AE338" s="450">
        <f>'AVT187(vn-A)'!BI110</f>
        <v>0</v>
      </c>
      <c r="AF338" s="41"/>
      <c r="AG338" s="450">
        <f>'AVT187In(vn-A)'!BI84</f>
        <v>0</v>
      </c>
      <c r="AH338" s="41"/>
      <c r="AI338" s="450">
        <f>'AVT187(vn-S)'!BI110</f>
        <v>0</v>
      </c>
      <c r="AJ338" s="41"/>
      <c r="AK338" s="450">
        <f>'AVT187In(vn-S)'!BI84</f>
        <v>0</v>
      </c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203"/>
      <c r="BP338" s="203"/>
      <c r="BQ338" s="203"/>
      <c r="BR338" s="203"/>
      <c r="BS338" s="203"/>
      <c r="BT338" s="203"/>
      <c r="BU338" s="203"/>
      <c r="BV338" s="203"/>
      <c r="BW338" s="62"/>
      <c r="BX338" s="185"/>
      <c r="BY338" s="35"/>
      <c r="BZ338" s="27"/>
      <c r="CA338" s="27"/>
      <c r="CB338" s="27"/>
      <c r="CC338" s="27"/>
      <c r="CD338" s="27"/>
      <c r="CE338" s="27"/>
      <c r="CF338" s="27"/>
    </row>
    <row r="339" spans="1:84" ht="15" customHeight="1">
      <c r="A339" s="4"/>
      <c r="B339" s="440">
        <f>CENY!B702</f>
        <v>9256906</v>
      </c>
      <c r="C339" s="48" t="str">
        <f>VLOOKUP(B339,CENY!$B$11:$G$1034,2,FALSE)</f>
        <v>QUADRO YOU PLNOVÝSUV 350 MM EB21 PUSH TO OPEN PRAVÝ</v>
      </c>
      <c r="D339" s="488">
        <f>VLOOKUP(B339,CENY!$B$11:$G$1034,3,FALSE)</f>
        <v>20</v>
      </c>
      <c r="E339" s="63" t="str">
        <f>IF(VLOOKUP(B339,CENY!$B$11:$G$1034,4,FALSE)=0,"",VLOOKUP(B339,CENY!$B$11:$G$1034,4,FALSE))</f>
        <v/>
      </c>
      <c r="F339" s="45" t="str">
        <f t="shared" si="52"/>
        <v/>
      </c>
      <c r="G339" s="59">
        <f>VLOOKUP(B339,CENY!$B$11:$M$1034,12,FALSE)</f>
        <v>198.85</v>
      </c>
      <c r="H339" s="61" t="str">
        <f t="shared" si="48"/>
        <v xml:space="preserve"> CZK</v>
      </c>
      <c r="I339" s="46" t="str">
        <f t="shared" si="49"/>
        <v/>
      </c>
      <c r="J339" s="138"/>
      <c r="K339" s="47">
        <f>VLOOKUP(B339,CENY!$B$11:$M$1034,8,FALSE)</f>
        <v>0</v>
      </c>
      <c r="L339" s="47" t="str">
        <f>VLOOKUP(B339,CENY!$B$11:$M$1034,9,FALSE)</f>
        <v xml:space="preserve"> </v>
      </c>
      <c r="M339" s="55"/>
      <c r="N339" s="38">
        <f t="shared" si="53"/>
        <v>0</v>
      </c>
      <c r="O339" s="39">
        <v>0</v>
      </c>
      <c r="P339" s="41"/>
      <c r="Q339" s="450">
        <f>'AVT101'!BI111</f>
        <v>0</v>
      </c>
      <c r="R339" s="41"/>
      <c r="S339" s="450">
        <f>'AVT139'!BI93</f>
        <v>0</v>
      </c>
      <c r="T339" s="41"/>
      <c r="U339" s="450">
        <f>'AVT187'!BI111</f>
        <v>0</v>
      </c>
      <c r="V339" s="41"/>
      <c r="W339" s="450">
        <f>'AVT251'!BI86</f>
        <v>0</v>
      </c>
      <c r="X339" s="41"/>
      <c r="Y339" s="450">
        <f>AVT187In!BI85</f>
        <v>0</v>
      </c>
      <c r="Z339" s="41"/>
      <c r="AA339" s="450">
        <f>'AVT101(vn-A)'!BI111</f>
        <v>0</v>
      </c>
      <c r="AB339" s="41"/>
      <c r="AC339" s="450">
        <f>'AVT139(vn-A)'!BI93</f>
        <v>0</v>
      </c>
      <c r="AD339" s="41"/>
      <c r="AE339" s="450">
        <f>'AVT187(vn-A)'!BI111</f>
        <v>0</v>
      </c>
      <c r="AF339" s="41"/>
      <c r="AG339" s="450">
        <f>'AVT187In(vn-A)'!BI85</f>
        <v>0</v>
      </c>
      <c r="AH339" s="41"/>
      <c r="AI339" s="450">
        <f>'AVT187(vn-S)'!BI111</f>
        <v>0</v>
      </c>
      <c r="AJ339" s="41"/>
      <c r="AK339" s="450">
        <f>'AVT187In(vn-S)'!BI85</f>
        <v>0</v>
      </c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203"/>
      <c r="BP339" s="203"/>
      <c r="BQ339" s="203"/>
      <c r="BR339" s="203"/>
      <c r="BS339" s="203"/>
      <c r="BT339" s="203"/>
      <c r="BU339" s="203"/>
      <c r="BV339" s="203"/>
      <c r="BW339" s="62"/>
      <c r="BX339" s="185"/>
      <c r="BY339" s="35"/>
      <c r="BZ339" s="27"/>
      <c r="CA339" s="27"/>
      <c r="CB339" s="27"/>
      <c r="CC339" s="27"/>
      <c r="CD339" s="27"/>
      <c r="CE339" s="27"/>
      <c r="CF339" s="27"/>
    </row>
    <row r="340" spans="1:84" ht="15" customHeight="1">
      <c r="A340" s="4"/>
      <c r="B340" s="440">
        <f>CENY!B703</f>
        <v>9256909</v>
      </c>
      <c r="C340" s="48" t="str">
        <f>VLOOKUP(B340,CENY!$B$11:$G$1034,2,FALSE)</f>
        <v>QUADRO YOU PLNOVÝSUV 400 MM EB21 PUSH TO OPEN LEVÝ</v>
      </c>
      <c r="D340" s="488">
        <f>VLOOKUP(B340,CENY!$B$11:$G$1034,3,FALSE)</f>
        <v>20</v>
      </c>
      <c r="E340" s="63" t="str">
        <f>IF(VLOOKUP(B340,CENY!$B$11:$G$1034,4,FALSE)=0,"",VLOOKUP(B340,CENY!$B$11:$G$1034,4,FALSE))</f>
        <v/>
      </c>
      <c r="F340" s="45" t="str">
        <f t="shared" si="52"/>
        <v/>
      </c>
      <c r="G340" s="59">
        <f>VLOOKUP(B340,CENY!$B$11:$M$1034,12,FALSE)</f>
        <v>202.58</v>
      </c>
      <c r="H340" s="61" t="str">
        <f t="shared" si="48"/>
        <v xml:space="preserve"> CZK</v>
      </c>
      <c r="I340" s="46" t="str">
        <f t="shared" si="49"/>
        <v/>
      </c>
      <c r="J340" s="138"/>
      <c r="K340" s="47">
        <f>VLOOKUP(B340,CENY!$B$11:$M$1034,8,FALSE)</f>
        <v>0</v>
      </c>
      <c r="L340" s="47" t="str">
        <f>VLOOKUP(B340,CENY!$B$11:$M$1034,9,FALSE)</f>
        <v xml:space="preserve"> </v>
      </c>
      <c r="M340" s="55"/>
      <c r="N340" s="38">
        <f t="shared" si="53"/>
        <v>0</v>
      </c>
      <c r="O340" s="39">
        <v>0</v>
      </c>
      <c r="P340" s="41"/>
      <c r="Q340" s="450">
        <f>'AVT101'!BI112</f>
        <v>0</v>
      </c>
      <c r="R340" s="41"/>
      <c r="S340" s="450">
        <f>'AVT139'!BI94</f>
        <v>0</v>
      </c>
      <c r="T340" s="41"/>
      <c r="U340" s="450">
        <f>'AVT187'!BI112</f>
        <v>0</v>
      </c>
      <c r="V340" s="41"/>
      <c r="W340" s="450">
        <f>'AVT251'!BI87</f>
        <v>0</v>
      </c>
      <c r="X340" s="41"/>
      <c r="Y340" s="450">
        <f>AVT187In!BI86</f>
        <v>0</v>
      </c>
      <c r="Z340" s="41"/>
      <c r="AA340" s="450">
        <f>'AVT101(vn-A)'!BI112</f>
        <v>0</v>
      </c>
      <c r="AB340" s="41"/>
      <c r="AC340" s="450">
        <f>'AVT139(vn-A)'!BI94</f>
        <v>0</v>
      </c>
      <c r="AD340" s="41"/>
      <c r="AE340" s="450">
        <f>'AVT187(vn-A)'!BI112</f>
        <v>0</v>
      </c>
      <c r="AF340" s="41"/>
      <c r="AG340" s="450">
        <f>'AVT187In(vn-A)'!BI86</f>
        <v>0</v>
      </c>
      <c r="AH340" s="41"/>
      <c r="AI340" s="450">
        <f>'AVT187(vn-S)'!BI112</f>
        <v>0</v>
      </c>
      <c r="AJ340" s="41"/>
      <c r="AK340" s="450">
        <f>'AVT187In(vn-S)'!BI86</f>
        <v>0</v>
      </c>
      <c r="AL340" s="41"/>
      <c r="AM340" s="450">
        <f>'AVT77'!BI57</f>
        <v>0</v>
      </c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203"/>
      <c r="BP340" s="203"/>
      <c r="BQ340" s="203"/>
      <c r="BR340" s="203"/>
      <c r="BS340" s="203"/>
      <c r="BT340" s="203"/>
      <c r="BU340" s="203"/>
      <c r="BV340" s="203"/>
      <c r="BW340" s="62"/>
      <c r="BX340" s="185"/>
      <c r="BY340" s="35"/>
      <c r="BZ340" s="27"/>
      <c r="CA340" s="27"/>
      <c r="CB340" s="27"/>
      <c r="CC340" s="27"/>
      <c r="CD340" s="27"/>
      <c r="CE340" s="27"/>
      <c r="CF340" s="27"/>
    </row>
    <row r="341" spans="1:84" ht="15" customHeight="1">
      <c r="A341" s="4"/>
      <c r="B341" s="440">
        <f>CENY!B704</f>
        <v>9256910</v>
      </c>
      <c r="C341" s="48" t="str">
        <f>VLOOKUP(B341,CENY!$B$11:$G$1034,2,FALSE)</f>
        <v>QUADRO YOU PLNOVÝSUV 400 MM EB21 PUSH TO OPEN PRAVÝ</v>
      </c>
      <c r="D341" s="488">
        <f>VLOOKUP(B341,CENY!$B$11:$G$1034,3,FALSE)</f>
        <v>20</v>
      </c>
      <c r="E341" s="63" t="str">
        <f>IF(VLOOKUP(B341,CENY!$B$11:$G$1034,4,FALSE)=0,"",VLOOKUP(B341,CENY!$B$11:$G$1034,4,FALSE))</f>
        <v/>
      </c>
      <c r="F341" s="45" t="str">
        <f t="shared" si="52"/>
        <v/>
      </c>
      <c r="G341" s="59">
        <f>VLOOKUP(B341,CENY!$B$11:$M$1034,12,FALSE)</f>
        <v>202.58</v>
      </c>
      <c r="H341" s="61" t="str">
        <f t="shared" si="48"/>
        <v xml:space="preserve"> CZK</v>
      </c>
      <c r="I341" s="46" t="str">
        <f t="shared" si="49"/>
        <v/>
      </c>
      <c r="J341" s="138"/>
      <c r="K341" s="47">
        <f>VLOOKUP(B341,CENY!$B$11:$M$1034,8,FALSE)</f>
        <v>0</v>
      </c>
      <c r="L341" s="47" t="str">
        <f>VLOOKUP(B341,CENY!$B$11:$M$1034,9,FALSE)</f>
        <v xml:space="preserve"> </v>
      </c>
      <c r="M341" s="55"/>
      <c r="N341" s="38">
        <f t="shared" si="53"/>
        <v>0</v>
      </c>
      <c r="O341" s="39">
        <v>0</v>
      </c>
      <c r="P341" s="41"/>
      <c r="Q341" s="450">
        <f>'AVT101'!BI113</f>
        <v>0</v>
      </c>
      <c r="R341" s="41"/>
      <c r="S341" s="450">
        <f>'AVT139'!BI95</f>
        <v>0</v>
      </c>
      <c r="T341" s="41"/>
      <c r="U341" s="450">
        <f>'AVT187'!BI113</f>
        <v>0</v>
      </c>
      <c r="V341" s="41"/>
      <c r="W341" s="450">
        <f>'AVT251'!BI88</f>
        <v>0</v>
      </c>
      <c r="X341" s="41"/>
      <c r="Y341" s="450">
        <f>AVT187In!BI87</f>
        <v>0</v>
      </c>
      <c r="Z341" s="41"/>
      <c r="AA341" s="450">
        <f>'AVT101(vn-A)'!BI113</f>
        <v>0</v>
      </c>
      <c r="AB341" s="41"/>
      <c r="AC341" s="450">
        <f>'AVT139(vn-A)'!BI95</f>
        <v>0</v>
      </c>
      <c r="AD341" s="41"/>
      <c r="AE341" s="450">
        <f>'AVT187(vn-A)'!BI113</f>
        <v>0</v>
      </c>
      <c r="AF341" s="41"/>
      <c r="AG341" s="450">
        <f>'AVT187In(vn-A)'!BI87</f>
        <v>0</v>
      </c>
      <c r="AH341" s="41"/>
      <c r="AI341" s="450">
        <f>'AVT187(vn-S)'!BI113</f>
        <v>0</v>
      </c>
      <c r="AJ341" s="41"/>
      <c r="AK341" s="450">
        <f>'AVT187In(vn-S)'!BI87</f>
        <v>0</v>
      </c>
      <c r="AL341" s="41"/>
      <c r="AM341" s="450">
        <f>'AVT77'!BI58</f>
        <v>0</v>
      </c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203"/>
      <c r="BP341" s="203"/>
      <c r="BQ341" s="203"/>
      <c r="BR341" s="203"/>
      <c r="BS341" s="203"/>
      <c r="BT341" s="203"/>
      <c r="BU341" s="203"/>
      <c r="BV341" s="203"/>
      <c r="BW341" s="62"/>
      <c r="BX341" s="185"/>
      <c r="BY341" s="35"/>
      <c r="BZ341" s="27"/>
      <c r="CA341" s="27"/>
      <c r="CB341" s="27"/>
      <c r="CC341" s="27"/>
      <c r="CD341" s="27"/>
      <c r="CE341" s="27"/>
      <c r="CF341" s="27"/>
    </row>
    <row r="342" spans="1:84" ht="15" customHeight="1">
      <c r="A342" s="4"/>
      <c r="B342" s="440">
        <f>CENY!B705</f>
        <v>9256913</v>
      </c>
      <c r="C342" s="48" t="str">
        <f>VLOOKUP(B342,CENY!$B$11:$G$1034,2,FALSE)</f>
        <v>QUADRO YOU PLNOVÝSUV 450 MM EB21 PUSH TO OPEN LEVÝ</v>
      </c>
      <c r="D342" s="488">
        <f>VLOOKUP(B342,CENY!$B$11:$G$1034,3,FALSE)</f>
        <v>20</v>
      </c>
      <c r="E342" s="63" t="str">
        <f>IF(VLOOKUP(B342,CENY!$B$11:$G$1034,4,FALSE)=0,"",VLOOKUP(B342,CENY!$B$11:$G$1034,4,FALSE))</f>
        <v/>
      </c>
      <c r="F342" s="45" t="str">
        <f t="shared" si="52"/>
        <v/>
      </c>
      <c r="G342" s="59">
        <f>VLOOKUP(B342,CENY!$B$11:$M$1034,12,FALSE)</f>
        <v>206.32</v>
      </c>
      <c r="H342" s="61" t="str">
        <f t="shared" si="48"/>
        <v xml:space="preserve"> CZK</v>
      </c>
      <c r="I342" s="46" t="str">
        <f t="shared" si="49"/>
        <v/>
      </c>
      <c r="J342" s="138"/>
      <c r="K342" s="47">
        <f>VLOOKUP(B342,CENY!$B$11:$M$1034,8,FALSE)</f>
        <v>0</v>
      </c>
      <c r="L342" s="47" t="str">
        <f>VLOOKUP(B342,CENY!$B$11:$M$1034,9,FALSE)</f>
        <v xml:space="preserve"> </v>
      </c>
      <c r="M342" s="55"/>
      <c r="N342" s="38">
        <f t="shared" si="53"/>
        <v>0</v>
      </c>
      <c r="O342" s="39">
        <v>0</v>
      </c>
      <c r="P342" s="41"/>
      <c r="Q342" s="450">
        <f>'AVT101'!BI114</f>
        <v>0</v>
      </c>
      <c r="R342" s="41"/>
      <c r="S342" s="450">
        <f>'AVT139'!BI96</f>
        <v>0</v>
      </c>
      <c r="T342" s="41"/>
      <c r="U342" s="450">
        <f>'AVT187'!BI114</f>
        <v>0</v>
      </c>
      <c r="V342" s="41"/>
      <c r="W342" s="450">
        <f>'AVT251'!BI89</f>
        <v>0</v>
      </c>
      <c r="X342" s="41"/>
      <c r="Y342" s="450">
        <f>AVT187In!BI88</f>
        <v>0</v>
      </c>
      <c r="Z342" s="41"/>
      <c r="AA342" s="450">
        <f>'AVT101(vn-A)'!BI114</f>
        <v>0</v>
      </c>
      <c r="AB342" s="41"/>
      <c r="AC342" s="450">
        <f>'AVT139(vn-A)'!BI96</f>
        <v>0</v>
      </c>
      <c r="AD342" s="41"/>
      <c r="AE342" s="450">
        <f>'AVT187(vn-A)'!BI114</f>
        <v>0</v>
      </c>
      <c r="AF342" s="41"/>
      <c r="AG342" s="450">
        <f>'AVT187In(vn-A)'!BI88</f>
        <v>0</v>
      </c>
      <c r="AH342" s="41"/>
      <c r="AI342" s="450">
        <f>'AVT187(vn-S)'!BI114</f>
        <v>0</v>
      </c>
      <c r="AJ342" s="41"/>
      <c r="AK342" s="450">
        <f>'AVT187In(vn-S)'!BI88</f>
        <v>0</v>
      </c>
      <c r="AL342" s="41"/>
      <c r="AM342" s="450">
        <f>'AVT77'!BI59</f>
        <v>0</v>
      </c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203"/>
      <c r="BP342" s="203"/>
      <c r="BQ342" s="203"/>
      <c r="BR342" s="203"/>
      <c r="BS342" s="203"/>
      <c r="BT342" s="203"/>
      <c r="BU342" s="203"/>
      <c r="BV342" s="203"/>
      <c r="BW342" s="62"/>
      <c r="BX342" s="185"/>
      <c r="BY342" s="35"/>
      <c r="BZ342" s="27"/>
      <c r="CA342" s="27"/>
      <c r="CB342" s="27"/>
      <c r="CC342" s="27"/>
      <c r="CD342" s="27"/>
      <c r="CE342" s="27"/>
      <c r="CF342" s="27"/>
    </row>
    <row r="343" spans="1:84" ht="15" customHeight="1">
      <c r="A343" s="4"/>
      <c r="B343" s="440">
        <f>CENY!B706</f>
        <v>9256914</v>
      </c>
      <c r="C343" s="48" t="str">
        <f>VLOOKUP(B343,CENY!$B$11:$G$1034,2,FALSE)</f>
        <v>QUADRO YOU PLNOVÝSUV 450 MM EB21 PUSH TO OPEN PRAVÝ</v>
      </c>
      <c r="D343" s="488">
        <f>VLOOKUP(B343,CENY!$B$11:$G$1034,3,FALSE)</f>
        <v>20</v>
      </c>
      <c r="E343" s="63" t="str">
        <f>IF(VLOOKUP(B343,CENY!$B$11:$G$1034,4,FALSE)=0,"",VLOOKUP(B343,CENY!$B$11:$G$1034,4,FALSE))</f>
        <v/>
      </c>
      <c r="F343" s="45" t="str">
        <f t="shared" si="52"/>
        <v/>
      </c>
      <c r="G343" s="59">
        <f>VLOOKUP(B343,CENY!$B$11:$M$1034,12,FALSE)</f>
        <v>206.32</v>
      </c>
      <c r="H343" s="61" t="str">
        <f t="shared" si="48"/>
        <v xml:space="preserve"> CZK</v>
      </c>
      <c r="I343" s="46" t="str">
        <f t="shared" si="49"/>
        <v/>
      </c>
      <c r="J343" s="138"/>
      <c r="K343" s="47">
        <f>VLOOKUP(B343,CENY!$B$11:$M$1034,8,FALSE)</f>
        <v>0</v>
      </c>
      <c r="L343" s="47" t="str">
        <f>VLOOKUP(B343,CENY!$B$11:$M$1034,9,FALSE)</f>
        <v xml:space="preserve"> </v>
      </c>
      <c r="M343" s="55"/>
      <c r="N343" s="38">
        <f t="shared" si="53"/>
        <v>0</v>
      </c>
      <c r="O343" s="39">
        <v>0</v>
      </c>
      <c r="P343" s="41"/>
      <c r="Q343" s="450">
        <f>'AVT101'!BI115</f>
        <v>0</v>
      </c>
      <c r="R343" s="41"/>
      <c r="S343" s="450">
        <f>'AVT139'!BI97</f>
        <v>0</v>
      </c>
      <c r="T343" s="41"/>
      <c r="U343" s="450">
        <f>'AVT187'!BI115</f>
        <v>0</v>
      </c>
      <c r="V343" s="41"/>
      <c r="W343" s="450">
        <f>'AVT251'!BI90</f>
        <v>0</v>
      </c>
      <c r="X343" s="41"/>
      <c r="Y343" s="450">
        <f>AVT187In!BI89</f>
        <v>0</v>
      </c>
      <c r="Z343" s="41"/>
      <c r="AA343" s="450">
        <f>'AVT101(vn-A)'!BI115</f>
        <v>0</v>
      </c>
      <c r="AB343" s="41"/>
      <c r="AC343" s="450">
        <f>'AVT139(vn-A)'!BI97</f>
        <v>0</v>
      </c>
      <c r="AD343" s="41"/>
      <c r="AE343" s="450">
        <f>'AVT187(vn-A)'!BI115</f>
        <v>0</v>
      </c>
      <c r="AF343" s="41"/>
      <c r="AG343" s="450">
        <f>'AVT187In(vn-A)'!BI89</f>
        <v>0</v>
      </c>
      <c r="AH343" s="41"/>
      <c r="AI343" s="450">
        <f>'AVT187(vn-S)'!BI115</f>
        <v>0</v>
      </c>
      <c r="AJ343" s="41"/>
      <c r="AK343" s="450">
        <f>'AVT187In(vn-S)'!BI89</f>
        <v>0</v>
      </c>
      <c r="AL343" s="41"/>
      <c r="AM343" s="450">
        <f>'AVT77'!BI60</f>
        <v>0</v>
      </c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203"/>
      <c r="BP343" s="203"/>
      <c r="BQ343" s="203"/>
      <c r="BR343" s="203"/>
      <c r="BS343" s="203"/>
      <c r="BT343" s="203"/>
      <c r="BU343" s="203"/>
      <c r="BV343" s="203"/>
      <c r="BW343" s="62"/>
      <c r="BX343" s="185"/>
      <c r="BY343" s="35"/>
      <c r="BZ343" s="27"/>
      <c r="CA343" s="27"/>
      <c r="CB343" s="27"/>
      <c r="CC343" s="27"/>
      <c r="CD343" s="27"/>
      <c r="CE343" s="27"/>
      <c r="CF343" s="27"/>
    </row>
    <row r="344" spans="1:84" ht="15" customHeight="1">
      <c r="A344" s="4"/>
      <c r="B344" s="440">
        <f>CENY!B707</f>
        <v>9256917</v>
      </c>
      <c r="C344" s="48" t="str">
        <f>VLOOKUP(B344,CENY!$B$11:$G$1034,2,FALSE)</f>
        <v>QUADRO YOU PLNOVÝSUV 500 MM EB21 PUSH TO OPEN LEVÝ</v>
      </c>
      <c r="D344" s="488">
        <f>VLOOKUP(B344,CENY!$B$11:$G$1034,3,FALSE)</f>
        <v>20</v>
      </c>
      <c r="E344" s="63" t="str">
        <f>IF(VLOOKUP(B344,CENY!$B$11:$G$1034,4,FALSE)=0,"",VLOOKUP(B344,CENY!$B$11:$G$1034,4,FALSE))</f>
        <v/>
      </c>
      <c r="F344" s="45" t="str">
        <f t="shared" si="52"/>
        <v/>
      </c>
      <c r="G344" s="59">
        <f>VLOOKUP(B344,CENY!$B$11:$M$1034,12,FALSE)</f>
        <v>210.06</v>
      </c>
      <c r="H344" s="61" t="str">
        <f t="shared" si="48"/>
        <v xml:space="preserve"> CZK</v>
      </c>
      <c r="I344" s="46" t="str">
        <f t="shared" si="49"/>
        <v/>
      </c>
      <c r="J344" s="138"/>
      <c r="K344" s="47">
        <f>VLOOKUP(B344,CENY!$B$11:$M$1034,8,FALSE)</f>
        <v>0</v>
      </c>
      <c r="L344" s="47" t="str">
        <f>VLOOKUP(B344,CENY!$B$11:$M$1034,9,FALSE)</f>
        <v xml:space="preserve"> </v>
      </c>
      <c r="M344" s="55"/>
      <c r="N344" s="38">
        <f t="shared" si="53"/>
        <v>0</v>
      </c>
      <c r="O344" s="39">
        <v>0</v>
      </c>
      <c r="P344" s="41"/>
      <c r="Q344" s="450">
        <f>'AVT101'!BI116</f>
        <v>0</v>
      </c>
      <c r="R344" s="41"/>
      <c r="S344" s="450">
        <f>'AVT139'!BI98</f>
        <v>0</v>
      </c>
      <c r="T344" s="41"/>
      <c r="U344" s="450">
        <f>'AVT187'!BI116</f>
        <v>0</v>
      </c>
      <c r="V344" s="41"/>
      <c r="W344" s="450">
        <f>'AVT251'!BI91</f>
        <v>0</v>
      </c>
      <c r="X344" s="41"/>
      <c r="Y344" s="450">
        <f>AVT187In!BI90</f>
        <v>0</v>
      </c>
      <c r="Z344" s="41"/>
      <c r="AA344" s="450">
        <f>'AVT101(vn-A)'!BI116</f>
        <v>0</v>
      </c>
      <c r="AB344" s="41"/>
      <c r="AC344" s="450">
        <f>'AVT139(vn-A)'!BI98</f>
        <v>0</v>
      </c>
      <c r="AD344" s="41"/>
      <c r="AE344" s="450">
        <f>'AVT187(vn-A)'!BI116</f>
        <v>0</v>
      </c>
      <c r="AF344" s="41"/>
      <c r="AG344" s="450">
        <f>'AVT187In(vn-A)'!BI90</f>
        <v>0</v>
      </c>
      <c r="AH344" s="41"/>
      <c r="AI344" s="450">
        <f>'AVT187(vn-S)'!BI116</f>
        <v>0</v>
      </c>
      <c r="AJ344" s="41"/>
      <c r="AK344" s="450">
        <f>'AVT187In(vn-S)'!BI90</f>
        <v>0</v>
      </c>
      <c r="AL344" s="41"/>
      <c r="AM344" s="450">
        <f>'AVT77'!BI61</f>
        <v>0</v>
      </c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203"/>
      <c r="BP344" s="203"/>
      <c r="BQ344" s="203"/>
      <c r="BR344" s="203"/>
      <c r="BS344" s="203"/>
      <c r="BT344" s="203"/>
      <c r="BU344" s="203"/>
      <c r="BV344" s="203"/>
      <c r="BW344" s="62"/>
      <c r="BX344" s="185"/>
      <c r="BY344" s="35"/>
      <c r="BZ344" s="27"/>
      <c r="CA344" s="27"/>
      <c r="CB344" s="27"/>
      <c r="CC344" s="27"/>
      <c r="CD344" s="27"/>
      <c r="CE344" s="27"/>
      <c r="CF344" s="27"/>
    </row>
    <row r="345" spans="1:84" ht="15" customHeight="1">
      <c r="A345" s="4"/>
      <c r="B345" s="440">
        <f>CENY!B708</f>
        <v>9256918</v>
      </c>
      <c r="C345" s="48" t="str">
        <f>VLOOKUP(B345,CENY!$B$11:$G$1034,2,FALSE)</f>
        <v>QUADRO YOU PLNOVÝSUV 500 MM EB21 PUSH TO OPEN PRAVÝ</v>
      </c>
      <c r="D345" s="488">
        <f>VLOOKUP(B345,CENY!$B$11:$G$1034,3,FALSE)</f>
        <v>20</v>
      </c>
      <c r="E345" s="63" t="str">
        <f>IF(VLOOKUP(B345,CENY!$B$11:$G$1034,4,FALSE)=0,"",VLOOKUP(B345,CENY!$B$11:$G$1034,4,FALSE))</f>
        <v/>
      </c>
      <c r="F345" s="45" t="str">
        <f t="shared" si="52"/>
        <v/>
      </c>
      <c r="G345" s="59">
        <f>VLOOKUP(B345,CENY!$B$11:$M$1034,12,FALSE)</f>
        <v>210.06</v>
      </c>
      <c r="H345" s="61" t="str">
        <f t="shared" si="48"/>
        <v xml:space="preserve"> CZK</v>
      </c>
      <c r="I345" s="46" t="str">
        <f t="shared" si="49"/>
        <v/>
      </c>
      <c r="J345" s="138"/>
      <c r="K345" s="47">
        <f>VLOOKUP(B345,CENY!$B$11:$M$1034,8,FALSE)</f>
        <v>0</v>
      </c>
      <c r="L345" s="47" t="str">
        <f>VLOOKUP(B345,CENY!$B$11:$M$1034,9,FALSE)</f>
        <v xml:space="preserve"> </v>
      </c>
      <c r="M345" s="55"/>
      <c r="N345" s="38">
        <f t="shared" si="53"/>
        <v>0</v>
      </c>
      <c r="O345" s="39">
        <v>0</v>
      </c>
      <c r="P345" s="41"/>
      <c r="Q345" s="450">
        <f>'AVT101'!BI117</f>
        <v>0</v>
      </c>
      <c r="R345" s="41"/>
      <c r="S345" s="450">
        <f>'AVT139'!BI99</f>
        <v>0</v>
      </c>
      <c r="T345" s="41"/>
      <c r="U345" s="450">
        <f>'AVT187'!BI117</f>
        <v>0</v>
      </c>
      <c r="V345" s="41"/>
      <c r="W345" s="450">
        <f>'AVT251'!BI92</f>
        <v>0</v>
      </c>
      <c r="X345" s="41"/>
      <c r="Y345" s="450">
        <f>AVT187In!BI91</f>
        <v>0</v>
      </c>
      <c r="Z345" s="41"/>
      <c r="AA345" s="450">
        <f>'AVT101(vn-A)'!BI117</f>
        <v>0</v>
      </c>
      <c r="AB345" s="41"/>
      <c r="AC345" s="450">
        <f>'AVT139(vn-A)'!BI99</f>
        <v>0</v>
      </c>
      <c r="AD345" s="41"/>
      <c r="AE345" s="450">
        <f>'AVT187(vn-A)'!BI117</f>
        <v>0</v>
      </c>
      <c r="AF345" s="41"/>
      <c r="AG345" s="450">
        <f>'AVT187In(vn-A)'!BI91</f>
        <v>0</v>
      </c>
      <c r="AH345" s="41"/>
      <c r="AI345" s="450">
        <f>'AVT187(vn-S)'!BI117</f>
        <v>0</v>
      </c>
      <c r="AJ345" s="41"/>
      <c r="AK345" s="450">
        <f>'AVT187In(vn-S)'!BI91</f>
        <v>0</v>
      </c>
      <c r="AL345" s="41"/>
      <c r="AM345" s="450">
        <f>'AVT77'!BI62</f>
        <v>0</v>
      </c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203"/>
      <c r="BP345" s="203"/>
      <c r="BQ345" s="203"/>
      <c r="BR345" s="203"/>
      <c r="BS345" s="203"/>
      <c r="BT345" s="203"/>
      <c r="BU345" s="203"/>
      <c r="BV345" s="203"/>
      <c r="BW345" s="62"/>
      <c r="BX345" s="185"/>
      <c r="BY345" s="35"/>
      <c r="BZ345" s="27"/>
      <c r="CA345" s="27"/>
      <c r="CB345" s="27"/>
      <c r="CC345" s="27"/>
      <c r="CD345" s="27"/>
      <c r="CE345" s="27"/>
      <c r="CF345" s="27"/>
    </row>
    <row r="346" spans="1:84" ht="15" customHeight="1">
      <c r="A346" s="4"/>
      <c r="B346" s="440">
        <f>CENY!B709</f>
        <v>9256921</v>
      </c>
      <c r="C346" s="48" t="str">
        <f>VLOOKUP(B346,CENY!$B$11:$G$1034,2,FALSE)</f>
        <v>QUADRO YOU PLNOVÝSUV 550 MM EB21 PUSH TO OPEN LEVÝ</v>
      </c>
      <c r="D346" s="488">
        <f>VLOOKUP(B346,CENY!$B$11:$G$1034,3,FALSE)</f>
        <v>20</v>
      </c>
      <c r="E346" s="63" t="str">
        <f>IF(VLOOKUP(B346,CENY!$B$11:$G$1034,4,FALSE)=0,"",VLOOKUP(B346,CENY!$B$11:$G$1034,4,FALSE))</f>
        <v/>
      </c>
      <c r="F346" s="45" t="str">
        <f t="shared" si="52"/>
        <v/>
      </c>
      <c r="G346" s="59">
        <f>VLOOKUP(B346,CENY!$B$11:$M$1034,12,FALSE)</f>
        <v>216.78</v>
      </c>
      <c r="H346" s="61" t="str">
        <f t="shared" si="48"/>
        <v xml:space="preserve"> CZK</v>
      </c>
      <c r="I346" s="46" t="str">
        <f t="shared" si="49"/>
        <v/>
      </c>
      <c r="J346" s="138"/>
      <c r="K346" s="47">
        <f>VLOOKUP(B346,CENY!$B$11:$M$1034,8,FALSE)</f>
        <v>0</v>
      </c>
      <c r="L346" s="47" t="str">
        <f>VLOOKUP(B346,CENY!$B$11:$M$1034,9,FALSE)</f>
        <v xml:space="preserve"> </v>
      </c>
      <c r="M346" s="55"/>
      <c r="N346" s="38">
        <f t="shared" si="53"/>
        <v>0</v>
      </c>
      <c r="O346" s="39">
        <v>0</v>
      </c>
      <c r="P346" s="41"/>
      <c r="Q346" s="450">
        <f>'AVT101'!BI118</f>
        <v>0</v>
      </c>
      <c r="R346" s="41"/>
      <c r="S346" s="450">
        <f>'AVT139'!BI100</f>
        <v>0</v>
      </c>
      <c r="T346" s="41"/>
      <c r="U346" s="450">
        <f>'AVT187'!BI118</f>
        <v>0</v>
      </c>
      <c r="V346" s="41"/>
      <c r="W346" s="450">
        <f>'AVT251'!BI93</f>
        <v>0</v>
      </c>
      <c r="X346" s="41"/>
      <c r="Y346" s="450">
        <f>AVT187In!BI92</f>
        <v>0</v>
      </c>
      <c r="Z346" s="41"/>
      <c r="AA346" s="450">
        <f>'AVT101(vn-A)'!BI118</f>
        <v>0</v>
      </c>
      <c r="AB346" s="41"/>
      <c r="AC346" s="450">
        <f>'AVT139(vn-A)'!BI100</f>
        <v>0</v>
      </c>
      <c r="AD346" s="41"/>
      <c r="AE346" s="450">
        <f>'AVT187(vn-A)'!BI118</f>
        <v>0</v>
      </c>
      <c r="AF346" s="41"/>
      <c r="AG346" s="450">
        <f>'AVT187In(vn-A)'!BI92</f>
        <v>0</v>
      </c>
      <c r="AH346" s="41"/>
      <c r="AI346" s="450">
        <f>'AVT187(vn-S)'!BI118</f>
        <v>0</v>
      </c>
      <c r="AJ346" s="41"/>
      <c r="AK346" s="450">
        <f>'AVT187In(vn-S)'!BI92</f>
        <v>0</v>
      </c>
      <c r="AL346" s="41"/>
      <c r="AM346" s="450">
        <f>'AVT77'!BI63</f>
        <v>0</v>
      </c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203"/>
      <c r="BP346" s="203"/>
      <c r="BQ346" s="203"/>
      <c r="BR346" s="203"/>
      <c r="BS346" s="203"/>
      <c r="BT346" s="203"/>
      <c r="BU346" s="203"/>
      <c r="BV346" s="203"/>
      <c r="BW346" s="62"/>
      <c r="BX346" s="185"/>
      <c r="BY346" s="35"/>
      <c r="BZ346" s="27"/>
      <c r="CA346" s="27"/>
      <c r="CB346" s="27"/>
      <c r="CC346" s="27"/>
      <c r="CD346" s="27"/>
      <c r="CE346" s="27"/>
      <c r="CF346" s="27"/>
    </row>
    <row r="347" spans="1:84" ht="15" customHeight="1">
      <c r="A347" s="4"/>
      <c r="B347" s="440">
        <f>CENY!B710</f>
        <v>9256922</v>
      </c>
      <c r="C347" s="48" t="str">
        <f>VLOOKUP(B347,CENY!$B$11:$G$1034,2,FALSE)</f>
        <v>QUADRO YOU PLNOVÝSUV 550 MM EB21 PUSH TO OPEN PRAVÝ</v>
      </c>
      <c r="D347" s="488">
        <f>VLOOKUP(B347,CENY!$B$11:$G$1034,3,FALSE)</f>
        <v>20</v>
      </c>
      <c r="E347" s="63" t="str">
        <f>IF(VLOOKUP(B347,CENY!$B$11:$G$1034,4,FALSE)=0,"",VLOOKUP(B347,CENY!$B$11:$G$1034,4,FALSE))</f>
        <v/>
      </c>
      <c r="F347" s="45" t="str">
        <f t="shared" si="52"/>
        <v/>
      </c>
      <c r="G347" s="59">
        <f>VLOOKUP(B347,CENY!$B$11:$M$1034,12,FALSE)</f>
        <v>216.78</v>
      </c>
      <c r="H347" s="61" t="str">
        <f t="shared" si="48"/>
        <v xml:space="preserve"> CZK</v>
      </c>
      <c r="I347" s="46" t="str">
        <f t="shared" si="49"/>
        <v/>
      </c>
      <c r="J347" s="138"/>
      <c r="K347" s="47">
        <f>VLOOKUP(B347,CENY!$B$11:$M$1034,8,FALSE)</f>
        <v>0</v>
      </c>
      <c r="L347" s="47" t="str">
        <f>VLOOKUP(B347,CENY!$B$11:$M$1034,9,FALSE)</f>
        <v xml:space="preserve"> </v>
      </c>
      <c r="M347" s="55"/>
      <c r="N347" s="38">
        <f t="shared" si="53"/>
        <v>0</v>
      </c>
      <c r="O347" s="39">
        <v>0</v>
      </c>
      <c r="P347" s="41"/>
      <c r="Q347" s="450">
        <f>'AVT101'!BI119</f>
        <v>0</v>
      </c>
      <c r="R347" s="41"/>
      <c r="S347" s="450">
        <f>'AVT139'!BI101</f>
        <v>0</v>
      </c>
      <c r="T347" s="41"/>
      <c r="U347" s="450">
        <f>'AVT187'!BI119</f>
        <v>0</v>
      </c>
      <c r="V347" s="41"/>
      <c r="W347" s="450">
        <f>'AVT251'!BI94</f>
        <v>0</v>
      </c>
      <c r="X347" s="41"/>
      <c r="Y347" s="450">
        <f>AVT187In!BI93</f>
        <v>0</v>
      </c>
      <c r="Z347" s="41"/>
      <c r="AA347" s="450">
        <f>'AVT101(vn-A)'!BI119</f>
        <v>0</v>
      </c>
      <c r="AB347" s="41"/>
      <c r="AC347" s="450">
        <f>'AVT139(vn-A)'!BI101</f>
        <v>0</v>
      </c>
      <c r="AD347" s="41"/>
      <c r="AE347" s="450">
        <f>'AVT187(vn-A)'!BI119</f>
        <v>0</v>
      </c>
      <c r="AF347" s="41"/>
      <c r="AG347" s="450">
        <f>'AVT187In(vn-A)'!BI93</f>
        <v>0</v>
      </c>
      <c r="AH347" s="41"/>
      <c r="AI347" s="450">
        <f>'AVT187(vn-S)'!BI119</f>
        <v>0</v>
      </c>
      <c r="AJ347" s="41"/>
      <c r="AK347" s="450">
        <f>'AVT187In(vn-S)'!BI93</f>
        <v>0</v>
      </c>
      <c r="AL347" s="41"/>
      <c r="AM347" s="450">
        <f>'AVT77'!BI64</f>
        <v>0</v>
      </c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203"/>
      <c r="BP347" s="203"/>
      <c r="BQ347" s="203"/>
      <c r="BR347" s="203"/>
      <c r="BS347" s="203"/>
      <c r="BT347" s="203"/>
      <c r="BU347" s="203"/>
      <c r="BV347" s="203"/>
      <c r="BW347" s="62"/>
      <c r="BX347" s="185"/>
      <c r="BY347" s="35"/>
      <c r="BZ347" s="27"/>
      <c r="CA347" s="27"/>
      <c r="CB347" s="27"/>
      <c r="CC347" s="27"/>
      <c r="CD347" s="27"/>
      <c r="CE347" s="27"/>
      <c r="CF347" s="27"/>
    </row>
    <row r="348" spans="1:84" ht="15" customHeight="1">
      <c r="A348" s="4"/>
      <c r="B348" s="440">
        <f>CENY!B711</f>
        <v>9256925</v>
      </c>
      <c r="C348" s="48" t="str">
        <f>VLOOKUP(B348,CENY!$B$11:$G$1034,2,FALSE)</f>
        <v>QUADRO YOU PLNOVÝSUV 600 MM EB21 PUSH TO OPEN LEVÝ</v>
      </c>
      <c r="D348" s="488">
        <f>VLOOKUP(B348,CENY!$B$11:$G$1034,3,FALSE)</f>
        <v>20</v>
      </c>
      <c r="E348" s="63" t="str">
        <f>IF(VLOOKUP(B348,CENY!$B$11:$G$1034,4,FALSE)=0,"",VLOOKUP(B348,CENY!$B$11:$G$1034,4,FALSE))</f>
        <v/>
      </c>
      <c r="F348" s="45" t="str">
        <f t="shared" si="52"/>
        <v/>
      </c>
      <c r="G348" s="59">
        <f>VLOOKUP(B348,CENY!$B$11:$M$1034,12,FALSE)</f>
        <v>223.51</v>
      </c>
      <c r="H348" s="61" t="str">
        <f t="shared" si="48"/>
        <v xml:space="preserve"> CZK</v>
      </c>
      <c r="I348" s="46" t="str">
        <f t="shared" si="49"/>
        <v/>
      </c>
      <c r="J348" s="138"/>
      <c r="K348" s="47">
        <f>VLOOKUP(B348,CENY!$B$11:$M$1034,8,FALSE)</f>
        <v>0</v>
      </c>
      <c r="L348" s="47" t="str">
        <f>VLOOKUP(B348,CENY!$B$11:$M$1034,9,FALSE)</f>
        <v xml:space="preserve"> </v>
      </c>
      <c r="M348" s="55"/>
      <c r="N348" s="38">
        <f t="shared" si="53"/>
        <v>0</v>
      </c>
      <c r="O348" s="39">
        <v>0</v>
      </c>
      <c r="P348" s="41"/>
      <c r="Q348" s="450">
        <f>'AVT101'!BI120</f>
        <v>0</v>
      </c>
      <c r="R348" s="41"/>
      <c r="S348" s="450">
        <f>'AVT139'!BI102</f>
        <v>0</v>
      </c>
      <c r="T348" s="41"/>
      <c r="U348" s="450">
        <f>'AVT187'!BI120</f>
        <v>0</v>
      </c>
      <c r="V348" s="41"/>
      <c r="W348" s="450">
        <f>'AVT251'!BI95</f>
        <v>0</v>
      </c>
      <c r="X348" s="41"/>
      <c r="Y348" s="450">
        <f>AVT187In!BI94</f>
        <v>0</v>
      </c>
      <c r="Z348" s="41"/>
      <c r="AA348" s="450">
        <f>'AVT101(vn-A)'!BI120</f>
        <v>0</v>
      </c>
      <c r="AB348" s="41"/>
      <c r="AC348" s="450">
        <f>'AVT139(vn-A)'!BI102</f>
        <v>0</v>
      </c>
      <c r="AD348" s="41"/>
      <c r="AE348" s="450">
        <f>'AVT187(vn-A)'!BI120</f>
        <v>0</v>
      </c>
      <c r="AF348" s="41"/>
      <c r="AG348" s="450">
        <f>'AVT187In(vn-A)'!BI94</f>
        <v>0</v>
      </c>
      <c r="AH348" s="41"/>
      <c r="AI348" s="450">
        <f>'AVT187(vn-S)'!BI120</f>
        <v>0</v>
      </c>
      <c r="AJ348" s="41"/>
      <c r="AK348" s="450">
        <f>'AVT187In(vn-S)'!BI94</f>
        <v>0</v>
      </c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203"/>
      <c r="BP348" s="203"/>
      <c r="BQ348" s="203"/>
      <c r="BR348" s="203"/>
      <c r="BS348" s="203"/>
      <c r="BT348" s="203"/>
      <c r="BU348" s="203"/>
      <c r="BV348" s="203"/>
      <c r="BW348" s="62"/>
      <c r="BX348" s="185"/>
      <c r="BY348" s="35"/>
      <c r="BZ348" s="27"/>
      <c r="CA348" s="27"/>
      <c r="CB348" s="27"/>
      <c r="CC348" s="27"/>
      <c r="CD348" s="27"/>
      <c r="CE348" s="27"/>
      <c r="CF348" s="27"/>
    </row>
    <row r="349" spans="1:84" ht="15" customHeight="1">
      <c r="A349" s="4"/>
      <c r="B349" s="440">
        <f>CENY!B712</f>
        <v>9256926</v>
      </c>
      <c r="C349" s="48" t="str">
        <f>VLOOKUP(B349,CENY!$B$11:$G$1034,2,FALSE)</f>
        <v>QUADRO YOU PLNOVÝSUV 600 MM EB21 PUSH TO OPEN PRAVÝ</v>
      </c>
      <c r="D349" s="488">
        <f>VLOOKUP(B349,CENY!$B$11:$G$1034,3,FALSE)</f>
        <v>20</v>
      </c>
      <c r="E349" s="63" t="str">
        <f>IF(VLOOKUP(B349,CENY!$B$11:$G$1034,4,FALSE)=0,"",VLOOKUP(B349,CENY!$B$11:$G$1034,4,FALSE))</f>
        <v/>
      </c>
      <c r="F349" s="45" t="str">
        <f t="shared" si="52"/>
        <v/>
      </c>
      <c r="G349" s="59">
        <f>VLOOKUP(B349,CENY!$B$11:$M$1034,12,FALSE)</f>
        <v>223.51</v>
      </c>
      <c r="H349" s="61" t="str">
        <f t="shared" si="48"/>
        <v xml:space="preserve"> CZK</v>
      </c>
      <c r="I349" s="46" t="str">
        <f t="shared" si="49"/>
        <v/>
      </c>
      <c r="J349" s="138"/>
      <c r="K349" s="47">
        <f>VLOOKUP(B349,CENY!$B$11:$M$1034,8,FALSE)</f>
        <v>0</v>
      </c>
      <c r="L349" s="47" t="str">
        <f>VLOOKUP(B349,CENY!$B$11:$M$1034,9,FALSE)</f>
        <v xml:space="preserve"> </v>
      </c>
      <c r="M349" s="55"/>
      <c r="N349" s="38">
        <f t="shared" si="53"/>
        <v>0</v>
      </c>
      <c r="O349" s="39">
        <v>0</v>
      </c>
      <c r="P349" s="41"/>
      <c r="Q349" s="450">
        <f>'AVT101'!BI121</f>
        <v>0</v>
      </c>
      <c r="R349" s="41"/>
      <c r="S349" s="450">
        <f>'AVT139'!BI103</f>
        <v>0</v>
      </c>
      <c r="T349" s="41"/>
      <c r="U349" s="450">
        <f>'AVT187'!BI121</f>
        <v>0</v>
      </c>
      <c r="V349" s="41"/>
      <c r="W349" s="450">
        <f>'AVT251'!BI96</f>
        <v>0</v>
      </c>
      <c r="X349" s="41"/>
      <c r="Y349" s="450">
        <f>AVT187In!BI95</f>
        <v>0</v>
      </c>
      <c r="Z349" s="41"/>
      <c r="AA349" s="450">
        <f>'AVT101(vn-A)'!BI121</f>
        <v>0</v>
      </c>
      <c r="AB349" s="41"/>
      <c r="AC349" s="450">
        <f>'AVT139(vn-A)'!BI103</f>
        <v>0</v>
      </c>
      <c r="AD349" s="41"/>
      <c r="AE349" s="450">
        <f>'AVT187(vn-A)'!BI121</f>
        <v>0</v>
      </c>
      <c r="AF349" s="41"/>
      <c r="AG349" s="450">
        <f>'AVT187In(vn-A)'!BI95</f>
        <v>0</v>
      </c>
      <c r="AH349" s="41"/>
      <c r="AI349" s="450">
        <f>'AVT187(vn-S)'!BI121</f>
        <v>0</v>
      </c>
      <c r="AJ349" s="41"/>
      <c r="AK349" s="450">
        <f>'AVT187In(vn-S)'!BI95</f>
        <v>0</v>
      </c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203"/>
      <c r="BP349" s="203"/>
      <c r="BQ349" s="203"/>
      <c r="BR349" s="203"/>
      <c r="BS349" s="203"/>
      <c r="BT349" s="203"/>
      <c r="BU349" s="203"/>
      <c r="BV349" s="203"/>
      <c r="BW349" s="62"/>
      <c r="BX349" s="185"/>
      <c r="BY349" s="35"/>
      <c r="BZ349" s="27"/>
      <c r="CA349" s="27"/>
      <c r="CB349" s="27"/>
      <c r="CC349" s="27"/>
      <c r="CD349" s="27"/>
      <c r="CE349" s="27"/>
      <c r="CF349" s="27"/>
    </row>
    <row r="350" spans="1:84" ht="8.1" customHeight="1">
      <c r="A350" s="4"/>
      <c r="B350" s="142"/>
      <c r="C350" s="48"/>
      <c r="D350" s="44"/>
      <c r="E350" s="63"/>
      <c r="F350" s="67"/>
      <c r="G350" s="59"/>
      <c r="H350" s="61"/>
      <c r="I350" s="46"/>
      <c r="J350" s="138"/>
      <c r="K350" s="47"/>
      <c r="L350" s="47"/>
      <c r="M350" s="55"/>
      <c r="N350" s="38"/>
      <c r="O350" s="39">
        <v>0</v>
      </c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203"/>
      <c r="BP350" s="203"/>
      <c r="BQ350" s="203"/>
      <c r="BR350" s="203"/>
      <c r="BS350" s="203"/>
      <c r="BT350" s="203"/>
      <c r="BU350" s="203"/>
      <c r="BV350" s="203"/>
      <c r="BW350" s="62"/>
      <c r="BX350" s="185"/>
      <c r="BY350" s="35"/>
      <c r="BZ350" s="27"/>
      <c r="CA350" s="27"/>
      <c r="CB350" s="27"/>
      <c r="CC350" s="27"/>
      <c r="CD350" s="27"/>
      <c r="CE350" s="27"/>
      <c r="CF350" s="27"/>
    </row>
    <row r="351" spans="1:84" ht="15" customHeight="1">
      <c r="A351" s="4"/>
      <c r="B351" s="440">
        <f>CENY!B714</f>
        <v>9219966</v>
      </c>
      <c r="C351" s="48" t="str">
        <f>VLOOKUP(B351,CENY!$B$11:$G$1034,2,FALSE)</f>
        <v>PUSH TO OPEN SYNCHRO ADAPTÉR TYP A</v>
      </c>
      <c r="D351" s="489">
        <f>VLOOKUP(B351,CENY!$B$11:$G$1034,3,FALSE)</f>
        <v>200</v>
      </c>
      <c r="E351" s="63" t="str">
        <f>IF(VLOOKUP(B351,CENY!$B$11:$G$1034,4,FALSE)=0,"",VLOOKUP(B351,CENY!$B$11:$G$1034,4,FALSE))</f>
        <v/>
      </c>
      <c r="F351" s="45" t="str">
        <f>IF(J351&lt;&gt;"",J351,IF(N351=0,"",N351))</f>
        <v/>
      </c>
      <c r="G351" s="59">
        <f>VLOOKUP(B351,CENY!$B$11:$M$1034,12,FALSE)</f>
        <v>13.07</v>
      </c>
      <c r="H351" s="61" t="str">
        <f t="shared" si="48"/>
        <v xml:space="preserve"> CZK</v>
      </c>
      <c r="I351" s="46" t="str">
        <f t="shared" si="49"/>
        <v/>
      </c>
      <c r="J351" s="138"/>
      <c r="K351" s="47">
        <f>VLOOKUP(B351,CENY!$B$11:$M$1034,8,FALSE)</f>
        <v>0</v>
      </c>
      <c r="L351" s="47" t="str">
        <f>VLOOKUP(B351,CENY!$B$11:$M$1034,9,FALSE)</f>
        <v xml:space="preserve"> </v>
      </c>
      <c r="M351" s="55"/>
      <c r="N351" s="38">
        <f t="shared" ref="N351:N382" si="54">SUM(P351:BX351)</f>
        <v>0</v>
      </c>
      <c r="O351" s="39">
        <v>0</v>
      </c>
      <c r="P351" s="450">
        <f>'AVT101'!AZ76</f>
        <v>0</v>
      </c>
      <c r="Q351" s="450">
        <f>'AVT101'!BI123</f>
        <v>0</v>
      </c>
      <c r="R351" s="450">
        <f>'AVT139'!AZ66</f>
        <v>0</v>
      </c>
      <c r="S351" s="450">
        <f>'AVT139'!BI105</f>
        <v>0</v>
      </c>
      <c r="T351" s="450">
        <f>'AVT187'!AZ76</f>
        <v>0</v>
      </c>
      <c r="U351" s="450">
        <f>'AVT187'!BI123</f>
        <v>0</v>
      </c>
      <c r="V351" s="450">
        <f>'AVT251'!AZ62</f>
        <v>0</v>
      </c>
      <c r="W351" s="450">
        <f>'AVT251'!BI98</f>
        <v>0</v>
      </c>
      <c r="X351" s="450">
        <f>AVT187In!AZ62</f>
        <v>0</v>
      </c>
      <c r="Y351" s="450">
        <f>AVT187In!BI97</f>
        <v>0</v>
      </c>
      <c r="Z351" s="450">
        <f>'AVT101(vn-A)'!AZ76</f>
        <v>0</v>
      </c>
      <c r="AA351" s="450">
        <f>'AVT101(vn-A)'!BI123</f>
        <v>0</v>
      </c>
      <c r="AB351" s="450">
        <f>'AVT139(vn-A)'!AZ66</f>
        <v>0</v>
      </c>
      <c r="AC351" s="450">
        <f>'AVT139(vn-A)'!BI105</f>
        <v>0</v>
      </c>
      <c r="AD351" s="450">
        <f>'AVT187(vn-A)'!AZ76</f>
        <v>0</v>
      </c>
      <c r="AE351" s="450">
        <f>'AVT187(vn-A)'!BI123</f>
        <v>0</v>
      </c>
      <c r="AF351" s="450">
        <f>'AVT187In(vn-A)'!AZ62</f>
        <v>0</v>
      </c>
      <c r="AG351" s="450">
        <f>'AVT187In(vn-A)'!BI97</f>
        <v>0</v>
      </c>
      <c r="AH351" s="450">
        <f>'AVT187(vn-S)'!AZ76</f>
        <v>0</v>
      </c>
      <c r="AI351" s="450">
        <f>'AVT187(vn-S)'!BI123</f>
        <v>0</v>
      </c>
      <c r="AJ351" s="450">
        <f>'AVT187In(vn-S)'!AZ62</f>
        <v>0</v>
      </c>
      <c r="AK351" s="450">
        <f>'AVT187In(vn-S)'!BI97</f>
        <v>0</v>
      </c>
      <c r="AL351" s="450">
        <f>'AVT77'!AZ44</f>
        <v>0</v>
      </c>
      <c r="AM351" s="450">
        <f>'AVT77'!BI66</f>
        <v>0</v>
      </c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203"/>
      <c r="BP351" s="203"/>
      <c r="BQ351" s="203"/>
      <c r="BR351" s="203"/>
      <c r="BS351" s="203"/>
      <c r="BT351" s="203"/>
      <c r="BU351" s="203"/>
      <c r="BV351" s="203"/>
      <c r="BW351" s="62"/>
      <c r="BX351" s="185"/>
      <c r="BY351" s="35"/>
      <c r="BZ351" s="27"/>
      <c r="CA351" s="27"/>
      <c r="CB351" s="27"/>
      <c r="CC351" s="27"/>
      <c r="CD351" s="27"/>
      <c r="CE351" s="27"/>
      <c r="CF351" s="27"/>
    </row>
    <row r="352" spans="1:84" ht="8.1" customHeight="1">
      <c r="A352" s="4"/>
      <c r="B352" s="142"/>
      <c r="C352" s="48"/>
      <c r="D352" s="44"/>
      <c r="E352" s="63"/>
      <c r="F352" s="67"/>
      <c r="G352" s="59"/>
      <c r="H352" s="61"/>
      <c r="I352" s="46"/>
      <c r="J352" s="138"/>
      <c r="K352" s="47"/>
      <c r="L352" s="47"/>
      <c r="M352" s="55"/>
      <c r="N352" s="38">
        <f t="shared" si="54"/>
        <v>0</v>
      </c>
      <c r="O352" s="39">
        <v>0</v>
      </c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2">
        <f>'OT440'!$AY7</f>
        <v>0</v>
      </c>
      <c r="BP352" s="42"/>
      <c r="BQ352" s="42"/>
      <c r="BR352" s="42"/>
      <c r="BS352" s="42"/>
      <c r="BT352" s="42"/>
      <c r="BU352" s="42"/>
      <c r="BV352" s="42"/>
      <c r="BW352" s="41"/>
      <c r="BX352" s="43">
        <v>0</v>
      </c>
      <c r="BY352" s="35"/>
      <c r="BZ352" s="27"/>
      <c r="CA352" s="27"/>
      <c r="CB352" s="27"/>
      <c r="CC352" s="27"/>
      <c r="CD352" s="27"/>
      <c r="CE352" s="27"/>
      <c r="CF352" s="27"/>
    </row>
    <row r="353" spans="1:84" ht="15" customHeight="1">
      <c r="A353" s="4"/>
      <c r="B353" s="439">
        <f>CENY!B582</f>
        <v>9278225</v>
      </c>
      <c r="C353" s="48" t="str">
        <f>VLOOKUP(B353,CENY!$B$11:$G$1034,2,FALSE)</f>
        <v>AVANTECH YOU VRUT 3,5X6,5 PANHEAD POZINK.</v>
      </c>
      <c r="D353" s="488">
        <f>VLOOKUP(B353,CENY!$B$11:$G$1034,3,FALSE)</f>
        <v>200</v>
      </c>
      <c r="E353" s="63" t="str">
        <f>IF(VLOOKUP(B353,CENY!$B$11:$G$1034,4,FALSE)=0,"",VLOOKUP(B353,CENY!$B$11:$G$1034,4,FALSE))</f>
        <v/>
      </c>
      <c r="F353" s="45" t="str">
        <f t="shared" ref="F353:F358" si="55">IF(J353&lt;&gt;"",J353,IF(N353=0,"",N353))</f>
        <v/>
      </c>
      <c r="G353" s="59">
        <f>VLOOKUP(B353,CENY!$B$11:$M$1034,12,FALSE)</f>
        <v>0.73</v>
      </c>
      <c r="H353" s="61" t="str">
        <f t="shared" ref="H353:H358" si="56">IF(G353="","",$H$22)</f>
        <v xml:space="preserve"> CZK</v>
      </c>
      <c r="I353" s="46" t="str">
        <f t="shared" ref="I353:I358" si="57">IF(F353="","",G353*F353)</f>
        <v/>
      </c>
      <c r="J353" s="138"/>
      <c r="K353" s="47">
        <f>VLOOKUP(B353,CENY!$B$11:$M$1034,8,FALSE)</f>
        <v>0</v>
      </c>
      <c r="L353" s="47" t="str">
        <f>VLOOKUP(B353,CENY!$B$11:$M$1034,9,FALSE)</f>
        <v xml:space="preserve"> </v>
      </c>
      <c r="M353" s="55"/>
      <c r="N353" s="38">
        <f t="shared" si="54"/>
        <v>0</v>
      </c>
      <c r="O353" s="39">
        <v>0</v>
      </c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50">
        <f>'AVT77'!AZ70</f>
        <v>0</v>
      </c>
      <c r="AM353" s="450">
        <f>'AVT77'!BI70</f>
        <v>0</v>
      </c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2">
        <f>'OT440'!$AY8</f>
        <v>0</v>
      </c>
      <c r="BP353" s="42"/>
      <c r="BQ353" s="42"/>
      <c r="BR353" s="42"/>
      <c r="BS353" s="42"/>
      <c r="BT353" s="42"/>
      <c r="BU353" s="42"/>
      <c r="BV353" s="42"/>
      <c r="BW353" s="41"/>
      <c r="BX353" s="43">
        <v>0</v>
      </c>
      <c r="BY353" s="35"/>
      <c r="BZ353" s="27"/>
      <c r="CA353" s="27"/>
      <c r="CB353" s="27"/>
      <c r="CC353" s="27"/>
      <c r="CD353" s="27"/>
      <c r="CE353" s="27"/>
      <c r="CF353" s="27"/>
    </row>
    <row r="354" spans="1:84" ht="15" customHeight="1">
      <c r="A354" s="4"/>
      <c r="B354" s="439">
        <f>CENY!B583</f>
        <v>45167</v>
      </c>
      <c r="C354" s="48" t="str">
        <f>VLOOKUP(B354,CENY!$B$11:$G$1034,2,FALSE)</f>
        <v>VRUT PANHEAD 35X12</v>
      </c>
      <c r="D354" s="488">
        <f>VLOOKUP(B354,CENY!$B$11:$G$1034,3,FALSE)</f>
        <v>200</v>
      </c>
      <c r="E354" s="63" t="str">
        <f>IF(VLOOKUP(B354,CENY!$B$11:$G$1034,4,FALSE)=0,"",VLOOKUP(B354,CENY!$B$11:$G$1034,4,FALSE))</f>
        <v/>
      </c>
      <c r="F354" s="45" t="str">
        <f t="shared" si="55"/>
        <v/>
      </c>
      <c r="G354" s="59">
        <f>VLOOKUP(B354,CENY!$B$11:$M$1034,12,FALSE)</f>
        <v>0.54</v>
      </c>
      <c r="H354" s="61" t="str">
        <f t="shared" si="56"/>
        <v xml:space="preserve"> CZK</v>
      </c>
      <c r="I354" s="46" t="str">
        <f t="shared" si="57"/>
        <v/>
      </c>
      <c r="J354" s="138"/>
      <c r="K354" s="47">
        <f>VLOOKUP(B354,CENY!$B$11:$M$1034,8,FALSE)</f>
        <v>0</v>
      </c>
      <c r="L354" s="47" t="str">
        <f>VLOOKUP(B354,CENY!$B$11:$M$1034,9,FALSE)</f>
        <v xml:space="preserve"> </v>
      </c>
      <c r="M354" s="55"/>
      <c r="N354" s="38">
        <f t="shared" si="54"/>
        <v>0</v>
      </c>
      <c r="O354" s="39">
        <v>0</v>
      </c>
      <c r="P354" s="450">
        <f>'AVT101'!AZ127</f>
        <v>0</v>
      </c>
      <c r="Q354" s="450">
        <f>'AVT101'!BI127</f>
        <v>0</v>
      </c>
      <c r="R354" s="450">
        <f>'AVT139'!AZ109</f>
        <v>0</v>
      </c>
      <c r="S354" s="450">
        <f>'AVT139'!BI109</f>
        <v>0</v>
      </c>
      <c r="T354" s="450">
        <f>'AVT187'!AZ127</f>
        <v>0</v>
      </c>
      <c r="U354" s="450">
        <f>'AVT187'!BI127</f>
        <v>0</v>
      </c>
      <c r="V354" s="450">
        <f>'AVT251'!AZ102</f>
        <v>0</v>
      </c>
      <c r="W354" s="450">
        <f>'AVT251'!BI102</f>
        <v>0</v>
      </c>
      <c r="X354" s="450">
        <f>AVT187In!AZ101</f>
        <v>0</v>
      </c>
      <c r="Y354" s="450">
        <f>AVT187In!BI101</f>
        <v>0</v>
      </c>
      <c r="Z354" s="450">
        <f>'AVT101(vn-A)'!AZ133</f>
        <v>0</v>
      </c>
      <c r="AA354" s="450">
        <f>'AVT101(vn-A)'!BI133</f>
        <v>0</v>
      </c>
      <c r="AB354" s="450">
        <f>'AVT139(vn-A)'!AZ115</f>
        <v>0</v>
      </c>
      <c r="AC354" s="450">
        <f>'AVT139(vn-A)'!BI115</f>
        <v>0</v>
      </c>
      <c r="AD354" s="450">
        <f>'AVT187(vn-A)'!AZ133</f>
        <v>0</v>
      </c>
      <c r="AE354" s="450">
        <f>'AVT187(vn-A)'!BI133</f>
        <v>0</v>
      </c>
      <c r="AF354" s="450">
        <f>'AVT187In(vn-A)'!AZ107</f>
        <v>0</v>
      </c>
      <c r="AG354" s="450">
        <f>'AVT187In(vn-A)'!BI107</f>
        <v>0</v>
      </c>
      <c r="AH354" s="450">
        <f>'AVT187(vn-S)'!AZ139</f>
        <v>0</v>
      </c>
      <c r="AI354" s="450">
        <f>'AVT187(vn-S)'!BI139</f>
        <v>0</v>
      </c>
      <c r="AJ354" s="450">
        <f>'AVT187In(vn-S)'!AZ113</f>
        <v>0</v>
      </c>
      <c r="AK354" s="450">
        <f>'AVT187In(vn-S)'!BI113</f>
        <v>0</v>
      </c>
      <c r="AL354" s="41"/>
      <c r="AM354" s="450">
        <f>'AVT77'!BI71</f>
        <v>0</v>
      </c>
      <c r="AN354" s="450">
        <f>'AVT-celny-101+187'!AZ104</f>
        <v>0</v>
      </c>
      <c r="AO354" s="450">
        <f>'AVT-celny-101+187'!BI104</f>
        <v>0</v>
      </c>
      <c r="AP354" s="450">
        <f>'AVT-celny-139+187'!AZ88</f>
        <v>0</v>
      </c>
      <c r="AQ354" s="450">
        <f>'AVT-celny-139+187'!BI88</f>
        <v>0</v>
      </c>
      <c r="AR354" s="450">
        <f>'AVT-celny-2x187'!AZ84</f>
        <v>0</v>
      </c>
      <c r="AS354" s="450">
        <f>'AVT-celny-2x187'!BI84</f>
        <v>0</v>
      </c>
      <c r="AT354" s="450">
        <f>'AVT-celny-2x187In'!AZ70</f>
        <v>0</v>
      </c>
      <c r="AU354" s="450">
        <f>'AVT-celny-2x187In'!BI70</f>
        <v>0</v>
      </c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2">
        <f>'OT440'!$AY9</f>
        <v>0</v>
      </c>
      <c r="BP354" s="42"/>
      <c r="BQ354" s="42"/>
      <c r="BR354" s="42"/>
      <c r="BS354" s="42"/>
      <c r="BT354" s="42"/>
      <c r="BU354" s="42"/>
      <c r="BV354" s="42"/>
      <c r="BW354" s="41"/>
      <c r="BX354" s="43">
        <v>0</v>
      </c>
      <c r="BY354" s="35"/>
      <c r="BZ354" s="27"/>
      <c r="CA354" s="27"/>
      <c r="CB354" s="27"/>
      <c r="CC354" s="27"/>
      <c r="CD354" s="27"/>
      <c r="CE354" s="27"/>
      <c r="CF354" s="27"/>
    </row>
    <row r="355" spans="1:84" ht="15" customHeight="1">
      <c r="A355" s="4"/>
      <c r="B355" s="439">
        <f>CENY!B584</f>
        <v>45168</v>
      </c>
      <c r="C355" s="48" t="str">
        <f>VLOOKUP(B355,CENY!$B$11:$G$1034,2,FALSE)</f>
        <v>VRUT PANHEAD 35X20</v>
      </c>
      <c r="D355" s="488">
        <f>VLOOKUP(B355,CENY!$B$11:$G$1034,3,FALSE)</f>
        <v>200</v>
      </c>
      <c r="E355" s="63" t="str">
        <f>IF(VLOOKUP(B355,CENY!$B$11:$G$1034,4,FALSE)=0,"",VLOOKUP(B355,CENY!$B$11:$G$1034,4,FALSE))</f>
        <v/>
      </c>
      <c r="F355" s="45" t="str">
        <f t="shared" si="55"/>
        <v/>
      </c>
      <c r="G355" s="59">
        <f>VLOOKUP(B355,CENY!$B$11:$M$1034,12,FALSE)</f>
        <v>0.78</v>
      </c>
      <c r="H355" s="61" t="str">
        <f t="shared" si="56"/>
        <v xml:space="preserve"> CZK</v>
      </c>
      <c r="I355" s="46" t="str">
        <f t="shared" si="57"/>
        <v/>
      </c>
      <c r="J355" s="138"/>
      <c r="K355" s="47">
        <f>VLOOKUP(B355,CENY!$B$11:$M$1034,8,FALSE)</f>
        <v>0</v>
      </c>
      <c r="L355" s="47" t="str">
        <f>VLOOKUP(B355,CENY!$B$11:$M$1034,9,FALSE)</f>
        <v xml:space="preserve"> </v>
      </c>
      <c r="M355" s="55"/>
      <c r="N355" s="38">
        <f t="shared" si="54"/>
        <v>0</v>
      </c>
      <c r="O355" s="39">
        <v>0</v>
      </c>
      <c r="P355" s="41"/>
      <c r="Q355" s="450">
        <f>'AVT101'!BI128</f>
        <v>0</v>
      </c>
      <c r="R355" s="41"/>
      <c r="S355" s="450">
        <f>'AVT139'!BI110</f>
        <v>0</v>
      </c>
      <c r="T355" s="41"/>
      <c r="U355" s="450">
        <f>'AVT187'!BI128</f>
        <v>0</v>
      </c>
      <c r="V355" s="41"/>
      <c r="W355" s="450">
        <f>'AVT251'!BI103</f>
        <v>0</v>
      </c>
      <c r="X355" s="41"/>
      <c r="Y355" s="450">
        <f>AVT187In!BI102</f>
        <v>0</v>
      </c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50">
        <f>'AVT77'!BI72</f>
        <v>0</v>
      </c>
      <c r="AN355" s="41"/>
      <c r="AO355" s="450">
        <f>'AVT-celny-101+187'!BI105</f>
        <v>0</v>
      </c>
      <c r="AP355" s="41"/>
      <c r="AQ355" s="450">
        <f>'AVT-celny-139+187'!BI89</f>
        <v>0</v>
      </c>
      <c r="AR355" s="41"/>
      <c r="AS355" s="450">
        <f>'AVT-celny-2x187'!BI85</f>
        <v>0</v>
      </c>
      <c r="AT355" s="41"/>
      <c r="AU355" s="450">
        <f>'AVT-celny-2x187In'!BI71</f>
        <v>0</v>
      </c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2">
        <f>'OT440'!$AY10</f>
        <v>0</v>
      </c>
      <c r="BP355" s="42"/>
      <c r="BQ355" s="42"/>
      <c r="BR355" s="42"/>
      <c r="BS355" s="42"/>
      <c r="BT355" s="42"/>
      <c r="BU355" s="42"/>
      <c r="BV355" s="42"/>
      <c r="BW355" s="41"/>
      <c r="BX355" s="43">
        <v>0</v>
      </c>
      <c r="BY355" s="35"/>
      <c r="BZ355" s="27"/>
      <c r="CA355" s="27"/>
      <c r="CB355" s="27"/>
      <c r="CC355" s="27"/>
      <c r="CD355" s="27"/>
      <c r="CE355" s="27"/>
      <c r="CF355" s="27"/>
    </row>
    <row r="356" spans="1:84" ht="15" customHeight="1">
      <c r="A356" s="4"/>
      <c r="B356" s="439">
        <f>CENY!B585</f>
        <v>9278224</v>
      </c>
      <c r="C356" s="48" t="str">
        <f>VLOOKUP(B356,CENY!$B$11:$G$1034,2,FALSE)</f>
        <v>AVANTECH YOU VRUT 3,5X30 PANHEAD POZINK.</v>
      </c>
      <c r="D356" s="488">
        <f>VLOOKUP(B356,CENY!$B$11:$G$1034,3,FALSE)</f>
        <v>200</v>
      </c>
      <c r="E356" s="63" t="str">
        <f>IF(VLOOKUP(B356,CENY!$B$11:$G$1034,4,FALSE)=0,"",VLOOKUP(B356,CENY!$B$11:$G$1034,4,FALSE))</f>
        <v/>
      </c>
      <c r="F356" s="45" t="str">
        <f t="shared" si="55"/>
        <v/>
      </c>
      <c r="G356" s="59">
        <f>VLOOKUP(B356,CENY!$B$11:$M$1034,12,FALSE)</f>
        <v>0.73</v>
      </c>
      <c r="H356" s="61" t="str">
        <f t="shared" si="56"/>
        <v xml:space="preserve"> CZK</v>
      </c>
      <c r="I356" s="46" t="str">
        <f t="shared" si="57"/>
        <v/>
      </c>
      <c r="J356" s="138"/>
      <c r="K356" s="47">
        <f>VLOOKUP(B356,CENY!$B$11:$M$1034,8,FALSE)</f>
        <v>0</v>
      </c>
      <c r="L356" s="47" t="str">
        <f>VLOOKUP(B356,CENY!$B$11:$M$1034,9,FALSE)</f>
        <v xml:space="preserve"> </v>
      </c>
      <c r="M356" s="55"/>
      <c r="N356" s="38">
        <f t="shared" si="54"/>
        <v>0</v>
      </c>
      <c r="O356" s="39">
        <v>0</v>
      </c>
      <c r="P356" s="41"/>
      <c r="Q356" s="450">
        <f>'AVT101'!BI129</f>
        <v>0</v>
      </c>
      <c r="R356" s="41"/>
      <c r="S356" s="450">
        <f>'AVT139'!BI111</f>
        <v>0</v>
      </c>
      <c r="T356" s="41"/>
      <c r="U356" s="450">
        <f>'AVT187'!BI129</f>
        <v>0</v>
      </c>
      <c r="V356" s="41"/>
      <c r="W356" s="450">
        <f>'AVT251'!BI104</f>
        <v>0</v>
      </c>
      <c r="X356" s="41"/>
      <c r="Y356" s="450">
        <f>AVT187In!BI103</f>
        <v>0</v>
      </c>
      <c r="Z356" s="41"/>
      <c r="AA356" s="450">
        <f>'AVT101(vn-A)'!BI135</f>
        <v>0</v>
      </c>
      <c r="AB356" s="41"/>
      <c r="AC356" s="450">
        <f>'AVT139(vn-A)'!BI117</f>
        <v>0</v>
      </c>
      <c r="AD356" s="41"/>
      <c r="AE356" s="450">
        <f>'AVT187(vn-A)'!BI135</f>
        <v>0</v>
      </c>
      <c r="AF356" s="41"/>
      <c r="AG356" s="450">
        <f>'AVT187In(vn-A)'!BI109</f>
        <v>0</v>
      </c>
      <c r="AH356" s="41"/>
      <c r="AI356" s="450">
        <f>'AVT187(vn-S)'!BI141</f>
        <v>0</v>
      </c>
      <c r="AJ356" s="41"/>
      <c r="AK356" s="450">
        <f>'AVT187In(vn-S)'!BI115</f>
        <v>0</v>
      </c>
      <c r="AL356" s="41"/>
      <c r="AM356" s="450">
        <f>'AVT77'!BI73</f>
        <v>0</v>
      </c>
      <c r="AN356" s="41"/>
      <c r="AO356" s="450">
        <f>'AVT-celny-101+187'!BI106</f>
        <v>0</v>
      </c>
      <c r="AP356" s="41"/>
      <c r="AQ356" s="450">
        <f>'AVT-celny-139+187'!BI90</f>
        <v>0</v>
      </c>
      <c r="AR356" s="41"/>
      <c r="AS356" s="450">
        <f>'AVT-celny-2x187'!BI86</f>
        <v>0</v>
      </c>
      <c r="AT356" s="41"/>
      <c r="AU356" s="450">
        <f>'AVT-celny-2x187In'!BI72</f>
        <v>0</v>
      </c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2">
        <f>'OT440'!$AY11</f>
        <v>0</v>
      </c>
      <c r="BP356" s="42"/>
      <c r="BQ356" s="42"/>
      <c r="BR356" s="42"/>
      <c r="BS356" s="42"/>
      <c r="BT356" s="42"/>
      <c r="BU356" s="42"/>
      <c r="BV356" s="42"/>
      <c r="BW356" s="41"/>
      <c r="BX356" s="43">
        <v>0</v>
      </c>
      <c r="BY356" s="35"/>
      <c r="BZ356" s="27"/>
      <c r="CA356" s="27"/>
      <c r="CB356" s="27"/>
      <c r="CC356" s="27"/>
      <c r="CD356" s="27"/>
      <c r="CE356" s="27"/>
      <c r="CF356" s="27"/>
    </row>
    <row r="357" spans="1:84" ht="15" customHeight="1">
      <c r="A357" s="4"/>
      <c r="B357" s="439">
        <f>CENY!B586</f>
        <v>9279197</v>
      </c>
      <c r="C357" s="48" t="str">
        <f>VLOOKUP(B357,CENY!$B$11:$G$1034,2,FALSE)</f>
        <v>SAMOŘEZNÝ ŠROUB 3,5X12 PANHEAD POZINK.</v>
      </c>
      <c r="D357" s="488">
        <f>VLOOKUP(B357,CENY!$B$11:$G$1034,3,FALSE)</f>
        <v>1000</v>
      </c>
      <c r="E357" s="63" t="str">
        <f>IF(VLOOKUP(B357,CENY!$B$11:$G$1034,4,FALSE)=0,"",VLOOKUP(B357,CENY!$B$11:$G$1034,4,FALSE))</f>
        <v/>
      </c>
      <c r="F357" s="45" t="str">
        <f t="shared" si="55"/>
        <v/>
      </c>
      <c r="G357" s="59">
        <f>VLOOKUP(B357,CENY!$B$11:$M$1034,12,FALSE)</f>
        <v>1.51</v>
      </c>
      <c r="H357" s="61" t="str">
        <f t="shared" si="56"/>
        <v xml:space="preserve"> CZK</v>
      </c>
      <c r="I357" s="46" t="str">
        <f t="shared" si="57"/>
        <v/>
      </c>
      <c r="J357" s="138"/>
      <c r="K357" s="47">
        <f>VLOOKUP(B357,CENY!$B$11:$M$1034,8,FALSE)</f>
        <v>0</v>
      </c>
      <c r="L357" s="47" t="str">
        <f>VLOOKUP(B357,CENY!$B$11:$M$1034,9,FALSE)</f>
        <v xml:space="preserve"> </v>
      </c>
      <c r="M357" s="55"/>
      <c r="N357" s="38">
        <f t="shared" si="54"/>
        <v>0</v>
      </c>
      <c r="O357" s="39">
        <v>0</v>
      </c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50">
        <f>'AVT101(vn-A)'!BI136</f>
        <v>0</v>
      </c>
      <c r="AB357" s="41"/>
      <c r="AC357" s="450">
        <f>'AVT139(vn-A)'!BI118</f>
        <v>0</v>
      </c>
      <c r="AD357" s="41"/>
      <c r="AE357" s="450">
        <f>'AVT187(vn-A)'!BI136</f>
        <v>0</v>
      </c>
      <c r="AF357" s="41"/>
      <c r="AG357" s="450">
        <f>'AVT187In(vn-A)'!BI110</f>
        <v>0</v>
      </c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2">
        <f>'OT440'!$AY12</f>
        <v>0</v>
      </c>
      <c r="BP357" s="42"/>
      <c r="BQ357" s="42"/>
      <c r="BR357" s="42"/>
      <c r="BS357" s="42"/>
      <c r="BT357" s="42"/>
      <c r="BU357" s="42"/>
      <c r="BV357" s="42"/>
      <c r="BW357" s="41"/>
      <c r="BX357" s="43">
        <v>0</v>
      </c>
      <c r="BY357" s="35"/>
      <c r="BZ357" s="27"/>
      <c r="CA357" s="27"/>
      <c r="CB357" s="27"/>
      <c r="CC357" s="27"/>
      <c r="CD357" s="27"/>
      <c r="CE357" s="27"/>
      <c r="CF357" s="27"/>
    </row>
    <row r="358" spans="1:84" ht="15" customHeight="1">
      <c r="A358" s="4"/>
      <c r="B358" s="439">
        <f>CENY!B587</f>
        <v>9137114</v>
      </c>
      <c r="C358" s="48" t="str">
        <f>VLOOKUP(B358,CENY!$B$11:$G$1034,2,FALSE)</f>
        <v>EUROŠROUB DBS 60 X 14</v>
      </c>
      <c r="D358" s="488">
        <f>VLOOKUP(B358,CENY!$B$11:$G$1034,3,FALSE)</f>
        <v>200</v>
      </c>
      <c r="E358" s="63" t="str">
        <f>IF(VLOOKUP(B358,CENY!$B$11:$G$1034,4,FALSE)=0,"",VLOOKUP(B358,CENY!$B$11:$G$1034,4,FALSE))</f>
        <v/>
      </c>
      <c r="F358" s="45" t="str">
        <f t="shared" si="55"/>
        <v/>
      </c>
      <c r="G358" s="59">
        <f>VLOOKUP(B358,CENY!$B$11:$M$1034,12,FALSE)</f>
        <v>1.2</v>
      </c>
      <c r="H358" s="61" t="str">
        <f t="shared" si="56"/>
        <v xml:space="preserve"> CZK</v>
      </c>
      <c r="I358" s="46" t="str">
        <f t="shared" si="57"/>
        <v/>
      </c>
      <c r="J358" s="138"/>
      <c r="K358" s="47">
        <f>VLOOKUP(B358,CENY!$B$11:$M$1034,8,FALSE)</f>
        <v>0</v>
      </c>
      <c r="L358" s="47" t="str">
        <f>VLOOKUP(B358,CENY!$B$11:$M$1034,9,FALSE)</f>
        <v xml:space="preserve"> </v>
      </c>
      <c r="M358" s="55"/>
      <c r="N358" s="38">
        <f>SUM(P358:BX358)</f>
        <v>0</v>
      </c>
      <c r="O358" s="39">
        <v>0</v>
      </c>
      <c r="P358" s="450">
        <f>'AVT101'!AZ131</f>
        <v>0</v>
      </c>
      <c r="Q358" s="450">
        <f>'AVT101'!BI131</f>
        <v>0</v>
      </c>
      <c r="R358" s="450">
        <f>'AVT139'!AZ113</f>
        <v>0</v>
      </c>
      <c r="S358" s="450">
        <f>'AVT139'!BI113</f>
        <v>0</v>
      </c>
      <c r="T358" s="450">
        <f>'AVT187'!AZ131</f>
        <v>0</v>
      </c>
      <c r="U358" s="450">
        <f>'AVT187'!BI131</f>
        <v>0</v>
      </c>
      <c r="V358" s="450">
        <f>'AVT251'!AZ106</f>
        <v>0</v>
      </c>
      <c r="W358" s="450">
        <f>'AVT251'!BI106</f>
        <v>0</v>
      </c>
      <c r="X358" s="450">
        <f>AVT187In!AZ105</f>
        <v>0</v>
      </c>
      <c r="Y358" s="450">
        <f>AVT187In!BI105</f>
        <v>0</v>
      </c>
      <c r="Z358" s="450">
        <f>'AVT101(vn-A)'!AZ137</f>
        <v>0</v>
      </c>
      <c r="AA358" s="450">
        <f>'AVT101(vn-A)'!BI137</f>
        <v>0</v>
      </c>
      <c r="AB358" s="450">
        <f>'AVT139(vn-A)'!AZ119</f>
        <v>0</v>
      </c>
      <c r="AC358" s="450">
        <f>'AVT139(vn-A)'!BI119</f>
        <v>0</v>
      </c>
      <c r="AD358" s="450">
        <f>'AVT187(vn-A)'!AZ137</f>
        <v>0</v>
      </c>
      <c r="AE358" s="450">
        <f>'AVT187(vn-A)'!BI137</f>
        <v>0</v>
      </c>
      <c r="AF358" s="450">
        <f>'AVT187In(vn-A)'!AZ111</f>
        <v>0</v>
      </c>
      <c r="AG358" s="450">
        <f>'AVT187In(vn-A)'!BI111</f>
        <v>0</v>
      </c>
      <c r="AH358" s="450">
        <f>'AVT187(vn-S)'!AZ143</f>
        <v>0</v>
      </c>
      <c r="AI358" s="450">
        <f>'AVT187(vn-S)'!BI143</f>
        <v>0</v>
      </c>
      <c r="AJ358" s="450">
        <f>'AVT187In(vn-S)'!AZ117</f>
        <v>0</v>
      </c>
      <c r="AK358" s="450">
        <f>'AVT187In(vn-S)'!BI117</f>
        <v>0</v>
      </c>
      <c r="AL358" s="450">
        <f>'AVT77'!AZ75</f>
        <v>0</v>
      </c>
      <c r="AM358" s="450">
        <f>'AVT77'!BI75</f>
        <v>0</v>
      </c>
      <c r="AN358" s="450">
        <f>'AVT-celny-101+187'!AZ108</f>
        <v>0</v>
      </c>
      <c r="AO358" s="450">
        <f>'AVT-celny-101+187'!BI108</f>
        <v>0</v>
      </c>
      <c r="AP358" s="450">
        <f>'AVT-celny-139+187'!AZ92</f>
        <v>0</v>
      </c>
      <c r="AQ358" s="450">
        <f>'AVT-celny-139+187'!BI92</f>
        <v>0</v>
      </c>
      <c r="AR358" s="450">
        <f>'AVT-celny-2x187'!AZ88</f>
        <v>0</v>
      </c>
      <c r="AS358" s="450">
        <f>'AVT-celny-2x187'!BI88</f>
        <v>0</v>
      </c>
      <c r="AT358" s="450">
        <f>'AVT-celny-2x187In'!AZ74</f>
        <v>0</v>
      </c>
      <c r="AU358" s="450">
        <f>'AVT-celny-2x187In'!BI74</f>
        <v>0</v>
      </c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2">
        <f>'OT440'!$AY13</f>
        <v>0</v>
      </c>
      <c r="BP358" s="42"/>
      <c r="BQ358" s="42"/>
      <c r="BR358" s="42"/>
      <c r="BS358" s="42"/>
      <c r="BT358" s="42"/>
      <c r="BU358" s="42"/>
      <c r="BV358" s="42"/>
      <c r="BW358" s="41"/>
      <c r="BX358" s="43">
        <v>0</v>
      </c>
      <c r="BY358" s="35"/>
      <c r="BZ358" s="27"/>
      <c r="CA358" s="27"/>
      <c r="CB358" s="27"/>
      <c r="CC358" s="27"/>
      <c r="CD358" s="27"/>
      <c r="CE358" s="27"/>
      <c r="CF358" s="27"/>
    </row>
    <row r="359" spans="1:84" ht="8.1" customHeight="1">
      <c r="A359" s="4"/>
      <c r="B359" s="142"/>
      <c r="C359" s="48"/>
      <c r="D359" s="44"/>
      <c r="E359" s="63"/>
      <c r="F359" s="67"/>
      <c r="G359" s="59"/>
      <c r="H359" s="61"/>
      <c r="I359" s="46"/>
      <c r="J359" s="138"/>
      <c r="K359" s="47"/>
      <c r="L359" s="47"/>
      <c r="M359" s="55"/>
      <c r="N359" s="38">
        <f>SUM(P359:BX359)</f>
        <v>0</v>
      </c>
      <c r="O359" s="39">
        <v>0</v>
      </c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2">
        <f>'OT440'!$AY14</f>
        <v>0</v>
      </c>
      <c r="BP359" s="42"/>
      <c r="BQ359" s="42"/>
      <c r="BR359" s="42"/>
      <c r="BS359" s="42"/>
      <c r="BT359" s="42"/>
      <c r="BU359" s="42"/>
      <c r="BV359" s="42"/>
      <c r="BW359" s="41"/>
      <c r="BX359" s="43">
        <v>0</v>
      </c>
      <c r="BY359" s="35"/>
      <c r="BZ359" s="27"/>
      <c r="CA359" s="27"/>
      <c r="CB359" s="27"/>
      <c r="CC359" s="27"/>
      <c r="CD359" s="27"/>
      <c r="CE359" s="27"/>
      <c r="CF359" s="27"/>
    </row>
    <row r="360" spans="1:84" ht="15" customHeight="1">
      <c r="A360" s="4"/>
      <c r="B360" s="142"/>
      <c r="C360" s="48"/>
      <c r="D360" s="44"/>
      <c r="E360" s="63"/>
      <c r="F360" s="67"/>
      <c r="G360" s="59"/>
      <c r="H360" s="61"/>
      <c r="I360" s="46"/>
      <c r="J360" s="138"/>
      <c r="K360" s="47"/>
      <c r="L360" s="47"/>
      <c r="M360" s="55"/>
      <c r="N360" s="38">
        <f>SUM(P360:BX360)</f>
        <v>0</v>
      </c>
      <c r="O360" s="39">
        <v>0</v>
      </c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2">
        <f>'OT440'!$AY15</f>
        <v>0</v>
      </c>
      <c r="BP360" s="42"/>
      <c r="BQ360" s="42"/>
      <c r="BR360" s="42"/>
      <c r="BS360" s="42"/>
      <c r="BT360" s="42"/>
      <c r="BU360" s="42"/>
      <c r="BV360" s="42"/>
      <c r="BW360" s="41"/>
      <c r="BX360" s="43">
        <v>0</v>
      </c>
      <c r="BY360" s="35"/>
      <c r="BZ360" s="27"/>
      <c r="CA360" s="27"/>
      <c r="CB360" s="27"/>
      <c r="CC360" s="27"/>
      <c r="CD360" s="27"/>
      <c r="CE360" s="27"/>
      <c r="CF360" s="27"/>
    </row>
    <row r="361" spans="1:84" ht="15" customHeight="1">
      <c r="A361" s="4"/>
      <c r="B361" s="142"/>
      <c r="C361" s="48"/>
      <c r="D361" s="44"/>
      <c r="E361" s="63"/>
      <c r="F361" s="67"/>
      <c r="G361" s="59"/>
      <c r="H361" s="61"/>
      <c r="I361" s="46"/>
      <c r="J361" s="138"/>
      <c r="K361" s="47"/>
      <c r="L361" s="47"/>
      <c r="M361" s="55"/>
      <c r="N361" s="38">
        <f>SUM(P361:BX361)</f>
        <v>0</v>
      </c>
      <c r="O361" s="39">
        <v>0</v>
      </c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2">
        <f>'OT440'!$AY16</f>
        <v>0</v>
      </c>
      <c r="BP361" s="42"/>
      <c r="BQ361" s="42"/>
      <c r="BR361" s="42"/>
      <c r="BS361" s="42"/>
      <c r="BT361" s="42"/>
      <c r="BU361" s="42"/>
      <c r="BV361" s="42"/>
      <c r="BW361" s="41"/>
      <c r="BX361" s="43">
        <v>0</v>
      </c>
      <c r="BY361" s="35"/>
      <c r="BZ361" s="27"/>
      <c r="CA361" s="27"/>
      <c r="CB361" s="27"/>
      <c r="CC361" s="27"/>
      <c r="CD361" s="27"/>
      <c r="CE361" s="27"/>
      <c r="CF361" s="27"/>
    </row>
    <row r="362" spans="1:84" ht="15" customHeight="1">
      <c r="A362" s="4"/>
      <c r="B362" s="142"/>
      <c r="C362" s="48" t="e">
        <f>VLOOKUP(B362,CENY!$B$11:$G$1034,2,FALSE)</f>
        <v>#N/A</v>
      </c>
      <c r="D362" s="44" t="e">
        <f>VLOOKUP(B362,CENY!$B$11:$G$1034,3,FALSE)</f>
        <v>#N/A</v>
      </c>
      <c r="E362" s="63" t="e">
        <f>IF(VLOOKUP(B362,CENY!$B$11:$G$1034,4,FALSE)=0,"",VLOOKUP(B362,CENY!$B$11:$G$1034,4,FALSE))</f>
        <v>#N/A</v>
      </c>
      <c r="F362" s="45" t="str">
        <f t="shared" ref="F362:F386" si="58">IF(J362&lt;&gt;"",J362,IF(N362=0,"",N362))</f>
        <v/>
      </c>
      <c r="G362" s="59" t="e">
        <f>VLOOKUP(B362,CENY!$B$11:$M$1034,12,FALSE)</f>
        <v>#N/A</v>
      </c>
      <c r="H362" s="61" t="e">
        <f t="shared" ref="H362:H376" si="59">IF(G362="","",$H$22)</f>
        <v>#N/A</v>
      </c>
      <c r="I362" s="46" t="str">
        <f t="shared" ref="I362:I376" si="60">IF(F362="","",G362*F362)</f>
        <v/>
      </c>
      <c r="J362" s="138"/>
      <c r="K362" s="47" t="e">
        <f>VLOOKUP(B362,CENY!$B$11:$M$1034,8,FALSE)</f>
        <v>#N/A</v>
      </c>
      <c r="L362" s="47" t="e">
        <f>VLOOKUP(B362,CENY!$B$11:$M$1034,9,FALSE)</f>
        <v>#N/A</v>
      </c>
      <c r="M362" s="55"/>
      <c r="N362" s="38">
        <f t="shared" si="54"/>
        <v>0</v>
      </c>
      <c r="O362" s="39">
        <v>0</v>
      </c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2">
        <f>'OT440'!$AY17</f>
        <v>0</v>
      </c>
      <c r="BP362" s="42"/>
      <c r="BQ362" s="42"/>
      <c r="BR362" s="42"/>
      <c r="BS362" s="42"/>
      <c r="BT362" s="42"/>
      <c r="BU362" s="42"/>
      <c r="BV362" s="42"/>
      <c r="BW362" s="41"/>
      <c r="BX362" s="43">
        <v>0</v>
      </c>
      <c r="BY362" s="35"/>
      <c r="BZ362" s="27"/>
      <c r="CA362" s="27"/>
      <c r="CB362" s="27"/>
      <c r="CC362" s="27"/>
      <c r="CD362" s="27"/>
      <c r="CE362" s="27"/>
      <c r="CF362" s="27"/>
    </row>
    <row r="363" spans="1:84" ht="15" customHeight="1">
      <c r="A363" s="4"/>
      <c r="B363" s="142"/>
      <c r="C363" s="48" t="e">
        <f>VLOOKUP(B363,CENY!$B$11:$G$1034,2,FALSE)</f>
        <v>#N/A</v>
      </c>
      <c r="D363" s="44" t="e">
        <f>VLOOKUP(B363,CENY!$B$11:$G$1034,3,FALSE)</f>
        <v>#N/A</v>
      </c>
      <c r="E363" s="63" t="e">
        <f>IF(VLOOKUP(B363,CENY!$B$11:$G$1034,4,FALSE)=0,"",VLOOKUP(B363,CENY!$B$11:$G$1034,4,FALSE))</f>
        <v>#N/A</v>
      </c>
      <c r="F363" s="45" t="str">
        <f t="shared" si="58"/>
        <v/>
      </c>
      <c r="G363" s="59" t="e">
        <f>VLOOKUP(B363,CENY!$B$11:$M$1034,12,FALSE)</f>
        <v>#N/A</v>
      </c>
      <c r="H363" s="61" t="e">
        <f t="shared" si="59"/>
        <v>#N/A</v>
      </c>
      <c r="I363" s="46" t="str">
        <f t="shared" si="60"/>
        <v/>
      </c>
      <c r="J363" s="138"/>
      <c r="K363" s="47" t="e">
        <f>VLOOKUP(B363,CENY!$B$11:$M$1034,8,FALSE)</f>
        <v>#N/A</v>
      </c>
      <c r="L363" s="47" t="e">
        <f>VLOOKUP(B363,CENY!$B$11:$M$1034,9,FALSE)</f>
        <v>#N/A</v>
      </c>
      <c r="M363" s="55"/>
      <c r="N363" s="38">
        <f t="shared" si="54"/>
        <v>0</v>
      </c>
      <c r="O363" s="39">
        <v>0</v>
      </c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2">
        <f>'OT440'!$AY18</f>
        <v>0</v>
      </c>
      <c r="BP363" s="42"/>
      <c r="BQ363" s="42"/>
      <c r="BR363" s="42"/>
      <c r="BS363" s="42"/>
      <c r="BT363" s="42"/>
      <c r="BU363" s="42"/>
      <c r="BV363" s="42"/>
      <c r="BW363" s="41"/>
      <c r="BX363" s="43">
        <v>0</v>
      </c>
      <c r="BY363" s="35"/>
      <c r="BZ363" s="27"/>
      <c r="CA363" s="27"/>
      <c r="CB363" s="27"/>
      <c r="CC363" s="27"/>
      <c r="CD363" s="27"/>
      <c r="CE363" s="27"/>
      <c r="CF363" s="27"/>
    </row>
    <row r="364" spans="1:84" ht="15" customHeight="1">
      <c r="A364" s="4"/>
      <c r="B364" s="142"/>
      <c r="C364" s="48" t="e">
        <f>VLOOKUP(B364,CENY!$B$11:$G$1034,2,FALSE)</f>
        <v>#N/A</v>
      </c>
      <c r="D364" s="44" t="e">
        <f>VLOOKUP(B364,CENY!$B$11:$G$1034,3,FALSE)</f>
        <v>#N/A</v>
      </c>
      <c r="E364" s="63" t="e">
        <f>IF(VLOOKUP(B364,CENY!$B$11:$G$1034,4,FALSE)=0,"",VLOOKUP(B364,CENY!$B$11:$G$1034,4,FALSE))</f>
        <v>#N/A</v>
      </c>
      <c r="F364" s="45" t="str">
        <f t="shared" si="58"/>
        <v/>
      </c>
      <c r="G364" s="59" t="e">
        <f>VLOOKUP(B364,CENY!$B$11:$M$1034,12,FALSE)</f>
        <v>#N/A</v>
      </c>
      <c r="H364" s="61" t="e">
        <f t="shared" si="59"/>
        <v>#N/A</v>
      </c>
      <c r="I364" s="46" t="str">
        <f t="shared" si="60"/>
        <v/>
      </c>
      <c r="J364" s="138"/>
      <c r="K364" s="47" t="e">
        <f>VLOOKUP(B364,CENY!$B$11:$M$1034,8,FALSE)</f>
        <v>#N/A</v>
      </c>
      <c r="L364" s="47" t="e">
        <f>VLOOKUP(B364,CENY!$B$11:$M$1034,9,FALSE)</f>
        <v>#N/A</v>
      </c>
      <c r="M364" s="55"/>
      <c r="N364" s="38">
        <f t="shared" si="54"/>
        <v>0</v>
      </c>
      <c r="O364" s="39">
        <v>0</v>
      </c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2">
        <f>'OT440'!$AY19</f>
        <v>0</v>
      </c>
      <c r="BP364" s="42"/>
      <c r="BQ364" s="42"/>
      <c r="BR364" s="42"/>
      <c r="BS364" s="42"/>
      <c r="BT364" s="42"/>
      <c r="BU364" s="42"/>
      <c r="BV364" s="42"/>
      <c r="BW364" s="41"/>
      <c r="BX364" s="43">
        <v>0</v>
      </c>
      <c r="BY364" s="35"/>
      <c r="BZ364" s="27"/>
      <c r="CA364" s="27"/>
      <c r="CB364" s="27"/>
      <c r="CC364" s="27"/>
      <c r="CD364" s="27"/>
      <c r="CE364" s="27"/>
      <c r="CF364" s="27"/>
    </row>
    <row r="365" spans="1:84" ht="15" customHeight="1">
      <c r="A365" s="4"/>
      <c r="B365" s="142"/>
      <c r="C365" s="48" t="e">
        <f>VLOOKUP(B365,CENY!$B$11:$G$1034,2,FALSE)</f>
        <v>#N/A</v>
      </c>
      <c r="D365" s="44" t="e">
        <f>VLOOKUP(B365,CENY!$B$11:$G$1034,3,FALSE)</f>
        <v>#N/A</v>
      </c>
      <c r="E365" s="63" t="e">
        <f>IF(VLOOKUP(B365,CENY!$B$11:$G$1034,4,FALSE)=0,"",VLOOKUP(B365,CENY!$B$11:$G$1034,4,FALSE))</f>
        <v>#N/A</v>
      </c>
      <c r="F365" s="45" t="str">
        <f t="shared" si="58"/>
        <v/>
      </c>
      <c r="G365" s="59" t="e">
        <f>VLOOKUP(B365,CENY!$B$11:$M$1034,12,FALSE)</f>
        <v>#N/A</v>
      </c>
      <c r="H365" s="61" t="e">
        <f t="shared" si="59"/>
        <v>#N/A</v>
      </c>
      <c r="I365" s="46" t="str">
        <f t="shared" si="60"/>
        <v/>
      </c>
      <c r="J365" s="138"/>
      <c r="K365" s="47" t="e">
        <f>VLOOKUP(B365,CENY!$B$11:$M$1034,8,FALSE)</f>
        <v>#N/A</v>
      </c>
      <c r="L365" s="47" t="e">
        <f>VLOOKUP(B365,CENY!$B$11:$M$1034,9,FALSE)</f>
        <v>#N/A</v>
      </c>
      <c r="M365" s="55"/>
      <c r="N365" s="38">
        <f t="shared" si="54"/>
        <v>0</v>
      </c>
      <c r="O365" s="39">
        <v>0</v>
      </c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2">
        <f>'OT440'!$AY20</f>
        <v>0</v>
      </c>
      <c r="BP365" s="42"/>
      <c r="BQ365" s="42"/>
      <c r="BR365" s="42"/>
      <c r="BS365" s="42"/>
      <c r="BT365" s="42"/>
      <c r="BU365" s="42"/>
      <c r="BV365" s="42"/>
      <c r="BW365" s="41"/>
      <c r="BX365" s="43">
        <v>0</v>
      </c>
      <c r="BY365" s="35"/>
      <c r="BZ365" s="27"/>
      <c r="CA365" s="27"/>
      <c r="CB365" s="27"/>
      <c r="CC365" s="27"/>
      <c r="CD365" s="27"/>
      <c r="CE365" s="27"/>
      <c r="CF365" s="27"/>
    </row>
    <row r="366" spans="1:84" ht="15" customHeight="1">
      <c r="A366" s="4"/>
      <c r="B366" s="142"/>
      <c r="C366" s="48" t="e">
        <f>VLOOKUP(B366,CENY!$B$11:$G$1034,2,FALSE)</f>
        <v>#N/A</v>
      </c>
      <c r="D366" s="44" t="e">
        <f>VLOOKUP(B366,CENY!$B$11:$G$1034,3,FALSE)</f>
        <v>#N/A</v>
      </c>
      <c r="E366" s="63" t="e">
        <f>IF(VLOOKUP(B366,CENY!$B$11:$G$1034,4,FALSE)=0,"",VLOOKUP(B366,CENY!$B$11:$G$1034,4,FALSE))</f>
        <v>#N/A</v>
      </c>
      <c r="F366" s="45" t="str">
        <f t="shared" si="58"/>
        <v/>
      </c>
      <c r="G366" s="59" t="e">
        <f>VLOOKUP(B366,CENY!$B$11:$M$1034,12,FALSE)</f>
        <v>#N/A</v>
      </c>
      <c r="H366" s="61" t="e">
        <f t="shared" si="59"/>
        <v>#N/A</v>
      </c>
      <c r="I366" s="46" t="str">
        <f t="shared" si="60"/>
        <v/>
      </c>
      <c r="J366" s="138"/>
      <c r="K366" s="47" t="e">
        <f>VLOOKUP(B366,CENY!$B$11:$M$1034,8,FALSE)</f>
        <v>#N/A</v>
      </c>
      <c r="L366" s="47" t="e">
        <f>VLOOKUP(B366,CENY!$B$11:$M$1034,9,FALSE)</f>
        <v>#N/A</v>
      </c>
      <c r="M366" s="55"/>
      <c r="N366" s="38">
        <f t="shared" si="54"/>
        <v>0</v>
      </c>
      <c r="O366" s="39">
        <v>0</v>
      </c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2">
        <f>'OT440'!$AY21</f>
        <v>0</v>
      </c>
      <c r="BP366" s="42"/>
      <c r="BQ366" s="42"/>
      <c r="BR366" s="42"/>
      <c r="BS366" s="42"/>
      <c r="BT366" s="42"/>
      <c r="BU366" s="42"/>
      <c r="BV366" s="42"/>
      <c r="BW366" s="41"/>
      <c r="BX366" s="43">
        <v>0</v>
      </c>
      <c r="BY366" s="35"/>
      <c r="BZ366" s="27"/>
      <c r="CA366" s="27"/>
      <c r="CB366" s="27"/>
      <c r="CC366" s="27"/>
      <c r="CD366" s="27"/>
      <c r="CE366" s="27"/>
      <c r="CF366" s="27"/>
    </row>
    <row r="367" spans="1:84" ht="15" customHeight="1">
      <c r="A367" s="4"/>
      <c r="B367" s="142"/>
      <c r="C367" s="48" t="e">
        <f>VLOOKUP(B367,CENY!$B$11:$G$1034,2,FALSE)</f>
        <v>#N/A</v>
      </c>
      <c r="D367" s="44" t="e">
        <f>VLOOKUP(B367,CENY!$B$11:$G$1034,3,FALSE)</f>
        <v>#N/A</v>
      </c>
      <c r="E367" s="63" t="e">
        <f>IF(VLOOKUP(B367,CENY!$B$11:$G$1034,4,FALSE)=0,"",VLOOKUP(B367,CENY!$B$11:$G$1034,4,FALSE))</f>
        <v>#N/A</v>
      </c>
      <c r="F367" s="45" t="str">
        <f t="shared" si="58"/>
        <v/>
      </c>
      <c r="G367" s="59" t="e">
        <f>VLOOKUP(B367,CENY!$B$11:$M$1034,12,FALSE)</f>
        <v>#N/A</v>
      </c>
      <c r="H367" s="61" t="e">
        <f t="shared" si="59"/>
        <v>#N/A</v>
      </c>
      <c r="I367" s="46" t="str">
        <f t="shared" si="60"/>
        <v/>
      </c>
      <c r="J367" s="138"/>
      <c r="K367" s="47" t="e">
        <f>VLOOKUP(B367,CENY!$B$11:$M$1034,8,FALSE)</f>
        <v>#N/A</v>
      </c>
      <c r="L367" s="47" t="e">
        <f>VLOOKUP(B367,CENY!$B$11:$M$1034,9,FALSE)</f>
        <v>#N/A</v>
      </c>
      <c r="M367" s="55"/>
      <c r="N367" s="38">
        <f t="shared" si="54"/>
        <v>0</v>
      </c>
      <c r="O367" s="39">
        <v>0</v>
      </c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2">
        <f>'OT440'!$AY22</f>
        <v>0</v>
      </c>
      <c r="BP367" s="42"/>
      <c r="BQ367" s="42"/>
      <c r="BR367" s="42"/>
      <c r="BS367" s="42"/>
      <c r="BT367" s="42"/>
      <c r="BU367" s="42"/>
      <c r="BV367" s="42"/>
      <c r="BW367" s="41"/>
      <c r="BX367" s="43">
        <v>0</v>
      </c>
      <c r="BY367" s="35"/>
      <c r="BZ367" s="27"/>
      <c r="CA367" s="27"/>
      <c r="CB367" s="27"/>
      <c r="CC367" s="27"/>
      <c r="CD367" s="27"/>
      <c r="CE367" s="27"/>
      <c r="CF367" s="27"/>
    </row>
    <row r="368" spans="1:84" ht="15" customHeight="1">
      <c r="A368" s="4"/>
      <c r="B368" s="142"/>
      <c r="C368" s="48" t="e">
        <f>VLOOKUP(B368,CENY!$B$11:$G$1034,2,FALSE)</f>
        <v>#N/A</v>
      </c>
      <c r="D368" s="44" t="e">
        <f>VLOOKUP(B368,CENY!$B$11:$G$1034,3,FALSE)</f>
        <v>#N/A</v>
      </c>
      <c r="E368" s="63" t="e">
        <f>IF(VLOOKUP(B368,CENY!$B$11:$G$1034,4,FALSE)=0,"",VLOOKUP(B368,CENY!$B$11:$G$1034,4,FALSE))</f>
        <v>#N/A</v>
      </c>
      <c r="F368" s="45" t="str">
        <f t="shared" si="58"/>
        <v/>
      </c>
      <c r="G368" s="59" t="e">
        <f>VLOOKUP(B368,CENY!$B$11:$M$1034,12,FALSE)</f>
        <v>#N/A</v>
      </c>
      <c r="H368" s="61" t="e">
        <f t="shared" si="59"/>
        <v>#N/A</v>
      </c>
      <c r="I368" s="46" t="str">
        <f t="shared" si="60"/>
        <v/>
      </c>
      <c r="J368" s="138"/>
      <c r="K368" s="47" t="e">
        <f>VLOOKUP(B368,CENY!$B$11:$M$1034,8,FALSE)</f>
        <v>#N/A</v>
      </c>
      <c r="L368" s="47" t="e">
        <f>VLOOKUP(B368,CENY!$B$11:$M$1034,9,FALSE)</f>
        <v>#N/A</v>
      </c>
      <c r="M368" s="55"/>
      <c r="N368" s="38">
        <f t="shared" si="54"/>
        <v>0</v>
      </c>
      <c r="O368" s="39">
        <v>0</v>
      </c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2">
        <f>'OT440'!$AY23</f>
        <v>0</v>
      </c>
      <c r="BP368" s="42"/>
      <c r="BQ368" s="42"/>
      <c r="BR368" s="42"/>
      <c r="BS368" s="42"/>
      <c r="BT368" s="42"/>
      <c r="BU368" s="42"/>
      <c r="BV368" s="42"/>
      <c r="BW368" s="41"/>
      <c r="BX368" s="43">
        <v>0</v>
      </c>
      <c r="BY368" s="35"/>
      <c r="BZ368" s="27"/>
      <c r="CA368" s="27"/>
      <c r="CB368" s="27"/>
      <c r="CC368" s="27"/>
      <c r="CD368" s="27"/>
      <c r="CE368" s="27"/>
      <c r="CF368" s="27"/>
    </row>
    <row r="369" spans="1:84" ht="15" customHeight="1">
      <c r="A369" s="4"/>
      <c r="B369" s="142"/>
      <c r="C369" s="48" t="e">
        <f>VLOOKUP(B369,CENY!$B$11:$G$1034,2,FALSE)</f>
        <v>#N/A</v>
      </c>
      <c r="D369" s="44" t="e">
        <f>VLOOKUP(B369,CENY!$B$11:$G$1034,3,FALSE)</f>
        <v>#N/A</v>
      </c>
      <c r="E369" s="63" t="e">
        <f>IF(VLOOKUP(B369,CENY!$B$11:$G$1034,4,FALSE)=0,"",VLOOKUP(B369,CENY!$B$11:$G$1034,4,FALSE))</f>
        <v>#N/A</v>
      </c>
      <c r="F369" s="45" t="str">
        <f t="shared" si="58"/>
        <v/>
      </c>
      <c r="G369" s="59" t="e">
        <f>VLOOKUP(B369,CENY!$B$11:$M$1034,12,FALSE)</f>
        <v>#N/A</v>
      </c>
      <c r="H369" s="61" t="e">
        <f t="shared" si="59"/>
        <v>#N/A</v>
      </c>
      <c r="I369" s="46" t="str">
        <f t="shared" si="60"/>
        <v/>
      </c>
      <c r="J369" s="138"/>
      <c r="K369" s="47" t="e">
        <f>VLOOKUP(B369,CENY!$B$11:$M$1034,8,FALSE)</f>
        <v>#N/A</v>
      </c>
      <c r="L369" s="47" t="e">
        <f>VLOOKUP(B369,CENY!$B$11:$M$1034,9,FALSE)</f>
        <v>#N/A</v>
      </c>
      <c r="M369" s="55"/>
      <c r="N369" s="38">
        <f t="shared" si="54"/>
        <v>0</v>
      </c>
      <c r="O369" s="39">
        <v>0</v>
      </c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2">
        <f>'OT440'!$AY24</f>
        <v>0</v>
      </c>
      <c r="BP369" s="42"/>
      <c r="BQ369" s="42"/>
      <c r="BR369" s="42"/>
      <c r="BS369" s="42"/>
      <c r="BT369" s="42"/>
      <c r="BU369" s="42"/>
      <c r="BV369" s="42"/>
      <c r="BW369" s="41"/>
      <c r="BX369" s="43">
        <v>0</v>
      </c>
      <c r="BY369" s="35"/>
      <c r="BZ369" s="27"/>
      <c r="CA369" s="27"/>
      <c r="CB369" s="27"/>
      <c r="CC369" s="27"/>
      <c r="CD369" s="27"/>
      <c r="CE369" s="27"/>
      <c r="CF369" s="27"/>
    </row>
    <row r="370" spans="1:84" ht="15" customHeight="1">
      <c r="A370" s="4"/>
      <c r="B370" s="142"/>
      <c r="C370" s="48" t="e">
        <f>VLOOKUP(B370,CENY!$B$11:$G$1034,2,FALSE)</f>
        <v>#N/A</v>
      </c>
      <c r="D370" s="44" t="e">
        <f>VLOOKUP(B370,CENY!$B$11:$G$1034,3,FALSE)</f>
        <v>#N/A</v>
      </c>
      <c r="E370" s="63" t="e">
        <f>IF(VLOOKUP(B370,CENY!$B$11:$G$1034,4,FALSE)=0,"",VLOOKUP(B370,CENY!$B$11:$G$1034,4,FALSE))</f>
        <v>#N/A</v>
      </c>
      <c r="F370" s="45" t="str">
        <f t="shared" si="58"/>
        <v/>
      </c>
      <c r="G370" s="59" t="e">
        <f>VLOOKUP(B370,CENY!$B$11:$M$1034,12,FALSE)</f>
        <v>#N/A</v>
      </c>
      <c r="H370" s="61" t="e">
        <f t="shared" si="59"/>
        <v>#N/A</v>
      </c>
      <c r="I370" s="46" t="str">
        <f t="shared" si="60"/>
        <v/>
      </c>
      <c r="J370" s="138"/>
      <c r="K370" s="47" t="e">
        <f>VLOOKUP(B370,CENY!$B$11:$M$1034,8,FALSE)</f>
        <v>#N/A</v>
      </c>
      <c r="L370" s="47" t="e">
        <f>VLOOKUP(B370,CENY!$B$11:$M$1034,9,FALSE)</f>
        <v>#N/A</v>
      </c>
      <c r="M370" s="55"/>
      <c r="N370" s="38">
        <f t="shared" si="54"/>
        <v>0</v>
      </c>
      <c r="O370" s="39">
        <v>0</v>
      </c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2">
        <f>'OT440'!$AY25</f>
        <v>0</v>
      </c>
      <c r="BP370" s="42"/>
      <c r="BQ370" s="42"/>
      <c r="BR370" s="42"/>
      <c r="BS370" s="42"/>
      <c r="BT370" s="42"/>
      <c r="BU370" s="42"/>
      <c r="BV370" s="42"/>
      <c r="BW370" s="41"/>
      <c r="BX370" s="43">
        <v>0</v>
      </c>
      <c r="BY370" s="35"/>
      <c r="BZ370" s="27"/>
      <c r="CA370" s="27"/>
      <c r="CB370" s="27"/>
      <c r="CC370" s="27"/>
      <c r="CD370" s="27"/>
      <c r="CE370" s="27"/>
      <c r="CF370" s="27"/>
    </row>
    <row r="371" spans="1:84" ht="15" customHeight="1">
      <c r="A371" s="4"/>
      <c r="B371" s="142"/>
      <c r="C371" s="48" t="e">
        <f>VLOOKUP(B371,CENY!$B$11:$G$1034,2,FALSE)</f>
        <v>#N/A</v>
      </c>
      <c r="D371" s="44" t="e">
        <f>VLOOKUP(B371,CENY!$B$11:$G$1034,3,FALSE)</f>
        <v>#N/A</v>
      </c>
      <c r="E371" s="63" t="e">
        <f>IF(VLOOKUP(B371,CENY!$B$11:$G$1034,4,FALSE)=0,"",VLOOKUP(B371,CENY!$B$11:$G$1034,4,FALSE))</f>
        <v>#N/A</v>
      </c>
      <c r="F371" s="45" t="str">
        <f t="shared" si="58"/>
        <v/>
      </c>
      <c r="G371" s="59" t="e">
        <f>VLOOKUP(B371,CENY!$B$11:$M$1034,12,FALSE)</f>
        <v>#N/A</v>
      </c>
      <c r="H371" s="61" t="e">
        <f t="shared" si="59"/>
        <v>#N/A</v>
      </c>
      <c r="I371" s="46" t="str">
        <f t="shared" si="60"/>
        <v/>
      </c>
      <c r="J371" s="138"/>
      <c r="K371" s="47" t="e">
        <f>VLOOKUP(B371,CENY!$B$11:$M$1034,8,FALSE)</f>
        <v>#N/A</v>
      </c>
      <c r="L371" s="47" t="e">
        <f>VLOOKUP(B371,CENY!$B$11:$M$1034,9,FALSE)</f>
        <v>#N/A</v>
      </c>
      <c r="M371" s="55"/>
      <c r="N371" s="38">
        <f t="shared" si="54"/>
        <v>0</v>
      </c>
      <c r="O371" s="39">
        <v>0</v>
      </c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2">
        <f>'OT440'!$AY26</f>
        <v>0</v>
      </c>
      <c r="BP371" s="42"/>
      <c r="BQ371" s="42"/>
      <c r="BR371" s="42"/>
      <c r="BS371" s="42"/>
      <c r="BT371" s="42"/>
      <c r="BU371" s="42"/>
      <c r="BV371" s="42"/>
      <c r="BW371" s="41"/>
      <c r="BX371" s="43">
        <v>0</v>
      </c>
      <c r="BY371" s="35"/>
      <c r="BZ371" s="27"/>
      <c r="CA371" s="27"/>
      <c r="CB371" s="27"/>
      <c r="CC371" s="27"/>
      <c r="CD371" s="27"/>
      <c r="CE371" s="27"/>
      <c r="CF371" s="27"/>
    </row>
    <row r="372" spans="1:84" ht="15" customHeight="1">
      <c r="A372" s="4"/>
      <c r="B372" s="142"/>
      <c r="C372" s="48" t="e">
        <f>VLOOKUP(B372,CENY!$B$11:$G$1034,2,FALSE)</f>
        <v>#N/A</v>
      </c>
      <c r="D372" s="44" t="e">
        <f>VLOOKUP(B372,CENY!$B$11:$G$1034,3,FALSE)</f>
        <v>#N/A</v>
      </c>
      <c r="E372" s="63" t="e">
        <f>IF(VLOOKUP(B372,CENY!$B$11:$G$1034,4,FALSE)=0,"",VLOOKUP(B372,CENY!$B$11:$G$1034,4,FALSE))</f>
        <v>#N/A</v>
      </c>
      <c r="F372" s="45" t="str">
        <f t="shared" si="58"/>
        <v/>
      </c>
      <c r="G372" s="59" t="e">
        <f>VLOOKUP(B372,CENY!$B$11:$M$1034,12,FALSE)</f>
        <v>#N/A</v>
      </c>
      <c r="H372" s="61" t="e">
        <f t="shared" si="59"/>
        <v>#N/A</v>
      </c>
      <c r="I372" s="46" t="str">
        <f t="shared" si="60"/>
        <v/>
      </c>
      <c r="J372" s="138"/>
      <c r="K372" s="47" t="e">
        <f>VLOOKUP(B372,CENY!$B$11:$M$1034,8,FALSE)</f>
        <v>#N/A</v>
      </c>
      <c r="L372" s="47" t="e">
        <f>VLOOKUP(B372,CENY!$B$11:$M$1034,9,FALSE)</f>
        <v>#N/A</v>
      </c>
      <c r="M372" s="55"/>
      <c r="N372" s="38">
        <f t="shared" si="54"/>
        <v>0</v>
      </c>
      <c r="O372" s="39">
        <v>0</v>
      </c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2">
        <f>'OT440'!$AY27</f>
        <v>0</v>
      </c>
      <c r="BP372" s="42"/>
      <c r="BQ372" s="42"/>
      <c r="BR372" s="42"/>
      <c r="BS372" s="42"/>
      <c r="BT372" s="42"/>
      <c r="BU372" s="42"/>
      <c r="BV372" s="42"/>
      <c r="BW372" s="41"/>
      <c r="BX372" s="43">
        <v>0</v>
      </c>
      <c r="BY372" s="35"/>
      <c r="BZ372" s="27"/>
      <c r="CA372" s="27"/>
      <c r="CB372" s="27"/>
      <c r="CC372" s="27"/>
      <c r="CD372" s="27"/>
      <c r="CE372" s="27"/>
      <c r="CF372" s="27"/>
    </row>
    <row r="373" spans="1:84" ht="15" customHeight="1">
      <c r="A373" s="4"/>
      <c r="B373" s="142"/>
      <c r="C373" s="48" t="e">
        <f>VLOOKUP(B373,CENY!$B$11:$G$1034,2,FALSE)</f>
        <v>#N/A</v>
      </c>
      <c r="D373" s="44" t="e">
        <f>VLOOKUP(B373,CENY!$B$11:$G$1034,3,FALSE)</f>
        <v>#N/A</v>
      </c>
      <c r="E373" s="63" t="e">
        <f>IF(VLOOKUP(B373,CENY!$B$11:$G$1034,4,FALSE)=0,"",VLOOKUP(B373,CENY!$B$11:$G$1034,4,FALSE))</f>
        <v>#N/A</v>
      </c>
      <c r="F373" s="45" t="str">
        <f t="shared" si="58"/>
        <v/>
      </c>
      <c r="G373" s="59" t="e">
        <f>VLOOKUP(B373,CENY!$B$11:$M$1034,12,FALSE)</f>
        <v>#N/A</v>
      </c>
      <c r="H373" s="61" t="e">
        <f t="shared" si="59"/>
        <v>#N/A</v>
      </c>
      <c r="I373" s="46" t="str">
        <f t="shared" si="60"/>
        <v/>
      </c>
      <c r="J373" s="138"/>
      <c r="K373" s="47" t="e">
        <f>VLOOKUP(B373,CENY!$B$11:$M$1034,8,FALSE)</f>
        <v>#N/A</v>
      </c>
      <c r="L373" s="47" t="e">
        <f>VLOOKUP(B373,CENY!$B$11:$M$1034,9,FALSE)</f>
        <v>#N/A</v>
      </c>
      <c r="M373" s="55"/>
      <c r="N373" s="38">
        <f t="shared" si="54"/>
        <v>0</v>
      </c>
      <c r="O373" s="39">
        <v>0</v>
      </c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2">
        <f>'OT440'!$AY28</f>
        <v>0</v>
      </c>
      <c r="BP373" s="42"/>
      <c r="BQ373" s="42"/>
      <c r="BR373" s="42"/>
      <c r="BS373" s="42"/>
      <c r="BT373" s="42"/>
      <c r="BU373" s="42"/>
      <c r="BV373" s="42"/>
      <c r="BW373" s="41"/>
      <c r="BX373" s="43">
        <v>0</v>
      </c>
      <c r="BY373" s="35"/>
      <c r="BZ373" s="27"/>
      <c r="CA373" s="27"/>
      <c r="CB373" s="27"/>
      <c r="CC373" s="27"/>
      <c r="CD373" s="27"/>
      <c r="CE373" s="27"/>
      <c r="CF373" s="27"/>
    </row>
    <row r="374" spans="1:84" ht="15" customHeight="1">
      <c r="A374" s="4"/>
      <c r="B374" s="142"/>
      <c r="C374" s="48" t="e">
        <f>VLOOKUP(B374,CENY!$B$11:$G$1034,2,FALSE)</f>
        <v>#N/A</v>
      </c>
      <c r="D374" s="44" t="e">
        <f>VLOOKUP(B374,CENY!$B$11:$G$1034,3,FALSE)</f>
        <v>#N/A</v>
      </c>
      <c r="E374" s="63" t="e">
        <f>IF(VLOOKUP(B374,CENY!$B$11:$G$1034,4,FALSE)=0,"",VLOOKUP(B374,CENY!$B$11:$G$1034,4,FALSE))</f>
        <v>#N/A</v>
      </c>
      <c r="F374" s="45" t="str">
        <f t="shared" si="58"/>
        <v/>
      </c>
      <c r="G374" s="59" t="e">
        <f>VLOOKUP(B374,CENY!$B$11:$M$1034,12,FALSE)</f>
        <v>#N/A</v>
      </c>
      <c r="H374" s="61" t="e">
        <f t="shared" si="59"/>
        <v>#N/A</v>
      </c>
      <c r="I374" s="46" t="str">
        <f t="shared" si="60"/>
        <v/>
      </c>
      <c r="J374" s="138"/>
      <c r="K374" s="47" t="e">
        <f>VLOOKUP(B374,CENY!$B$11:$M$1034,8,FALSE)</f>
        <v>#N/A</v>
      </c>
      <c r="L374" s="47" t="e">
        <f>VLOOKUP(B374,CENY!$B$11:$M$1034,9,FALSE)</f>
        <v>#N/A</v>
      </c>
      <c r="M374" s="55"/>
      <c r="N374" s="38">
        <f t="shared" si="54"/>
        <v>0</v>
      </c>
      <c r="O374" s="39">
        <v>0</v>
      </c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2">
        <f>'OT440'!$AY29</f>
        <v>0</v>
      </c>
      <c r="BP374" s="42"/>
      <c r="BQ374" s="42"/>
      <c r="BR374" s="42"/>
      <c r="BS374" s="42"/>
      <c r="BT374" s="42"/>
      <c r="BU374" s="42"/>
      <c r="BV374" s="42"/>
      <c r="BW374" s="41"/>
      <c r="BX374" s="43">
        <v>0</v>
      </c>
      <c r="BY374" s="35"/>
      <c r="BZ374" s="27"/>
      <c r="CA374" s="27"/>
      <c r="CB374" s="27"/>
      <c r="CC374" s="27"/>
      <c r="CD374" s="27"/>
      <c r="CE374" s="27"/>
      <c r="CF374" s="27"/>
    </row>
    <row r="375" spans="1:84" ht="15" customHeight="1">
      <c r="A375" s="4"/>
      <c r="B375" s="142"/>
      <c r="C375" s="48" t="e">
        <f>VLOOKUP(B375,CENY!$B$11:$G$1034,2,FALSE)</f>
        <v>#N/A</v>
      </c>
      <c r="D375" s="44" t="e">
        <f>VLOOKUP(B375,CENY!$B$11:$G$1034,3,FALSE)</f>
        <v>#N/A</v>
      </c>
      <c r="E375" s="63" t="e">
        <f>IF(VLOOKUP(B375,CENY!$B$11:$G$1034,4,FALSE)=0,"",VLOOKUP(B375,CENY!$B$11:$G$1034,4,FALSE))</f>
        <v>#N/A</v>
      </c>
      <c r="F375" s="45" t="str">
        <f t="shared" si="58"/>
        <v/>
      </c>
      <c r="G375" s="59" t="e">
        <f>VLOOKUP(B375,CENY!$B$11:$M$1034,12,FALSE)</f>
        <v>#N/A</v>
      </c>
      <c r="H375" s="61" t="e">
        <f t="shared" si="59"/>
        <v>#N/A</v>
      </c>
      <c r="I375" s="46" t="str">
        <f t="shared" si="60"/>
        <v/>
      </c>
      <c r="J375" s="138"/>
      <c r="K375" s="47" t="e">
        <f>VLOOKUP(B375,CENY!$B$11:$M$1034,8,FALSE)</f>
        <v>#N/A</v>
      </c>
      <c r="L375" s="47" t="e">
        <f>VLOOKUP(B375,CENY!$B$11:$M$1034,9,FALSE)</f>
        <v>#N/A</v>
      </c>
      <c r="M375" s="55"/>
      <c r="N375" s="38">
        <f t="shared" si="54"/>
        <v>0</v>
      </c>
      <c r="O375" s="39">
        <v>0</v>
      </c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2">
        <f>'OT440'!$AY30</f>
        <v>0</v>
      </c>
      <c r="BP375" s="42"/>
      <c r="BQ375" s="42"/>
      <c r="BR375" s="42"/>
      <c r="BS375" s="42"/>
      <c r="BT375" s="42"/>
      <c r="BU375" s="42"/>
      <c r="BV375" s="42"/>
      <c r="BW375" s="41"/>
      <c r="BX375" s="43">
        <v>0</v>
      </c>
      <c r="BY375" s="35"/>
      <c r="BZ375" s="27"/>
      <c r="CA375" s="27"/>
      <c r="CB375" s="27"/>
      <c r="CC375" s="27"/>
      <c r="CD375" s="27"/>
      <c r="CE375" s="27"/>
      <c r="CF375" s="27"/>
    </row>
    <row r="376" spans="1:84" ht="15" customHeight="1">
      <c r="A376" s="4"/>
      <c r="B376" s="142"/>
      <c r="C376" s="48" t="e">
        <f>VLOOKUP(B376,CENY!$B$11:$G$1034,2,FALSE)</f>
        <v>#N/A</v>
      </c>
      <c r="D376" s="44" t="e">
        <f>VLOOKUP(B376,CENY!$B$11:$G$1034,3,FALSE)</f>
        <v>#N/A</v>
      </c>
      <c r="E376" s="63" t="e">
        <f>IF(VLOOKUP(B376,CENY!$B$11:$G$1034,4,FALSE)=0,"",VLOOKUP(B376,CENY!$B$11:$G$1034,4,FALSE))</f>
        <v>#N/A</v>
      </c>
      <c r="F376" s="45" t="str">
        <f t="shared" si="58"/>
        <v/>
      </c>
      <c r="G376" s="59" t="e">
        <f>VLOOKUP(B376,CENY!$B$11:$M$1034,12,FALSE)</f>
        <v>#N/A</v>
      </c>
      <c r="H376" s="61" t="e">
        <f t="shared" si="59"/>
        <v>#N/A</v>
      </c>
      <c r="I376" s="46" t="str">
        <f t="shared" si="60"/>
        <v/>
      </c>
      <c r="J376" s="138"/>
      <c r="K376" s="47" t="e">
        <f>VLOOKUP(B376,CENY!$B$11:$M$1034,8,FALSE)</f>
        <v>#N/A</v>
      </c>
      <c r="L376" s="47" t="e">
        <f>VLOOKUP(B376,CENY!$B$11:$M$1034,9,FALSE)</f>
        <v>#N/A</v>
      </c>
      <c r="M376" s="55"/>
      <c r="N376" s="38">
        <f t="shared" si="54"/>
        <v>0</v>
      </c>
      <c r="O376" s="39">
        <v>0</v>
      </c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2">
        <f>'OT440'!$AY31</f>
        <v>0</v>
      </c>
      <c r="BP376" s="42"/>
      <c r="BQ376" s="42"/>
      <c r="BR376" s="42"/>
      <c r="BS376" s="42"/>
      <c r="BT376" s="42"/>
      <c r="BU376" s="42"/>
      <c r="BV376" s="42"/>
      <c r="BW376" s="41"/>
      <c r="BX376" s="43">
        <v>0</v>
      </c>
      <c r="BY376" s="35"/>
      <c r="BZ376" s="27"/>
      <c r="CA376" s="27"/>
      <c r="CB376" s="27"/>
      <c r="CC376" s="27"/>
      <c r="CD376" s="27"/>
      <c r="CE376" s="27"/>
      <c r="CF376" s="27"/>
    </row>
    <row r="377" spans="1:84" ht="15" customHeight="1">
      <c r="A377" s="4"/>
      <c r="B377" s="142"/>
      <c r="C377" s="48" t="e">
        <f>VLOOKUP(B377,CENY!$B$11:$G$1034,2,FALSE)</f>
        <v>#N/A</v>
      </c>
      <c r="D377" s="44" t="e">
        <f>VLOOKUP(B377,CENY!$B$11:$G$1034,3,FALSE)</f>
        <v>#N/A</v>
      </c>
      <c r="E377" s="63" t="e">
        <f>IF(VLOOKUP(B377,CENY!$B$11:$G$1034,4,FALSE)=0,"",VLOOKUP(B377,CENY!$B$11:$G$1034,4,FALSE))</f>
        <v>#N/A</v>
      </c>
      <c r="F377" s="45" t="str">
        <f t="shared" si="58"/>
        <v/>
      </c>
      <c r="G377" s="59" t="e">
        <f>VLOOKUP(B377,CENY!$B$11:$M$1034,12,FALSE)</f>
        <v>#N/A</v>
      </c>
      <c r="H377" s="61" t="e">
        <f t="shared" ref="H377:H386" si="61">IF(G377="","",$H$22)</f>
        <v>#N/A</v>
      </c>
      <c r="I377" s="46" t="str">
        <f t="shared" ref="I377:I386" si="62">IF(F377="","",G377*F377)</f>
        <v/>
      </c>
      <c r="J377" s="138"/>
      <c r="K377" s="47" t="e">
        <f>VLOOKUP(B377,CENY!$B$11:$M$1034,8,FALSE)</f>
        <v>#N/A</v>
      </c>
      <c r="L377" s="47" t="e">
        <f>VLOOKUP(B377,CENY!$B$11:$M$1034,9,FALSE)</f>
        <v>#N/A</v>
      </c>
      <c r="M377" s="55"/>
      <c r="N377" s="38">
        <f t="shared" si="54"/>
        <v>0</v>
      </c>
      <c r="O377" s="39">
        <v>0</v>
      </c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2">
        <f>'OT440'!$AY32</f>
        <v>0</v>
      </c>
      <c r="BP377" s="42"/>
      <c r="BQ377" s="42"/>
      <c r="BR377" s="42"/>
      <c r="BS377" s="42"/>
      <c r="BT377" s="42"/>
      <c r="BU377" s="42"/>
      <c r="BV377" s="42"/>
      <c r="BW377" s="41"/>
      <c r="BX377" s="43"/>
      <c r="BY377" s="35"/>
      <c r="BZ377" s="27"/>
      <c r="CA377" s="27"/>
      <c r="CB377" s="27"/>
      <c r="CC377" s="27"/>
      <c r="CD377" s="27"/>
      <c r="CE377" s="27"/>
      <c r="CF377" s="27"/>
    </row>
    <row r="378" spans="1:84" ht="15" customHeight="1">
      <c r="A378" s="4"/>
      <c r="B378" s="142"/>
      <c r="C378" s="48" t="e">
        <f>VLOOKUP(B378,CENY!$B$11:$G$1034,2,FALSE)</f>
        <v>#N/A</v>
      </c>
      <c r="D378" s="44" t="e">
        <f>VLOOKUP(B378,CENY!$B$11:$G$1034,3,FALSE)</f>
        <v>#N/A</v>
      </c>
      <c r="E378" s="63" t="e">
        <f>IF(VLOOKUP(B378,CENY!$B$11:$G$1034,4,FALSE)=0,"",VLOOKUP(B378,CENY!$B$11:$G$1034,4,FALSE))</f>
        <v>#N/A</v>
      </c>
      <c r="F378" s="45" t="str">
        <f t="shared" si="58"/>
        <v/>
      </c>
      <c r="G378" s="59" t="e">
        <f>VLOOKUP(B378,CENY!$B$11:$M$1034,12,FALSE)</f>
        <v>#N/A</v>
      </c>
      <c r="H378" s="61" t="e">
        <f t="shared" si="61"/>
        <v>#N/A</v>
      </c>
      <c r="I378" s="46" t="str">
        <f t="shared" si="62"/>
        <v/>
      </c>
      <c r="J378" s="138"/>
      <c r="K378" s="47" t="e">
        <f>VLOOKUP(B378,CENY!$B$11:$M$1034,8,FALSE)</f>
        <v>#N/A</v>
      </c>
      <c r="L378" s="47" t="e">
        <f>VLOOKUP(B378,CENY!$B$11:$M$1034,9,FALSE)</f>
        <v>#N/A</v>
      </c>
      <c r="M378" s="55"/>
      <c r="N378" s="38">
        <f t="shared" si="54"/>
        <v>0</v>
      </c>
      <c r="O378" s="39">
        <v>0</v>
      </c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2">
        <f>'OT440'!$AY33</f>
        <v>0</v>
      </c>
      <c r="BP378" s="42"/>
      <c r="BQ378" s="42"/>
      <c r="BR378" s="42"/>
      <c r="BS378" s="42"/>
      <c r="BT378" s="42"/>
      <c r="BU378" s="42"/>
      <c r="BV378" s="42"/>
      <c r="BW378" s="41"/>
      <c r="BX378" s="43">
        <v>0</v>
      </c>
      <c r="BY378" s="35"/>
      <c r="BZ378" s="27"/>
      <c r="CA378" s="27"/>
      <c r="CB378" s="27"/>
      <c r="CC378" s="27"/>
      <c r="CD378" s="27"/>
      <c r="CE378" s="27"/>
      <c r="CF378" s="27"/>
    </row>
    <row r="379" spans="1:84" ht="15" customHeight="1">
      <c r="A379" s="4"/>
      <c r="B379" s="142"/>
      <c r="C379" s="48" t="e">
        <f>VLOOKUP(B379,CENY!$B$11:$G$1034,2,FALSE)</f>
        <v>#N/A</v>
      </c>
      <c r="D379" s="44" t="e">
        <f>VLOOKUP(B379,CENY!$B$11:$G$1034,3,FALSE)</f>
        <v>#N/A</v>
      </c>
      <c r="E379" s="63" t="e">
        <f>IF(VLOOKUP(B379,CENY!$B$11:$G$1034,4,FALSE)=0,"",VLOOKUP(B379,CENY!$B$11:$G$1034,4,FALSE))</f>
        <v>#N/A</v>
      </c>
      <c r="F379" s="45" t="str">
        <f t="shared" si="58"/>
        <v/>
      </c>
      <c r="G379" s="59" t="e">
        <f>VLOOKUP(B379,CENY!$B$11:$M$1034,12,FALSE)</f>
        <v>#N/A</v>
      </c>
      <c r="H379" s="61" t="e">
        <f t="shared" si="61"/>
        <v>#N/A</v>
      </c>
      <c r="I379" s="46" t="str">
        <f t="shared" si="62"/>
        <v/>
      </c>
      <c r="J379" s="138"/>
      <c r="K379" s="47" t="e">
        <f>VLOOKUP(B379,CENY!$B$11:$M$1034,8,FALSE)</f>
        <v>#N/A</v>
      </c>
      <c r="L379" s="47" t="e">
        <f>VLOOKUP(B379,CENY!$B$11:$M$1034,9,FALSE)</f>
        <v>#N/A</v>
      </c>
      <c r="M379" s="55"/>
      <c r="N379" s="38">
        <f t="shared" si="54"/>
        <v>0</v>
      </c>
      <c r="O379" s="39">
        <v>0</v>
      </c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2">
        <f>'OT440'!$AY34</f>
        <v>0</v>
      </c>
      <c r="BP379" s="42"/>
      <c r="BQ379" s="42"/>
      <c r="BR379" s="42"/>
      <c r="BS379" s="42"/>
      <c r="BT379" s="42"/>
      <c r="BU379" s="42"/>
      <c r="BV379" s="42"/>
      <c r="BW379" s="41"/>
      <c r="BX379" s="43">
        <v>0</v>
      </c>
      <c r="BY379" s="35"/>
      <c r="BZ379" s="27"/>
      <c r="CA379" s="27"/>
      <c r="CB379" s="27"/>
      <c r="CC379" s="27"/>
      <c r="CD379" s="27"/>
      <c r="CE379" s="27"/>
      <c r="CF379" s="27"/>
    </row>
    <row r="380" spans="1:84" ht="15" customHeight="1">
      <c r="A380" s="4"/>
      <c r="B380" s="142"/>
      <c r="C380" s="48" t="e">
        <f>VLOOKUP(B380,CENY!$B$11:$G$1034,2,FALSE)</f>
        <v>#N/A</v>
      </c>
      <c r="D380" s="44" t="e">
        <f>VLOOKUP(B380,CENY!$B$11:$G$1034,3,FALSE)</f>
        <v>#N/A</v>
      </c>
      <c r="E380" s="63" t="e">
        <f>IF(VLOOKUP(B380,CENY!$B$11:$G$1034,4,FALSE)=0,"",VLOOKUP(B380,CENY!$B$11:$G$1034,4,FALSE))</f>
        <v>#N/A</v>
      </c>
      <c r="F380" s="45" t="str">
        <f t="shared" si="58"/>
        <v/>
      </c>
      <c r="G380" s="59" t="e">
        <f>VLOOKUP(B380,CENY!$B$11:$M$1034,12,FALSE)</f>
        <v>#N/A</v>
      </c>
      <c r="H380" s="61" t="e">
        <f t="shared" si="61"/>
        <v>#N/A</v>
      </c>
      <c r="I380" s="46" t="str">
        <f t="shared" si="62"/>
        <v/>
      </c>
      <c r="J380" s="138"/>
      <c r="K380" s="47" t="e">
        <f>VLOOKUP(B380,CENY!$B$11:$M$1034,8,FALSE)</f>
        <v>#N/A</v>
      </c>
      <c r="L380" s="47" t="e">
        <f>VLOOKUP(B380,CENY!$B$11:$M$1034,9,FALSE)</f>
        <v>#N/A</v>
      </c>
      <c r="M380" s="55"/>
      <c r="N380" s="38">
        <f t="shared" si="54"/>
        <v>0</v>
      </c>
      <c r="O380" s="39">
        <v>0</v>
      </c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2">
        <f>'OT440'!$AY35</f>
        <v>0</v>
      </c>
      <c r="BP380" s="42"/>
      <c r="BQ380" s="42"/>
      <c r="BR380" s="42"/>
      <c r="BS380" s="42"/>
      <c r="BT380" s="42"/>
      <c r="BU380" s="42"/>
      <c r="BV380" s="42"/>
      <c r="BW380" s="41"/>
      <c r="BX380" s="43">
        <v>0</v>
      </c>
      <c r="BY380" s="35"/>
      <c r="BZ380" s="27"/>
      <c r="CA380" s="27"/>
      <c r="CB380" s="27"/>
      <c r="CC380" s="27"/>
      <c r="CD380" s="27"/>
      <c r="CE380" s="27"/>
      <c r="CF380" s="27"/>
    </row>
    <row r="381" spans="1:84" ht="15" customHeight="1">
      <c r="A381" s="4"/>
      <c r="B381" s="142"/>
      <c r="C381" s="48" t="e">
        <f>VLOOKUP(B381,CENY!$B$11:$G$1034,2,FALSE)</f>
        <v>#N/A</v>
      </c>
      <c r="D381" s="44" t="e">
        <f>VLOOKUP(B381,CENY!$B$11:$G$1034,3,FALSE)</f>
        <v>#N/A</v>
      </c>
      <c r="E381" s="63" t="e">
        <f>IF(VLOOKUP(B381,CENY!$B$11:$G$1034,4,FALSE)=0,"",VLOOKUP(B381,CENY!$B$11:$G$1034,4,FALSE))</f>
        <v>#N/A</v>
      </c>
      <c r="F381" s="45" t="str">
        <f t="shared" si="58"/>
        <v/>
      </c>
      <c r="G381" s="59" t="e">
        <f>VLOOKUP(B381,CENY!$B$11:$M$1034,12,FALSE)</f>
        <v>#N/A</v>
      </c>
      <c r="H381" s="61" t="e">
        <f t="shared" si="61"/>
        <v>#N/A</v>
      </c>
      <c r="I381" s="46" t="str">
        <f t="shared" si="62"/>
        <v/>
      </c>
      <c r="J381" s="138"/>
      <c r="K381" s="47" t="e">
        <f>VLOOKUP(B381,CENY!$B$11:$M$1034,8,FALSE)</f>
        <v>#N/A</v>
      </c>
      <c r="L381" s="47" t="e">
        <f>VLOOKUP(B381,CENY!$B$11:$M$1034,9,FALSE)</f>
        <v>#N/A</v>
      </c>
      <c r="M381" s="55"/>
      <c r="N381" s="38">
        <f t="shared" si="54"/>
        <v>0</v>
      </c>
      <c r="O381" s="39">
        <v>0</v>
      </c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2">
        <f>'OT440'!$AY36</f>
        <v>0</v>
      </c>
      <c r="BP381" s="42"/>
      <c r="BQ381" s="42"/>
      <c r="BR381" s="42"/>
      <c r="BS381" s="42"/>
      <c r="BT381" s="42"/>
      <c r="BU381" s="42"/>
      <c r="BV381" s="42"/>
      <c r="BW381" s="41"/>
      <c r="BX381" s="43">
        <v>0</v>
      </c>
      <c r="BY381" s="35"/>
      <c r="BZ381" s="27"/>
      <c r="CA381" s="27"/>
      <c r="CB381" s="27"/>
      <c r="CC381" s="27"/>
      <c r="CD381" s="27"/>
      <c r="CE381" s="27"/>
      <c r="CF381" s="27"/>
    </row>
    <row r="382" spans="1:84" ht="15" customHeight="1">
      <c r="A382" s="4"/>
      <c r="B382" s="142"/>
      <c r="C382" s="48" t="e">
        <f>VLOOKUP(B382,CENY!$B$11:$G$1034,2,FALSE)</f>
        <v>#N/A</v>
      </c>
      <c r="D382" s="44" t="e">
        <f>VLOOKUP(B382,CENY!$B$11:$G$1034,3,FALSE)</f>
        <v>#N/A</v>
      </c>
      <c r="E382" s="63" t="e">
        <f>IF(VLOOKUP(B382,CENY!$B$11:$G$1034,4,FALSE)=0,"",VLOOKUP(B382,CENY!$B$11:$G$1034,4,FALSE))</f>
        <v>#N/A</v>
      </c>
      <c r="F382" s="45" t="str">
        <f t="shared" si="58"/>
        <v/>
      </c>
      <c r="G382" s="59" t="e">
        <f>VLOOKUP(B382,CENY!$B$11:$M$1034,12,FALSE)</f>
        <v>#N/A</v>
      </c>
      <c r="H382" s="61" t="e">
        <f t="shared" si="61"/>
        <v>#N/A</v>
      </c>
      <c r="I382" s="46" t="str">
        <f t="shared" si="62"/>
        <v/>
      </c>
      <c r="J382" s="138"/>
      <c r="K382" s="47" t="e">
        <f>VLOOKUP(B382,CENY!$B$11:$M$1034,8,FALSE)</f>
        <v>#N/A</v>
      </c>
      <c r="L382" s="47" t="e">
        <f>VLOOKUP(B382,CENY!$B$11:$M$1034,9,FALSE)</f>
        <v>#N/A</v>
      </c>
      <c r="M382" s="55"/>
      <c r="N382" s="38">
        <f t="shared" si="54"/>
        <v>0</v>
      </c>
      <c r="O382" s="39">
        <v>0</v>
      </c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2">
        <f>'OT440'!$AY37</f>
        <v>0</v>
      </c>
      <c r="BP382" s="42"/>
      <c r="BQ382" s="42"/>
      <c r="BR382" s="42"/>
      <c r="BS382" s="42"/>
      <c r="BT382" s="42"/>
      <c r="BU382" s="42"/>
      <c r="BV382" s="42"/>
      <c r="BW382" s="41"/>
      <c r="BX382" s="43">
        <v>0</v>
      </c>
      <c r="BY382" s="35"/>
      <c r="BZ382" s="27"/>
      <c r="CA382" s="27"/>
      <c r="CB382" s="27"/>
      <c r="CC382" s="27"/>
      <c r="CD382" s="27"/>
      <c r="CE382" s="27"/>
      <c r="CF382" s="27"/>
    </row>
    <row r="383" spans="1:84" ht="15" customHeight="1">
      <c r="A383" s="4"/>
      <c r="B383" s="142"/>
      <c r="C383" s="48" t="e">
        <f>VLOOKUP(B383,CENY!$B$11:$G$1034,2,FALSE)</f>
        <v>#N/A</v>
      </c>
      <c r="D383" s="44" t="e">
        <f>VLOOKUP(B383,CENY!$B$11:$G$1034,3,FALSE)</f>
        <v>#N/A</v>
      </c>
      <c r="E383" s="63" t="e">
        <f>IF(VLOOKUP(B383,CENY!$B$11:$G$1034,4,FALSE)=0,"",VLOOKUP(B383,CENY!$B$11:$G$1034,4,FALSE))</f>
        <v>#N/A</v>
      </c>
      <c r="F383" s="45" t="str">
        <f t="shared" si="58"/>
        <v/>
      </c>
      <c r="G383" s="59" t="e">
        <f>VLOOKUP(B383,CENY!$B$11:$M$1034,12,FALSE)</f>
        <v>#N/A</v>
      </c>
      <c r="H383" s="61" t="e">
        <f t="shared" si="61"/>
        <v>#N/A</v>
      </c>
      <c r="I383" s="46" t="str">
        <f t="shared" si="62"/>
        <v/>
      </c>
      <c r="J383" s="138"/>
      <c r="K383" s="47" t="e">
        <f>VLOOKUP(B383,CENY!$B$11:$M$1034,8,FALSE)</f>
        <v>#N/A</v>
      </c>
      <c r="L383" s="47" t="e">
        <f>VLOOKUP(B383,CENY!$B$11:$M$1034,9,FALSE)</f>
        <v>#N/A</v>
      </c>
      <c r="M383" s="55"/>
      <c r="N383" s="38">
        <f t="shared" ref="N383:N414" si="63">SUM(P383:BX383)</f>
        <v>0</v>
      </c>
      <c r="O383" s="39">
        <v>0</v>
      </c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2">
        <f>'OT440'!$AY38</f>
        <v>0</v>
      </c>
      <c r="BP383" s="42"/>
      <c r="BQ383" s="42"/>
      <c r="BR383" s="42"/>
      <c r="BS383" s="42"/>
      <c r="BT383" s="42"/>
      <c r="BU383" s="42"/>
      <c r="BV383" s="42"/>
      <c r="BW383" s="41"/>
      <c r="BX383" s="43">
        <v>0</v>
      </c>
      <c r="BY383" s="35"/>
      <c r="BZ383" s="27"/>
      <c r="CA383" s="27"/>
      <c r="CB383" s="27"/>
      <c r="CC383" s="27"/>
      <c r="CD383" s="27"/>
      <c r="CE383" s="27"/>
      <c r="CF383" s="27"/>
    </row>
    <row r="384" spans="1:84" ht="15" customHeight="1">
      <c r="A384" s="4"/>
      <c r="B384" s="142"/>
      <c r="C384" s="48" t="e">
        <f>VLOOKUP(B384,CENY!$B$11:$G$1034,2,FALSE)</f>
        <v>#N/A</v>
      </c>
      <c r="D384" s="44" t="e">
        <f>VLOOKUP(B384,CENY!$B$11:$G$1034,3,FALSE)</f>
        <v>#N/A</v>
      </c>
      <c r="E384" s="63" t="e">
        <f>IF(VLOOKUP(B384,CENY!$B$11:$G$1034,4,FALSE)=0,"",VLOOKUP(B384,CENY!$B$11:$G$1034,4,FALSE))</f>
        <v>#N/A</v>
      </c>
      <c r="F384" s="45" t="str">
        <f t="shared" si="58"/>
        <v/>
      </c>
      <c r="G384" s="59" t="e">
        <f>VLOOKUP(B384,CENY!$B$11:$M$1034,12,FALSE)</f>
        <v>#N/A</v>
      </c>
      <c r="H384" s="61" t="e">
        <f t="shared" si="61"/>
        <v>#N/A</v>
      </c>
      <c r="I384" s="46" t="str">
        <f t="shared" si="62"/>
        <v/>
      </c>
      <c r="J384" s="138"/>
      <c r="K384" s="47" t="e">
        <f>VLOOKUP(B384,CENY!$B$11:$M$1034,8,FALSE)</f>
        <v>#N/A</v>
      </c>
      <c r="L384" s="47" t="e">
        <f>VLOOKUP(B384,CENY!$B$11:$M$1034,9,FALSE)</f>
        <v>#N/A</v>
      </c>
      <c r="M384" s="55"/>
      <c r="N384" s="38">
        <f t="shared" si="63"/>
        <v>0</v>
      </c>
      <c r="O384" s="39">
        <v>0</v>
      </c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2">
        <f>'OT440'!$AY39</f>
        <v>0</v>
      </c>
      <c r="BP384" s="42"/>
      <c r="BQ384" s="42"/>
      <c r="BR384" s="42"/>
      <c r="BS384" s="42"/>
      <c r="BT384" s="42"/>
      <c r="BU384" s="42"/>
      <c r="BV384" s="42"/>
      <c r="BW384" s="41"/>
      <c r="BX384" s="43">
        <v>0</v>
      </c>
      <c r="BY384" s="35"/>
      <c r="BZ384" s="27"/>
      <c r="CA384" s="27"/>
      <c r="CB384" s="27"/>
      <c r="CC384" s="27"/>
      <c r="CD384" s="27"/>
      <c r="CE384" s="27"/>
      <c r="CF384" s="27"/>
    </row>
    <row r="385" spans="1:84" ht="15" customHeight="1">
      <c r="A385" s="4"/>
      <c r="B385" s="142"/>
      <c r="C385" s="48" t="e">
        <f>VLOOKUP(B385,CENY!$B$11:$G$1034,2,FALSE)</f>
        <v>#N/A</v>
      </c>
      <c r="D385" s="44" t="e">
        <f>VLOOKUP(B385,CENY!$B$11:$G$1034,3,FALSE)</f>
        <v>#N/A</v>
      </c>
      <c r="E385" s="63" t="e">
        <f>IF(VLOOKUP(B385,CENY!$B$11:$G$1034,4,FALSE)=0,"",VLOOKUP(B385,CENY!$B$11:$G$1034,4,FALSE))</f>
        <v>#N/A</v>
      </c>
      <c r="F385" s="45" t="str">
        <f t="shared" si="58"/>
        <v/>
      </c>
      <c r="G385" s="59" t="e">
        <f>VLOOKUP(B385,CENY!$B$11:$M$1034,12,FALSE)</f>
        <v>#N/A</v>
      </c>
      <c r="H385" s="61" t="e">
        <f t="shared" si="61"/>
        <v>#N/A</v>
      </c>
      <c r="I385" s="46" t="str">
        <f t="shared" si="62"/>
        <v/>
      </c>
      <c r="J385" s="138"/>
      <c r="K385" s="47" t="e">
        <f>VLOOKUP(B385,CENY!$B$11:$M$1034,8,FALSE)</f>
        <v>#N/A</v>
      </c>
      <c r="L385" s="47" t="e">
        <f>VLOOKUP(B385,CENY!$B$11:$M$1034,9,FALSE)</f>
        <v>#N/A</v>
      </c>
      <c r="M385" s="55"/>
      <c r="N385" s="38">
        <f t="shared" si="63"/>
        <v>0</v>
      </c>
      <c r="O385" s="39">
        <v>0</v>
      </c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2">
        <f>'OT440'!$AY40</f>
        <v>0</v>
      </c>
      <c r="BP385" s="42"/>
      <c r="BQ385" s="42"/>
      <c r="BR385" s="42"/>
      <c r="BS385" s="42"/>
      <c r="BT385" s="42"/>
      <c r="BU385" s="42"/>
      <c r="BV385" s="42"/>
      <c r="BW385" s="41"/>
      <c r="BX385" s="43">
        <v>0</v>
      </c>
      <c r="BY385" s="35"/>
      <c r="BZ385" s="27"/>
      <c r="CA385" s="27"/>
      <c r="CB385" s="27"/>
      <c r="CC385" s="27"/>
      <c r="CD385" s="27"/>
      <c r="CE385" s="27"/>
      <c r="CF385" s="27"/>
    </row>
    <row r="386" spans="1:84" ht="15" customHeight="1">
      <c r="A386" s="4"/>
      <c r="B386" s="142"/>
      <c r="C386" s="48" t="e">
        <f>VLOOKUP(B386,CENY!$B$11:$G$1034,2,FALSE)</f>
        <v>#N/A</v>
      </c>
      <c r="D386" s="44" t="e">
        <f>VLOOKUP(B386,CENY!$B$11:$G$1034,3,FALSE)</f>
        <v>#N/A</v>
      </c>
      <c r="E386" s="63" t="e">
        <f>IF(VLOOKUP(B386,CENY!$B$11:$G$1034,4,FALSE)=0,"",VLOOKUP(B386,CENY!$B$11:$G$1034,4,FALSE))</f>
        <v>#N/A</v>
      </c>
      <c r="F386" s="45" t="str">
        <f t="shared" si="58"/>
        <v/>
      </c>
      <c r="G386" s="59" t="e">
        <f>VLOOKUP(B386,CENY!$B$11:$M$1034,12,FALSE)</f>
        <v>#N/A</v>
      </c>
      <c r="H386" s="61" t="e">
        <f t="shared" si="61"/>
        <v>#N/A</v>
      </c>
      <c r="I386" s="46" t="str">
        <f t="shared" si="62"/>
        <v/>
      </c>
      <c r="J386" s="138"/>
      <c r="K386" s="47" t="e">
        <f>VLOOKUP(B386,CENY!$B$11:$M$1034,8,FALSE)</f>
        <v>#N/A</v>
      </c>
      <c r="L386" s="47" t="e">
        <f>VLOOKUP(B386,CENY!$B$11:$M$1034,9,FALSE)</f>
        <v>#N/A</v>
      </c>
      <c r="M386" s="55"/>
      <c r="N386" s="38">
        <f t="shared" si="63"/>
        <v>0</v>
      </c>
      <c r="O386" s="39">
        <v>0</v>
      </c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2">
        <f>'OT440'!$AY41</f>
        <v>0</v>
      </c>
      <c r="BP386" s="42"/>
      <c r="BQ386" s="42"/>
      <c r="BR386" s="42"/>
      <c r="BS386" s="42"/>
      <c r="BT386" s="42"/>
      <c r="BU386" s="42"/>
      <c r="BV386" s="42"/>
      <c r="BW386" s="41"/>
      <c r="BX386" s="43">
        <v>0</v>
      </c>
      <c r="BY386" s="35"/>
      <c r="BZ386" s="27"/>
      <c r="CA386" s="27"/>
      <c r="CB386" s="27"/>
      <c r="CC386" s="27"/>
      <c r="CD386" s="27"/>
      <c r="CE386" s="27"/>
      <c r="CF386" s="27"/>
    </row>
    <row r="387" spans="1:84" ht="8.1" customHeight="1">
      <c r="A387" s="4"/>
      <c r="B387" s="142"/>
      <c r="C387" s="48"/>
      <c r="D387" s="48"/>
      <c r="E387" s="63"/>
      <c r="F387" s="67" t="str">
        <f>IF(SUM(F350:F386)=0,"",1)</f>
        <v/>
      </c>
      <c r="G387" s="59"/>
      <c r="H387" s="61"/>
      <c r="I387" s="46"/>
      <c r="J387" s="138"/>
      <c r="K387" s="47"/>
      <c r="L387" s="47"/>
      <c r="M387" s="55"/>
      <c r="N387" s="38">
        <f t="shared" si="63"/>
        <v>0</v>
      </c>
      <c r="O387" s="39">
        <v>0</v>
      </c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2"/>
      <c r="BP387" s="42"/>
      <c r="BQ387" s="42"/>
      <c r="BR387" s="42"/>
      <c r="BS387" s="42"/>
      <c r="BT387" s="42"/>
      <c r="BU387" s="42"/>
      <c r="BV387" s="42"/>
      <c r="BW387" s="41"/>
      <c r="BX387" s="43"/>
      <c r="BY387" s="35"/>
      <c r="BZ387" s="27"/>
      <c r="CA387" s="27"/>
      <c r="CB387" s="27"/>
      <c r="CC387" s="27"/>
      <c r="CD387" s="27"/>
      <c r="CE387" s="27"/>
      <c r="CF387" s="27"/>
    </row>
    <row r="388" spans="1:84" ht="15" customHeight="1">
      <c r="A388" s="4"/>
      <c r="B388" s="142"/>
      <c r="C388" s="48" t="e">
        <f>VLOOKUP(B388,CENY!$B$11:$G$1034,2,FALSE)</f>
        <v>#N/A</v>
      </c>
      <c r="D388" s="44" t="e">
        <f>VLOOKUP(B388,CENY!$B$11:$G$1034,3,FALSE)</f>
        <v>#N/A</v>
      </c>
      <c r="E388" s="63" t="e">
        <f>IF(VLOOKUP(B388,CENY!$B$11:$G$1034,4,FALSE)=0,"",VLOOKUP(B388,CENY!$B$11:$G$1034,4,FALSE))</f>
        <v>#N/A</v>
      </c>
      <c r="F388" s="45" t="str">
        <f t="shared" ref="F388:F431" si="64">IF(J388&lt;&gt;"",J388,IF(N388=0,"",N388))</f>
        <v/>
      </c>
      <c r="G388" s="59" t="e">
        <f>VLOOKUP(B388,CENY!$B$11:$M$1034,12,FALSE)</f>
        <v>#N/A</v>
      </c>
      <c r="H388" s="61" t="e">
        <f t="shared" ref="H388:H401" si="65">IF(G388="","",$H$22)</f>
        <v>#N/A</v>
      </c>
      <c r="I388" s="46" t="str">
        <f t="shared" ref="I388:I401" si="66">IF(F388="","",G388*F388)</f>
        <v/>
      </c>
      <c r="J388" s="138"/>
      <c r="K388" s="47" t="e">
        <f>VLOOKUP(B388,CENY!$B$11:$M$1034,8,FALSE)</f>
        <v>#N/A</v>
      </c>
      <c r="L388" s="47" t="e">
        <f>VLOOKUP(B388,CENY!$B$11:$M$1034,9,FALSE)</f>
        <v>#N/A</v>
      </c>
      <c r="M388" s="55"/>
      <c r="N388" s="38">
        <f t="shared" si="63"/>
        <v>0</v>
      </c>
      <c r="O388" s="39">
        <v>0</v>
      </c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2"/>
      <c r="BP388" s="42"/>
      <c r="BQ388" s="42"/>
      <c r="BR388" s="42"/>
      <c r="BS388" s="42"/>
      <c r="BT388" s="42"/>
      <c r="BU388" s="42"/>
      <c r="BV388" s="42"/>
      <c r="BW388" s="41"/>
      <c r="BX388" s="43">
        <v>0</v>
      </c>
      <c r="BY388" s="35"/>
      <c r="BZ388" s="27"/>
      <c r="CA388" s="27"/>
      <c r="CB388" s="27"/>
      <c r="CC388" s="27"/>
      <c r="CD388" s="27"/>
      <c r="CE388" s="27"/>
      <c r="CF388" s="27"/>
    </row>
    <row r="389" spans="1:84" ht="15" customHeight="1">
      <c r="A389" s="4"/>
      <c r="B389" s="44"/>
      <c r="C389" s="48" t="e">
        <f>VLOOKUP(B389,CENY!$B$11:$G$1034,2,FALSE)</f>
        <v>#N/A</v>
      </c>
      <c r="D389" s="44" t="e">
        <f>VLOOKUP(B389,CENY!$B$11:$G$1034,3,FALSE)</f>
        <v>#N/A</v>
      </c>
      <c r="E389" s="63" t="e">
        <f>IF(VLOOKUP(B389,CENY!$B$11:$G$1034,4,FALSE)=0,"",VLOOKUP(B389,CENY!$B$11:$G$1034,4,FALSE))</f>
        <v>#N/A</v>
      </c>
      <c r="F389" s="45" t="str">
        <f t="shared" si="64"/>
        <v/>
      </c>
      <c r="G389" s="59" t="e">
        <f>VLOOKUP(B389,CENY!$B$11:$M$1034,12,FALSE)</f>
        <v>#N/A</v>
      </c>
      <c r="H389" s="61" t="e">
        <f t="shared" si="65"/>
        <v>#N/A</v>
      </c>
      <c r="I389" s="46" t="str">
        <f t="shared" si="66"/>
        <v/>
      </c>
      <c r="J389" s="138"/>
      <c r="K389" s="47" t="e">
        <f>VLOOKUP(B389,CENY!$B$11:$M$1034,8,FALSE)</f>
        <v>#N/A</v>
      </c>
      <c r="L389" s="47" t="e">
        <f>VLOOKUP(B389,CENY!$B$11:$M$1034,9,FALSE)</f>
        <v>#N/A</v>
      </c>
      <c r="M389" s="55"/>
      <c r="N389" s="38">
        <f t="shared" si="63"/>
        <v>0</v>
      </c>
      <c r="O389" s="39">
        <v>0</v>
      </c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2"/>
      <c r="BP389" s="42"/>
      <c r="BQ389" s="42"/>
      <c r="BR389" s="42"/>
      <c r="BS389" s="42"/>
      <c r="BT389" s="42"/>
      <c r="BU389" s="42"/>
      <c r="BV389" s="42"/>
      <c r="BW389" s="41"/>
      <c r="BX389" s="43">
        <v>0</v>
      </c>
      <c r="BY389" s="35"/>
      <c r="BZ389" s="27"/>
      <c r="CA389" s="27"/>
      <c r="CB389" s="27"/>
      <c r="CC389" s="27"/>
      <c r="CD389" s="27"/>
      <c r="CE389" s="27"/>
      <c r="CF389" s="27"/>
    </row>
    <row r="390" spans="1:84" ht="15" customHeight="1">
      <c r="A390" s="4"/>
      <c r="B390" s="44"/>
      <c r="C390" s="48" t="e">
        <f>VLOOKUP(B390,CENY!$B$11:$G$1034,2,FALSE)</f>
        <v>#N/A</v>
      </c>
      <c r="D390" s="44" t="e">
        <f>VLOOKUP(B390,CENY!$B$11:$G$1034,3,FALSE)</f>
        <v>#N/A</v>
      </c>
      <c r="E390" s="63" t="e">
        <f>IF(VLOOKUP(B390,CENY!$B$11:$G$1034,4,FALSE)=0,"",VLOOKUP(B390,CENY!$B$11:$G$1034,4,FALSE))</f>
        <v>#N/A</v>
      </c>
      <c r="F390" s="45" t="str">
        <f t="shared" si="64"/>
        <v/>
      </c>
      <c r="G390" s="59" t="e">
        <f>VLOOKUP(B390,CENY!$B$11:$M$1034,12,FALSE)</f>
        <v>#N/A</v>
      </c>
      <c r="H390" s="61" t="e">
        <f t="shared" si="65"/>
        <v>#N/A</v>
      </c>
      <c r="I390" s="46" t="str">
        <f t="shared" si="66"/>
        <v/>
      </c>
      <c r="J390" s="138"/>
      <c r="K390" s="47" t="e">
        <f>VLOOKUP(B390,CENY!$B$11:$M$1034,8,FALSE)</f>
        <v>#N/A</v>
      </c>
      <c r="L390" s="47" t="e">
        <f>VLOOKUP(B390,CENY!$B$11:$M$1034,9,FALSE)</f>
        <v>#N/A</v>
      </c>
      <c r="M390" s="55"/>
      <c r="N390" s="38">
        <f t="shared" si="63"/>
        <v>0</v>
      </c>
      <c r="O390" s="39">
        <v>0</v>
      </c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2"/>
      <c r="BP390" s="42"/>
      <c r="BQ390" s="42"/>
      <c r="BR390" s="42"/>
      <c r="BS390" s="42"/>
      <c r="BT390" s="42"/>
      <c r="BU390" s="42"/>
      <c r="BV390" s="42"/>
      <c r="BW390" s="41"/>
      <c r="BX390" s="43">
        <v>0</v>
      </c>
      <c r="BY390" s="35"/>
      <c r="BZ390" s="27"/>
      <c r="CA390" s="27"/>
      <c r="CB390" s="27"/>
      <c r="CC390" s="27"/>
      <c r="CD390" s="27"/>
      <c r="CE390" s="27"/>
      <c r="CF390" s="27"/>
    </row>
    <row r="391" spans="1:84" ht="15" customHeight="1">
      <c r="A391" s="4"/>
      <c r="B391" s="44"/>
      <c r="C391" s="48" t="e">
        <f>VLOOKUP(B391,CENY!$B$11:$G$1034,2,FALSE)</f>
        <v>#N/A</v>
      </c>
      <c r="D391" s="44" t="e">
        <f>VLOOKUP(B391,CENY!$B$11:$G$1034,3,FALSE)</f>
        <v>#N/A</v>
      </c>
      <c r="E391" s="63" t="e">
        <f>IF(VLOOKUP(B391,CENY!$B$11:$G$1034,4,FALSE)=0,"",VLOOKUP(B391,CENY!$B$11:$G$1034,4,FALSE))</f>
        <v>#N/A</v>
      </c>
      <c r="F391" s="45" t="str">
        <f t="shared" si="64"/>
        <v/>
      </c>
      <c r="G391" s="59" t="e">
        <f>VLOOKUP(B391,CENY!$B$11:$M$1034,12,FALSE)</f>
        <v>#N/A</v>
      </c>
      <c r="H391" s="61" t="e">
        <f t="shared" si="65"/>
        <v>#N/A</v>
      </c>
      <c r="I391" s="46" t="str">
        <f t="shared" si="66"/>
        <v/>
      </c>
      <c r="J391" s="138"/>
      <c r="K391" s="47" t="e">
        <f>VLOOKUP(B391,CENY!$B$11:$M$1034,8,FALSE)</f>
        <v>#N/A</v>
      </c>
      <c r="L391" s="47" t="e">
        <f>VLOOKUP(B391,CENY!$B$11:$M$1034,9,FALSE)</f>
        <v>#N/A</v>
      </c>
      <c r="M391" s="55"/>
      <c r="N391" s="38">
        <f t="shared" si="63"/>
        <v>0</v>
      </c>
      <c r="O391" s="39">
        <v>0</v>
      </c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2"/>
      <c r="BP391" s="42"/>
      <c r="BQ391" s="42"/>
      <c r="BR391" s="42"/>
      <c r="BS391" s="42"/>
      <c r="BT391" s="42"/>
      <c r="BU391" s="42"/>
      <c r="BV391" s="42"/>
      <c r="BW391" s="41"/>
      <c r="BX391" s="43">
        <v>0</v>
      </c>
      <c r="BY391" s="35"/>
      <c r="BZ391" s="27"/>
      <c r="CA391" s="27"/>
      <c r="CB391" s="27"/>
      <c r="CC391" s="27"/>
      <c r="CD391" s="27"/>
      <c r="CE391" s="27"/>
      <c r="CF391" s="27"/>
    </row>
    <row r="392" spans="1:84" ht="15" customHeight="1">
      <c r="A392" s="4"/>
      <c r="B392" s="44"/>
      <c r="C392" s="48" t="e">
        <f>VLOOKUP(B392,CENY!$B$11:$G$1034,2,FALSE)</f>
        <v>#N/A</v>
      </c>
      <c r="D392" s="44" t="e">
        <f>VLOOKUP(B392,CENY!$B$11:$G$1034,3,FALSE)</f>
        <v>#N/A</v>
      </c>
      <c r="E392" s="63" t="e">
        <f>IF(VLOOKUP(B392,CENY!$B$11:$G$1034,4,FALSE)=0,"",VLOOKUP(B392,CENY!$B$11:$G$1034,4,FALSE))</f>
        <v>#N/A</v>
      </c>
      <c r="F392" s="45" t="str">
        <f t="shared" si="64"/>
        <v/>
      </c>
      <c r="G392" s="59" t="e">
        <f>VLOOKUP(B392,CENY!$B$11:$M$1034,12,FALSE)</f>
        <v>#N/A</v>
      </c>
      <c r="H392" s="61" t="e">
        <f t="shared" si="65"/>
        <v>#N/A</v>
      </c>
      <c r="I392" s="46" t="str">
        <f t="shared" si="66"/>
        <v/>
      </c>
      <c r="J392" s="138"/>
      <c r="K392" s="47" t="e">
        <f>VLOOKUP(B392,CENY!$B$11:$M$1034,8,FALSE)</f>
        <v>#N/A</v>
      </c>
      <c r="L392" s="47" t="e">
        <f>VLOOKUP(B392,CENY!$B$11:$M$1034,9,FALSE)</f>
        <v>#N/A</v>
      </c>
      <c r="M392" s="55"/>
      <c r="N392" s="38">
        <f t="shared" si="63"/>
        <v>0</v>
      </c>
      <c r="O392" s="39">
        <v>0</v>
      </c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2"/>
      <c r="BP392" s="42"/>
      <c r="BQ392" s="42"/>
      <c r="BR392" s="42"/>
      <c r="BS392" s="42"/>
      <c r="BT392" s="42"/>
      <c r="BU392" s="42"/>
      <c r="BV392" s="42"/>
      <c r="BW392" s="41"/>
      <c r="BX392" s="43">
        <v>0</v>
      </c>
      <c r="BY392" s="35"/>
      <c r="BZ392" s="27"/>
      <c r="CA392" s="27"/>
      <c r="CB392" s="27"/>
      <c r="CC392" s="27"/>
      <c r="CD392" s="27"/>
      <c r="CE392" s="27"/>
      <c r="CF392" s="27"/>
    </row>
    <row r="393" spans="1:84" ht="15" customHeight="1">
      <c r="A393" s="4"/>
      <c r="B393" s="44"/>
      <c r="C393" s="48" t="e">
        <f>VLOOKUP(B393,CENY!$B$11:$G$1034,2,FALSE)</f>
        <v>#N/A</v>
      </c>
      <c r="D393" s="44" t="e">
        <f>VLOOKUP(B393,CENY!$B$11:$G$1034,3,FALSE)</f>
        <v>#N/A</v>
      </c>
      <c r="E393" s="63" t="e">
        <f>IF(VLOOKUP(B393,CENY!$B$11:$G$1034,4,FALSE)=0,"",VLOOKUP(B393,CENY!$B$11:$G$1034,4,FALSE))</f>
        <v>#N/A</v>
      </c>
      <c r="F393" s="45" t="str">
        <f t="shared" si="64"/>
        <v/>
      </c>
      <c r="G393" s="59" t="e">
        <f>VLOOKUP(B393,CENY!$B$11:$M$1034,12,FALSE)</f>
        <v>#N/A</v>
      </c>
      <c r="H393" s="61" t="e">
        <f t="shared" si="65"/>
        <v>#N/A</v>
      </c>
      <c r="I393" s="46" t="str">
        <f t="shared" si="66"/>
        <v/>
      </c>
      <c r="J393" s="138"/>
      <c r="K393" s="47" t="e">
        <f>VLOOKUP(B393,CENY!$B$11:$M$1034,8,FALSE)</f>
        <v>#N/A</v>
      </c>
      <c r="L393" s="47" t="e">
        <f>VLOOKUP(B393,CENY!$B$11:$M$1034,9,FALSE)</f>
        <v>#N/A</v>
      </c>
      <c r="M393" s="55"/>
      <c r="N393" s="38">
        <f t="shared" si="63"/>
        <v>0</v>
      </c>
      <c r="O393" s="39">
        <v>0</v>
      </c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2"/>
      <c r="BP393" s="42"/>
      <c r="BQ393" s="42"/>
      <c r="BR393" s="42"/>
      <c r="BS393" s="42"/>
      <c r="BT393" s="42"/>
      <c r="BU393" s="42"/>
      <c r="BV393" s="42"/>
      <c r="BW393" s="41"/>
      <c r="BX393" s="43">
        <v>0</v>
      </c>
      <c r="BY393" s="35"/>
      <c r="BZ393" s="27"/>
      <c r="CA393" s="27"/>
      <c r="CB393" s="27"/>
      <c r="CC393" s="27"/>
      <c r="CD393" s="27"/>
      <c r="CE393" s="27"/>
      <c r="CF393" s="27"/>
    </row>
    <row r="394" spans="1:84" ht="15" customHeight="1">
      <c r="A394" s="4"/>
      <c r="B394" s="44"/>
      <c r="C394" s="48" t="e">
        <f>VLOOKUP(B394,CENY!$B$11:$G$1034,2,FALSE)</f>
        <v>#N/A</v>
      </c>
      <c r="D394" s="44" t="e">
        <f>VLOOKUP(B394,CENY!$B$11:$G$1034,3,FALSE)</f>
        <v>#N/A</v>
      </c>
      <c r="E394" s="63" t="e">
        <f>IF(VLOOKUP(B394,CENY!$B$11:$G$1034,4,FALSE)=0,"",VLOOKUP(B394,CENY!$B$11:$G$1034,4,FALSE))</f>
        <v>#N/A</v>
      </c>
      <c r="F394" s="45" t="str">
        <f t="shared" si="64"/>
        <v/>
      </c>
      <c r="G394" s="59" t="e">
        <f>VLOOKUP(B394,CENY!$B$11:$M$1034,12,FALSE)</f>
        <v>#N/A</v>
      </c>
      <c r="H394" s="61" t="e">
        <f t="shared" si="65"/>
        <v>#N/A</v>
      </c>
      <c r="I394" s="46" t="str">
        <f t="shared" si="66"/>
        <v/>
      </c>
      <c r="J394" s="138"/>
      <c r="K394" s="47" t="e">
        <f>VLOOKUP(B394,CENY!$B$11:$M$1034,8,FALSE)</f>
        <v>#N/A</v>
      </c>
      <c r="L394" s="47" t="e">
        <f>VLOOKUP(B394,CENY!$B$11:$M$1034,9,FALSE)</f>
        <v>#N/A</v>
      </c>
      <c r="M394" s="55"/>
      <c r="N394" s="38">
        <f t="shared" si="63"/>
        <v>0</v>
      </c>
      <c r="O394" s="39">
        <v>0</v>
      </c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2"/>
      <c r="BP394" s="42"/>
      <c r="BQ394" s="42"/>
      <c r="BR394" s="42"/>
      <c r="BS394" s="42"/>
      <c r="BT394" s="42"/>
      <c r="BU394" s="42"/>
      <c r="BV394" s="42"/>
      <c r="BW394" s="41"/>
      <c r="BX394" s="43">
        <v>0</v>
      </c>
      <c r="BY394" s="35"/>
      <c r="BZ394" s="27"/>
      <c r="CA394" s="27"/>
      <c r="CB394" s="27"/>
      <c r="CC394" s="27"/>
      <c r="CD394" s="27"/>
      <c r="CE394" s="27"/>
      <c r="CF394" s="27"/>
    </row>
    <row r="395" spans="1:84" ht="15" customHeight="1">
      <c r="A395" s="4"/>
      <c r="B395" s="44"/>
      <c r="C395" s="48" t="e">
        <f>VLOOKUP(B395,CENY!$B$11:$G$1034,2,FALSE)</f>
        <v>#N/A</v>
      </c>
      <c r="D395" s="44" t="e">
        <f>VLOOKUP(B395,CENY!$B$11:$G$1034,3,FALSE)</f>
        <v>#N/A</v>
      </c>
      <c r="E395" s="63" t="e">
        <f>IF(VLOOKUP(B395,CENY!$B$11:$G$1034,4,FALSE)=0,"",VLOOKUP(B395,CENY!$B$11:$G$1034,4,FALSE))</f>
        <v>#N/A</v>
      </c>
      <c r="F395" s="45" t="str">
        <f t="shared" si="64"/>
        <v/>
      </c>
      <c r="G395" s="59" t="e">
        <f>VLOOKUP(B395,CENY!$B$11:$M$1034,12,FALSE)</f>
        <v>#N/A</v>
      </c>
      <c r="H395" s="61" t="e">
        <f t="shared" si="65"/>
        <v>#N/A</v>
      </c>
      <c r="I395" s="46" t="str">
        <f t="shared" si="66"/>
        <v/>
      </c>
      <c r="J395" s="138"/>
      <c r="K395" s="47" t="e">
        <f>VLOOKUP(B395,CENY!$B$11:$M$1034,8,FALSE)</f>
        <v>#N/A</v>
      </c>
      <c r="L395" s="47" t="e">
        <f>VLOOKUP(B395,CENY!$B$11:$M$1034,9,FALSE)</f>
        <v>#N/A</v>
      </c>
      <c r="M395" s="55"/>
      <c r="N395" s="38">
        <f t="shared" si="63"/>
        <v>0</v>
      </c>
      <c r="O395" s="39">
        <v>0</v>
      </c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2"/>
      <c r="BP395" s="42"/>
      <c r="BQ395" s="42"/>
      <c r="BR395" s="42"/>
      <c r="BS395" s="42"/>
      <c r="BT395" s="42"/>
      <c r="BU395" s="42"/>
      <c r="BV395" s="42"/>
      <c r="BW395" s="41"/>
      <c r="BX395" s="43">
        <v>0</v>
      </c>
      <c r="BY395" s="35"/>
      <c r="BZ395" s="27"/>
      <c r="CA395" s="27"/>
      <c r="CB395" s="27"/>
      <c r="CC395" s="27"/>
      <c r="CD395" s="27"/>
      <c r="CE395" s="27"/>
      <c r="CF395" s="27"/>
    </row>
    <row r="396" spans="1:84" ht="15" customHeight="1">
      <c r="A396" s="4"/>
      <c r="B396" s="44"/>
      <c r="C396" s="48" t="e">
        <f>VLOOKUP(B396,CENY!$B$11:$G$1034,2,FALSE)</f>
        <v>#N/A</v>
      </c>
      <c r="D396" s="44" t="e">
        <f>VLOOKUP(B396,CENY!$B$11:$G$1034,3,FALSE)</f>
        <v>#N/A</v>
      </c>
      <c r="E396" s="63" t="e">
        <f>IF(VLOOKUP(B396,CENY!$B$11:$G$1034,4,FALSE)=0,"",VLOOKUP(B396,CENY!$B$11:$G$1034,4,FALSE))</f>
        <v>#N/A</v>
      </c>
      <c r="F396" s="45" t="str">
        <f t="shared" si="64"/>
        <v/>
      </c>
      <c r="G396" s="59" t="e">
        <f>VLOOKUP(B396,CENY!$B$11:$M$1034,12,FALSE)</f>
        <v>#N/A</v>
      </c>
      <c r="H396" s="61" t="e">
        <f t="shared" si="65"/>
        <v>#N/A</v>
      </c>
      <c r="I396" s="46" t="str">
        <f t="shared" si="66"/>
        <v/>
      </c>
      <c r="J396" s="138"/>
      <c r="K396" s="47" t="e">
        <f>VLOOKUP(B396,CENY!$B$11:$M$1034,8,FALSE)</f>
        <v>#N/A</v>
      </c>
      <c r="L396" s="47" t="e">
        <f>VLOOKUP(B396,CENY!$B$11:$M$1034,9,FALSE)</f>
        <v>#N/A</v>
      </c>
      <c r="M396" s="55"/>
      <c r="N396" s="38">
        <f t="shared" si="63"/>
        <v>0</v>
      </c>
      <c r="O396" s="39">
        <v>0</v>
      </c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2"/>
      <c r="BP396" s="42"/>
      <c r="BQ396" s="42"/>
      <c r="BR396" s="42"/>
      <c r="BS396" s="42"/>
      <c r="BT396" s="42"/>
      <c r="BU396" s="42"/>
      <c r="BV396" s="42"/>
      <c r="BW396" s="41"/>
      <c r="BX396" s="43">
        <v>0</v>
      </c>
      <c r="BY396" s="35"/>
      <c r="BZ396" s="27"/>
      <c r="CA396" s="27"/>
      <c r="CB396" s="27"/>
      <c r="CC396" s="27"/>
      <c r="CD396" s="27"/>
      <c r="CE396" s="27"/>
      <c r="CF396" s="27"/>
    </row>
    <row r="397" spans="1:84" ht="15" customHeight="1">
      <c r="A397" s="4"/>
      <c r="B397" s="44"/>
      <c r="C397" s="48" t="e">
        <f>VLOOKUP(B397,CENY!$B$11:$G$1034,2,FALSE)</f>
        <v>#N/A</v>
      </c>
      <c r="D397" s="44" t="e">
        <f>VLOOKUP(B397,CENY!$B$11:$G$1034,3,FALSE)</f>
        <v>#N/A</v>
      </c>
      <c r="E397" s="63" t="e">
        <f>IF(VLOOKUP(B397,CENY!$B$11:$G$1034,4,FALSE)=0,"",VLOOKUP(B397,CENY!$B$11:$G$1034,4,FALSE))</f>
        <v>#N/A</v>
      </c>
      <c r="F397" s="45" t="str">
        <f t="shared" si="64"/>
        <v/>
      </c>
      <c r="G397" s="59" t="e">
        <f>VLOOKUP(B397,CENY!$B$11:$M$1034,12,FALSE)</f>
        <v>#N/A</v>
      </c>
      <c r="H397" s="61" t="e">
        <f t="shared" si="65"/>
        <v>#N/A</v>
      </c>
      <c r="I397" s="46" t="str">
        <f t="shared" si="66"/>
        <v/>
      </c>
      <c r="J397" s="138"/>
      <c r="K397" s="47" t="e">
        <f>VLOOKUP(B397,CENY!$B$11:$M$1034,8,FALSE)</f>
        <v>#N/A</v>
      </c>
      <c r="L397" s="47" t="e">
        <f>VLOOKUP(B397,CENY!$B$11:$M$1034,9,FALSE)</f>
        <v>#N/A</v>
      </c>
      <c r="M397" s="55"/>
      <c r="N397" s="38">
        <f t="shared" si="63"/>
        <v>0</v>
      </c>
      <c r="O397" s="39">
        <v>0</v>
      </c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2"/>
      <c r="BP397" s="42"/>
      <c r="BQ397" s="42"/>
      <c r="BR397" s="42"/>
      <c r="BS397" s="42"/>
      <c r="BT397" s="42"/>
      <c r="BU397" s="42"/>
      <c r="BV397" s="42"/>
      <c r="BW397" s="40"/>
      <c r="BX397" s="43">
        <v>0</v>
      </c>
      <c r="BY397" s="35"/>
      <c r="BZ397" s="27"/>
      <c r="CA397" s="27"/>
      <c r="CB397" s="27"/>
      <c r="CC397" s="27"/>
      <c r="CD397" s="27"/>
      <c r="CE397" s="27"/>
      <c r="CF397" s="27"/>
    </row>
    <row r="398" spans="1:84" ht="15" customHeight="1">
      <c r="A398" s="4"/>
      <c r="B398" s="44"/>
      <c r="C398" s="48" t="e">
        <f>VLOOKUP(B398,CENY!$B$11:$G$1034,2,FALSE)</f>
        <v>#N/A</v>
      </c>
      <c r="D398" s="44" t="e">
        <f>VLOOKUP(B398,CENY!$B$11:$G$1034,3,FALSE)</f>
        <v>#N/A</v>
      </c>
      <c r="E398" s="63" t="e">
        <f>IF(VLOOKUP(B398,CENY!$B$11:$G$1034,4,FALSE)=0,"",VLOOKUP(B398,CENY!$B$11:$G$1034,4,FALSE))</f>
        <v>#N/A</v>
      </c>
      <c r="F398" s="45" t="str">
        <f t="shared" si="64"/>
        <v/>
      </c>
      <c r="G398" s="59" t="e">
        <f>VLOOKUP(B398,CENY!$B$11:$M$1034,12,FALSE)</f>
        <v>#N/A</v>
      </c>
      <c r="H398" s="61" t="e">
        <f t="shared" si="65"/>
        <v>#N/A</v>
      </c>
      <c r="I398" s="46" t="str">
        <f t="shared" si="66"/>
        <v/>
      </c>
      <c r="J398" s="138"/>
      <c r="K398" s="47" t="e">
        <f>VLOOKUP(B398,CENY!$B$11:$M$1034,8,FALSE)</f>
        <v>#N/A</v>
      </c>
      <c r="L398" s="47" t="e">
        <f>VLOOKUP(B398,CENY!$B$11:$M$1034,9,FALSE)</f>
        <v>#N/A</v>
      </c>
      <c r="M398" s="55"/>
      <c r="N398" s="38">
        <f t="shared" si="63"/>
        <v>0</v>
      </c>
      <c r="O398" s="39">
        <v>0</v>
      </c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2"/>
      <c r="BP398" s="42"/>
      <c r="BQ398" s="42"/>
      <c r="BR398" s="42"/>
      <c r="BS398" s="42"/>
      <c r="BT398" s="42"/>
      <c r="BU398" s="42"/>
      <c r="BV398" s="42"/>
      <c r="BW398" s="40">
        <v>0</v>
      </c>
      <c r="BX398" s="43">
        <v>0</v>
      </c>
      <c r="BY398" s="35"/>
      <c r="BZ398" s="27"/>
      <c r="CA398" s="27"/>
      <c r="CB398" s="27"/>
      <c r="CC398" s="27"/>
      <c r="CD398" s="27"/>
      <c r="CE398" s="27"/>
      <c r="CF398" s="27"/>
    </row>
    <row r="399" spans="1:84" ht="15" customHeight="1">
      <c r="A399" s="4"/>
      <c r="B399" s="44"/>
      <c r="C399" s="48" t="e">
        <f>VLOOKUP(B399,CENY!$B$11:$G$1034,2,FALSE)</f>
        <v>#N/A</v>
      </c>
      <c r="D399" s="44" t="e">
        <f>VLOOKUP(B399,CENY!$B$11:$G$1034,3,FALSE)</f>
        <v>#N/A</v>
      </c>
      <c r="E399" s="63" t="e">
        <f>IF(VLOOKUP(B399,CENY!$B$11:$G$1034,4,FALSE)=0,"",VLOOKUP(B399,CENY!$B$11:$G$1034,4,FALSE))</f>
        <v>#N/A</v>
      </c>
      <c r="F399" s="45" t="str">
        <f t="shared" si="64"/>
        <v/>
      </c>
      <c r="G399" s="59" t="e">
        <f>VLOOKUP(B399,CENY!$B$11:$M$1034,12,FALSE)</f>
        <v>#N/A</v>
      </c>
      <c r="H399" s="61" t="e">
        <f t="shared" si="65"/>
        <v>#N/A</v>
      </c>
      <c r="I399" s="46" t="str">
        <f t="shared" si="66"/>
        <v/>
      </c>
      <c r="J399" s="138"/>
      <c r="K399" s="47" t="e">
        <f>VLOOKUP(B399,CENY!$B$11:$M$1034,8,FALSE)</f>
        <v>#N/A</v>
      </c>
      <c r="L399" s="47" t="e">
        <f>VLOOKUP(B399,CENY!$B$11:$M$1034,9,FALSE)</f>
        <v>#N/A</v>
      </c>
      <c r="M399" s="55"/>
      <c r="N399" s="38">
        <f t="shared" si="63"/>
        <v>0</v>
      </c>
      <c r="O399" s="39">
        <v>0</v>
      </c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1"/>
      <c r="BJ399" s="41"/>
      <c r="BK399" s="41"/>
      <c r="BL399" s="41"/>
      <c r="BM399" s="41"/>
      <c r="BN399" s="41"/>
      <c r="BO399" s="42"/>
      <c r="BP399" s="42"/>
      <c r="BQ399" s="42"/>
      <c r="BR399" s="42"/>
      <c r="BS399" s="42"/>
      <c r="BT399" s="42"/>
      <c r="BU399" s="42"/>
      <c r="BV399" s="42"/>
      <c r="BW399" s="40"/>
      <c r="BX399" s="43">
        <v>0</v>
      </c>
      <c r="BY399" s="35"/>
      <c r="BZ399" s="27"/>
      <c r="CA399" s="27"/>
      <c r="CB399" s="27"/>
      <c r="CC399" s="27"/>
      <c r="CD399" s="27"/>
      <c r="CE399" s="27"/>
      <c r="CF399" s="27"/>
    </row>
    <row r="400" spans="1:84" ht="15" customHeight="1">
      <c r="A400" s="4"/>
      <c r="B400" s="44"/>
      <c r="C400" s="48" t="e">
        <f>VLOOKUP(B400,CENY!$B$11:$G$1034,2,FALSE)</f>
        <v>#N/A</v>
      </c>
      <c r="D400" s="44" t="e">
        <f>VLOOKUP(B400,CENY!$B$11:$G$1034,3,FALSE)</f>
        <v>#N/A</v>
      </c>
      <c r="E400" s="63" t="e">
        <f>IF(VLOOKUP(B400,CENY!$B$11:$G$1034,4,FALSE)=0,"",VLOOKUP(B400,CENY!$B$11:$G$1034,4,FALSE))</f>
        <v>#N/A</v>
      </c>
      <c r="F400" s="45" t="str">
        <f t="shared" si="64"/>
        <v/>
      </c>
      <c r="G400" s="59" t="e">
        <f>VLOOKUP(B400,CENY!$B$11:$M$1034,12,FALSE)</f>
        <v>#N/A</v>
      </c>
      <c r="H400" s="61" t="e">
        <f t="shared" si="65"/>
        <v>#N/A</v>
      </c>
      <c r="I400" s="46" t="str">
        <f t="shared" si="66"/>
        <v/>
      </c>
      <c r="J400" s="138"/>
      <c r="K400" s="47" t="e">
        <f>VLOOKUP(B400,CENY!$B$11:$M$1034,8,FALSE)</f>
        <v>#N/A</v>
      </c>
      <c r="L400" s="47" t="e">
        <f>VLOOKUP(B400,CENY!$B$11:$M$1034,9,FALSE)</f>
        <v>#N/A</v>
      </c>
      <c r="M400" s="55"/>
      <c r="N400" s="38">
        <f t="shared" si="63"/>
        <v>0</v>
      </c>
      <c r="O400" s="39">
        <v>0</v>
      </c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1"/>
      <c r="BJ400" s="41"/>
      <c r="BK400" s="41"/>
      <c r="BL400" s="41"/>
      <c r="BM400" s="41"/>
      <c r="BN400" s="41"/>
      <c r="BO400" s="42"/>
      <c r="BP400" s="42"/>
      <c r="BQ400" s="42"/>
      <c r="BR400" s="42"/>
      <c r="BS400" s="42"/>
      <c r="BT400" s="42"/>
      <c r="BU400" s="42"/>
      <c r="BV400" s="42"/>
      <c r="BW400" s="40">
        <v>0</v>
      </c>
      <c r="BX400" s="43">
        <v>0</v>
      </c>
      <c r="BY400" s="35"/>
      <c r="BZ400" s="27"/>
      <c r="CA400" s="27"/>
      <c r="CB400" s="27"/>
      <c r="CC400" s="27"/>
      <c r="CD400" s="27"/>
      <c r="CE400" s="27"/>
      <c r="CF400" s="27"/>
    </row>
    <row r="401" spans="1:84" ht="15" customHeight="1">
      <c r="A401" s="4"/>
      <c r="B401" s="44"/>
      <c r="C401" s="48" t="e">
        <f>VLOOKUP(B401,CENY!$B$11:$G$1034,2,FALSE)</f>
        <v>#N/A</v>
      </c>
      <c r="D401" s="44" t="e">
        <f>VLOOKUP(B401,CENY!$B$11:$G$1034,3,FALSE)</f>
        <v>#N/A</v>
      </c>
      <c r="E401" s="63" t="e">
        <f>IF(VLOOKUP(B401,CENY!$B$11:$G$1034,4,FALSE)=0,"",VLOOKUP(B401,CENY!$B$11:$G$1034,4,FALSE))</f>
        <v>#N/A</v>
      </c>
      <c r="F401" s="45" t="str">
        <f t="shared" si="64"/>
        <v/>
      </c>
      <c r="G401" s="59" t="e">
        <f>VLOOKUP(B401,CENY!$B$11:$M$1034,12,FALSE)</f>
        <v>#N/A</v>
      </c>
      <c r="H401" s="61" t="e">
        <f t="shared" si="65"/>
        <v>#N/A</v>
      </c>
      <c r="I401" s="46" t="str">
        <f t="shared" si="66"/>
        <v/>
      </c>
      <c r="J401" s="138"/>
      <c r="K401" s="47" t="e">
        <f>VLOOKUP(B401,CENY!$B$11:$M$1034,8,FALSE)</f>
        <v>#N/A</v>
      </c>
      <c r="L401" s="47" t="e">
        <f>VLOOKUP(B401,CENY!$B$11:$M$1034,9,FALSE)</f>
        <v>#N/A</v>
      </c>
      <c r="M401" s="55"/>
      <c r="N401" s="38">
        <f t="shared" si="63"/>
        <v>0</v>
      </c>
      <c r="O401" s="39">
        <v>0</v>
      </c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1"/>
      <c r="BJ401" s="41"/>
      <c r="BK401" s="41"/>
      <c r="BL401" s="41"/>
      <c r="BM401" s="41"/>
      <c r="BN401" s="41"/>
      <c r="BO401" s="42"/>
      <c r="BP401" s="42"/>
      <c r="BQ401" s="42"/>
      <c r="BR401" s="42"/>
      <c r="BS401" s="42"/>
      <c r="BT401" s="42"/>
      <c r="BU401" s="42"/>
      <c r="BV401" s="42"/>
      <c r="BW401" s="40"/>
      <c r="BX401" s="43">
        <v>0</v>
      </c>
      <c r="BY401" s="35"/>
      <c r="BZ401" s="27"/>
      <c r="CA401" s="27"/>
      <c r="CB401" s="27"/>
      <c r="CC401" s="27"/>
      <c r="CD401" s="27"/>
      <c r="CE401" s="27"/>
      <c r="CF401" s="27"/>
    </row>
    <row r="402" spans="1:84" ht="15" customHeight="1">
      <c r="A402" s="4"/>
      <c r="B402" s="44"/>
      <c r="C402" s="48" t="e">
        <f>VLOOKUP(B402,CENY!$B$11:$G$1034,2,FALSE)</f>
        <v>#N/A</v>
      </c>
      <c r="D402" s="44" t="e">
        <f>VLOOKUP(B402,CENY!$B$11:$G$1034,3,FALSE)</f>
        <v>#N/A</v>
      </c>
      <c r="E402" s="63" t="e">
        <f>IF(VLOOKUP(B402,CENY!$B$11:$G$1034,4,FALSE)=0,"",VLOOKUP(B402,CENY!$B$11:$G$1034,4,FALSE))</f>
        <v>#N/A</v>
      </c>
      <c r="F402" s="45" t="str">
        <f t="shared" si="64"/>
        <v/>
      </c>
      <c r="G402" s="59" t="e">
        <f>VLOOKUP(B402,CENY!$B$11:$M$1034,12,FALSE)</f>
        <v>#N/A</v>
      </c>
      <c r="H402" s="61" t="e">
        <f t="shared" ref="H402:H437" si="67">IF(G402="","",$H$22)</f>
        <v>#N/A</v>
      </c>
      <c r="I402" s="46" t="str">
        <f t="shared" ref="I402:I437" si="68">IF(F402="","",G402*F402)</f>
        <v/>
      </c>
      <c r="J402" s="138"/>
      <c r="K402" s="47" t="e">
        <f>VLOOKUP(B402,CENY!$B$11:$M$1034,8,FALSE)</f>
        <v>#N/A</v>
      </c>
      <c r="L402" s="47" t="e">
        <f>VLOOKUP(B402,CENY!$B$11:$M$1034,9,FALSE)</f>
        <v>#N/A</v>
      </c>
      <c r="M402" s="55"/>
      <c r="N402" s="38">
        <f t="shared" si="63"/>
        <v>0</v>
      </c>
      <c r="O402" s="39">
        <v>0</v>
      </c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1"/>
      <c r="BJ402" s="41"/>
      <c r="BK402" s="41"/>
      <c r="BL402" s="41"/>
      <c r="BM402" s="41"/>
      <c r="BN402" s="41"/>
      <c r="BO402" s="42"/>
      <c r="BP402" s="42"/>
      <c r="BQ402" s="42"/>
      <c r="BR402" s="42"/>
      <c r="BS402" s="42"/>
      <c r="BT402" s="42"/>
      <c r="BU402" s="42"/>
      <c r="BV402" s="42"/>
      <c r="BW402" s="40">
        <v>0</v>
      </c>
      <c r="BX402" s="43">
        <v>0</v>
      </c>
      <c r="BY402" s="35"/>
      <c r="BZ402" s="27"/>
      <c r="CA402" s="27"/>
      <c r="CB402" s="27"/>
      <c r="CC402" s="27"/>
      <c r="CD402" s="27"/>
      <c r="CE402" s="27"/>
      <c r="CF402" s="27"/>
    </row>
    <row r="403" spans="1:84" ht="15" customHeight="1">
      <c r="A403" s="4"/>
      <c r="B403" s="44"/>
      <c r="C403" s="48" t="e">
        <f>VLOOKUP(B403,CENY!$B$11:$G$1034,2,FALSE)</f>
        <v>#N/A</v>
      </c>
      <c r="D403" s="44" t="e">
        <f>VLOOKUP(B403,CENY!$B$11:$G$1034,3,FALSE)</f>
        <v>#N/A</v>
      </c>
      <c r="E403" s="63" t="e">
        <f>IF(VLOOKUP(B403,CENY!$B$11:$G$1034,4,FALSE)=0,"",VLOOKUP(B403,CENY!$B$11:$G$1034,4,FALSE))</f>
        <v>#N/A</v>
      </c>
      <c r="F403" s="45" t="str">
        <f t="shared" si="64"/>
        <v/>
      </c>
      <c r="G403" s="59" t="e">
        <f>VLOOKUP(B403,CENY!$B$11:$M$1034,12,FALSE)</f>
        <v>#N/A</v>
      </c>
      <c r="H403" s="61" t="e">
        <f t="shared" si="67"/>
        <v>#N/A</v>
      </c>
      <c r="I403" s="46" t="str">
        <f t="shared" si="68"/>
        <v/>
      </c>
      <c r="J403" s="138"/>
      <c r="K403" s="47" t="e">
        <f>VLOOKUP(B403,CENY!$B$11:$M$1034,8,FALSE)</f>
        <v>#N/A</v>
      </c>
      <c r="L403" s="47" t="e">
        <f>VLOOKUP(B403,CENY!$B$11:$M$1034,9,FALSE)</f>
        <v>#N/A</v>
      </c>
      <c r="M403" s="55"/>
      <c r="N403" s="38">
        <f t="shared" si="63"/>
        <v>0</v>
      </c>
      <c r="O403" s="39">
        <v>0</v>
      </c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1"/>
      <c r="BJ403" s="41"/>
      <c r="BK403" s="41"/>
      <c r="BL403" s="41"/>
      <c r="BM403" s="41"/>
      <c r="BN403" s="41"/>
      <c r="BO403" s="42"/>
      <c r="BP403" s="42"/>
      <c r="BQ403" s="42"/>
      <c r="BR403" s="42"/>
      <c r="BS403" s="42"/>
      <c r="BT403" s="42"/>
      <c r="BU403" s="42"/>
      <c r="BV403" s="42"/>
      <c r="BW403" s="40"/>
      <c r="BX403" s="43">
        <v>0</v>
      </c>
      <c r="BY403" s="35"/>
      <c r="BZ403" s="27"/>
      <c r="CA403" s="27"/>
      <c r="CB403" s="27"/>
      <c r="CC403" s="27"/>
      <c r="CD403" s="27"/>
      <c r="CE403" s="27"/>
      <c r="CF403" s="27"/>
    </row>
    <row r="404" spans="1:84" ht="15" customHeight="1">
      <c r="A404" s="4"/>
      <c r="B404" s="44"/>
      <c r="C404" s="48" t="e">
        <f>VLOOKUP(B404,CENY!$B$11:$G$1034,2,FALSE)</f>
        <v>#N/A</v>
      </c>
      <c r="D404" s="44" t="e">
        <f>VLOOKUP(B404,CENY!$B$11:$G$1034,3,FALSE)</f>
        <v>#N/A</v>
      </c>
      <c r="E404" s="63" t="e">
        <f>IF(VLOOKUP(B404,CENY!$B$11:$G$1034,4,FALSE)=0,"",VLOOKUP(B404,CENY!$B$11:$G$1034,4,FALSE))</f>
        <v>#N/A</v>
      </c>
      <c r="F404" s="45" t="str">
        <f t="shared" si="64"/>
        <v/>
      </c>
      <c r="G404" s="59" t="e">
        <f>VLOOKUP(B404,CENY!$B$11:$M$1034,12,FALSE)</f>
        <v>#N/A</v>
      </c>
      <c r="H404" s="61" t="e">
        <f t="shared" si="67"/>
        <v>#N/A</v>
      </c>
      <c r="I404" s="46" t="str">
        <f t="shared" si="68"/>
        <v/>
      </c>
      <c r="J404" s="138"/>
      <c r="K404" s="47" t="e">
        <f>VLOOKUP(B404,CENY!$B$11:$M$1034,8,FALSE)</f>
        <v>#N/A</v>
      </c>
      <c r="L404" s="47" t="e">
        <f>VLOOKUP(B404,CENY!$B$11:$M$1034,9,FALSE)</f>
        <v>#N/A</v>
      </c>
      <c r="M404" s="55"/>
      <c r="N404" s="38">
        <f t="shared" si="63"/>
        <v>0</v>
      </c>
      <c r="O404" s="39">
        <v>0</v>
      </c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1"/>
      <c r="BJ404" s="41"/>
      <c r="BK404" s="41"/>
      <c r="BL404" s="41"/>
      <c r="BM404" s="41"/>
      <c r="BN404" s="41"/>
      <c r="BO404" s="42"/>
      <c r="BP404" s="42"/>
      <c r="BQ404" s="42"/>
      <c r="BR404" s="42"/>
      <c r="BS404" s="42"/>
      <c r="BT404" s="42"/>
      <c r="BU404" s="42"/>
      <c r="BV404" s="42"/>
      <c r="BW404" s="40">
        <v>0</v>
      </c>
      <c r="BX404" s="43">
        <v>0</v>
      </c>
      <c r="BY404" s="35"/>
      <c r="BZ404" s="27"/>
      <c r="CA404" s="27"/>
      <c r="CB404" s="27"/>
      <c r="CC404" s="27"/>
      <c r="CD404" s="27"/>
      <c r="CE404" s="27"/>
      <c r="CF404" s="27"/>
    </row>
    <row r="405" spans="1:84" ht="15" customHeight="1">
      <c r="A405" s="4"/>
      <c r="B405" s="44"/>
      <c r="C405" s="48" t="e">
        <f>VLOOKUP(B405,CENY!$B$11:$G$1034,2,FALSE)</f>
        <v>#N/A</v>
      </c>
      <c r="D405" s="44" t="e">
        <f>VLOOKUP(B405,CENY!$B$11:$G$1034,3,FALSE)</f>
        <v>#N/A</v>
      </c>
      <c r="E405" s="63" t="e">
        <f>IF(VLOOKUP(B405,CENY!$B$11:$G$1034,4,FALSE)=0,"",VLOOKUP(B405,CENY!$B$11:$G$1034,4,FALSE))</f>
        <v>#N/A</v>
      </c>
      <c r="F405" s="45" t="str">
        <f t="shared" si="64"/>
        <v/>
      </c>
      <c r="G405" s="59" t="e">
        <f>VLOOKUP(B405,CENY!$B$11:$M$1034,12,FALSE)</f>
        <v>#N/A</v>
      </c>
      <c r="H405" s="61" t="e">
        <f t="shared" si="67"/>
        <v>#N/A</v>
      </c>
      <c r="I405" s="46" t="str">
        <f t="shared" si="68"/>
        <v/>
      </c>
      <c r="J405" s="138"/>
      <c r="K405" s="47" t="e">
        <f>VLOOKUP(B405,CENY!$B$11:$M$1034,8,FALSE)</f>
        <v>#N/A</v>
      </c>
      <c r="L405" s="47" t="e">
        <f>VLOOKUP(B405,CENY!$B$11:$M$1034,9,FALSE)</f>
        <v>#N/A</v>
      </c>
      <c r="M405" s="55"/>
      <c r="N405" s="38">
        <f t="shared" si="63"/>
        <v>0</v>
      </c>
      <c r="O405" s="39">
        <v>0</v>
      </c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  <c r="BH405" s="41"/>
      <c r="BI405" s="41"/>
      <c r="BJ405" s="41"/>
      <c r="BK405" s="41"/>
      <c r="BL405" s="41"/>
      <c r="BM405" s="41"/>
      <c r="BN405" s="41"/>
      <c r="BO405" s="42"/>
      <c r="BP405" s="42"/>
      <c r="BQ405" s="42"/>
      <c r="BR405" s="42"/>
      <c r="BS405" s="42"/>
      <c r="BT405" s="42"/>
      <c r="BU405" s="42"/>
      <c r="BV405" s="42"/>
      <c r="BW405" s="40">
        <v>0</v>
      </c>
      <c r="BX405" s="43">
        <v>0</v>
      </c>
      <c r="BY405" s="35"/>
      <c r="BZ405" s="27"/>
      <c r="CA405" s="27"/>
      <c r="CB405" s="27"/>
      <c r="CC405" s="27"/>
      <c r="CD405" s="27"/>
      <c r="CE405" s="27"/>
      <c r="CF405" s="27"/>
    </row>
    <row r="406" spans="1:84" ht="15" customHeight="1">
      <c r="A406" s="4"/>
      <c r="B406" s="44"/>
      <c r="C406" s="48" t="e">
        <f>VLOOKUP(B406,CENY!$B$11:$G$1034,2,FALSE)</f>
        <v>#N/A</v>
      </c>
      <c r="D406" s="44" t="e">
        <f>VLOOKUP(B406,CENY!$B$11:$G$1034,3,FALSE)</f>
        <v>#N/A</v>
      </c>
      <c r="E406" s="63" t="e">
        <f>IF(VLOOKUP(B406,CENY!$B$11:$G$1034,4,FALSE)=0,"",VLOOKUP(B406,CENY!$B$11:$G$1034,4,FALSE))</f>
        <v>#N/A</v>
      </c>
      <c r="F406" s="45" t="str">
        <f t="shared" si="64"/>
        <v/>
      </c>
      <c r="G406" s="59" t="e">
        <f>VLOOKUP(B406,CENY!$B$11:$M$1034,12,FALSE)</f>
        <v>#N/A</v>
      </c>
      <c r="H406" s="61" t="e">
        <f t="shared" si="67"/>
        <v>#N/A</v>
      </c>
      <c r="I406" s="46" t="str">
        <f t="shared" si="68"/>
        <v/>
      </c>
      <c r="J406" s="138"/>
      <c r="K406" s="47" t="e">
        <f>VLOOKUP(B406,CENY!$B$11:$M$1034,8,FALSE)</f>
        <v>#N/A</v>
      </c>
      <c r="L406" s="47" t="e">
        <f>VLOOKUP(B406,CENY!$B$11:$M$1034,9,FALSE)</f>
        <v>#N/A</v>
      </c>
      <c r="M406" s="55"/>
      <c r="N406" s="38">
        <f t="shared" si="63"/>
        <v>0</v>
      </c>
      <c r="O406" s="39">
        <v>0</v>
      </c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  <c r="BH406" s="41"/>
      <c r="BI406" s="41"/>
      <c r="BJ406" s="41"/>
      <c r="BK406" s="41"/>
      <c r="BL406" s="41"/>
      <c r="BM406" s="41"/>
      <c r="BN406" s="41"/>
      <c r="BO406" s="42"/>
      <c r="BP406" s="42"/>
      <c r="BQ406" s="42"/>
      <c r="BR406" s="42"/>
      <c r="BS406" s="42"/>
      <c r="BT406" s="42"/>
      <c r="BU406" s="42"/>
      <c r="BV406" s="42"/>
      <c r="BW406" s="40">
        <v>0</v>
      </c>
      <c r="BX406" s="43">
        <v>0</v>
      </c>
      <c r="BY406" s="35"/>
      <c r="BZ406" s="27"/>
      <c r="CA406" s="27"/>
      <c r="CB406" s="27"/>
      <c r="CC406" s="27"/>
      <c r="CD406" s="27"/>
      <c r="CE406" s="27"/>
      <c r="CF406" s="27"/>
    </row>
    <row r="407" spans="1:84" ht="15" customHeight="1">
      <c r="A407" s="4"/>
      <c r="B407" s="44"/>
      <c r="C407" s="48" t="e">
        <f>VLOOKUP(B407,CENY!$B$11:$G$1034,2,FALSE)</f>
        <v>#N/A</v>
      </c>
      <c r="D407" s="44" t="e">
        <f>VLOOKUP(B407,CENY!$B$11:$G$1034,3,FALSE)</f>
        <v>#N/A</v>
      </c>
      <c r="E407" s="63" t="e">
        <f>IF(VLOOKUP(B407,CENY!$B$11:$G$1034,4,FALSE)=0,"",VLOOKUP(B407,CENY!$B$11:$G$1034,4,FALSE))</f>
        <v>#N/A</v>
      </c>
      <c r="F407" s="45" t="str">
        <f t="shared" si="64"/>
        <v/>
      </c>
      <c r="G407" s="59" t="e">
        <f>VLOOKUP(B407,CENY!$B$11:$M$1034,12,FALSE)</f>
        <v>#N/A</v>
      </c>
      <c r="H407" s="61" t="e">
        <f t="shared" si="67"/>
        <v>#N/A</v>
      </c>
      <c r="I407" s="46" t="str">
        <f t="shared" si="68"/>
        <v/>
      </c>
      <c r="J407" s="138"/>
      <c r="K407" s="47" t="e">
        <f>VLOOKUP(B407,CENY!$B$11:$M$1034,8,FALSE)</f>
        <v>#N/A</v>
      </c>
      <c r="L407" s="47" t="e">
        <f>VLOOKUP(B407,CENY!$B$11:$M$1034,9,FALSE)</f>
        <v>#N/A</v>
      </c>
      <c r="M407" s="55"/>
      <c r="N407" s="38">
        <f t="shared" si="63"/>
        <v>0</v>
      </c>
      <c r="O407" s="39">
        <v>0</v>
      </c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1"/>
      <c r="BJ407" s="41"/>
      <c r="BK407" s="41"/>
      <c r="BL407" s="41"/>
      <c r="BM407" s="41"/>
      <c r="BN407" s="41"/>
      <c r="BO407" s="42"/>
      <c r="BP407" s="42"/>
      <c r="BQ407" s="42"/>
      <c r="BR407" s="42"/>
      <c r="BS407" s="42"/>
      <c r="BT407" s="42"/>
      <c r="BU407" s="42"/>
      <c r="BV407" s="42"/>
      <c r="BW407" s="40">
        <v>0</v>
      </c>
      <c r="BX407" s="43">
        <v>0</v>
      </c>
      <c r="BY407" s="35"/>
      <c r="BZ407" s="27"/>
      <c r="CA407" s="27"/>
      <c r="CB407" s="27"/>
      <c r="CC407" s="27"/>
      <c r="CD407" s="27"/>
      <c r="CE407" s="27"/>
      <c r="CF407" s="27"/>
    </row>
    <row r="408" spans="1:84" ht="15" customHeight="1">
      <c r="A408" s="4"/>
      <c r="B408" s="44"/>
      <c r="C408" s="48" t="e">
        <f>VLOOKUP(B408,CENY!$B$11:$G$1034,2,FALSE)</f>
        <v>#N/A</v>
      </c>
      <c r="D408" s="44" t="e">
        <f>VLOOKUP(B408,CENY!$B$11:$G$1034,3,FALSE)</f>
        <v>#N/A</v>
      </c>
      <c r="E408" s="63" t="e">
        <f>IF(VLOOKUP(B408,CENY!$B$11:$G$1034,4,FALSE)=0,"",VLOOKUP(B408,CENY!$B$11:$G$1034,4,FALSE))</f>
        <v>#N/A</v>
      </c>
      <c r="F408" s="45" t="str">
        <f t="shared" si="64"/>
        <v/>
      </c>
      <c r="G408" s="59" t="e">
        <f>VLOOKUP(B408,CENY!$B$11:$M$1034,12,FALSE)</f>
        <v>#N/A</v>
      </c>
      <c r="H408" s="61" t="e">
        <f t="shared" si="67"/>
        <v>#N/A</v>
      </c>
      <c r="I408" s="46" t="str">
        <f t="shared" si="68"/>
        <v/>
      </c>
      <c r="J408" s="138"/>
      <c r="K408" s="47" t="e">
        <f>VLOOKUP(B408,CENY!$B$11:$M$1034,8,FALSE)</f>
        <v>#N/A</v>
      </c>
      <c r="L408" s="47" t="e">
        <f>VLOOKUP(B408,CENY!$B$11:$M$1034,9,FALSE)</f>
        <v>#N/A</v>
      </c>
      <c r="M408" s="55"/>
      <c r="N408" s="38">
        <f t="shared" si="63"/>
        <v>0</v>
      </c>
      <c r="O408" s="39">
        <v>0</v>
      </c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  <c r="BH408" s="41"/>
      <c r="BI408" s="41"/>
      <c r="BJ408" s="41"/>
      <c r="BK408" s="41"/>
      <c r="BL408" s="41"/>
      <c r="BM408" s="41"/>
      <c r="BN408" s="41"/>
      <c r="BO408" s="42"/>
      <c r="BP408" s="42"/>
      <c r="BQ408" s="42"/>
      <c r="BR408" s="42"/>
      <c r="BS408" s="42"/>
      <c r="BT408" s="42"/>
      <c r="BU408" s="42"/>
      <c r="BV408" s="42"/>
      <c r="BW408" s="41"/>
      <c r="BX408" s="43">
        <v>0</v>
      </c>
      <c r="BY408" s="35"/>
      <c r="BZ408" s="27"/>
      <c r="CA408" s="27"/>
      <c r="CB408" s="27"/>
      <c r="CC408" s="27"/>
      <c r="CD408" s="27"/>
      <c r="CE408" s="27"/>
      <c r="CF408" s="27"/>
    </row>
    <row r="409" spans="1:84" ht="15" customHeight="1">
      <c r="A409" s="4"/>
      <c r="B409" s="44"/>
      <c r="C409" s="48" t="e">
        <f>VLOOKUP(B409,CENY!$B$11:$G$1034,2,FALSE)</f>
        <v>#N/A</v>
      </c>
      <c r="D409" s="44" t="e">
        <f>VLOOKUP(B409,CENY!$B$11:$G$1034,3,FALSE)</f>
        <v>#N/A</v>
      </c>
      <c r="E409" s="63" t="e">
        <f>IF(VLOOKUP(B409,CENY!$B$11:$G$1034,4,FALSE)=0,"",VLOOKUP(B409,CENY!$B$11:$G$1034,4,FALSE))</f>
        <v>#N/A</v>
      </c>
      <c r="F409" s="45" t="str">
        <f t="shared" si="64"/>
        <v/>
      </c>
      <c r="G409" s="59" t="e">
        <f>VLOOKUP(B409,CENY!$B$11:$M$1034,12,FALSE)</f>
        <v>#N/A</v>
      </c>
      <c r="H409" s="61" t="e">
        <f t="shared" si="67"/>
        <v>#N/A</v>
      </c>
      <c r="I409" s="46" t="str">
        <f t="shared" si="68"/>
        <v/>
      </c>
      <c r="J409" s="138"/>
      <c r="K409" s="47" t="e">
        <f>VLOOKUP(B409,CENY!$B$11:$M$1034,8,FALSE)</f>
        <v>#N/A</v>
      </c>
      <c r="L409" s="47" t="e">
        <f>VLOOKUP(B409,CENY!$B$11:$M$1034,9,FALSE)</f>
        <v>#N/A</v>
      </c>
      <c r="M409" s="55"/>
      <c r="N409" s="38">
        <f t="shared" si="63"/>
        <v>0</v>
      </c>
      <c r="O409" s="39">
        <v>0</v>
      </c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  <c r="BH409" s="41"/>
      <c r="BI409" s="41"/>
      <c r="BJ409" s="41"/>
      <c r="BK409" s="41"/>
      <c r="BL409" s="41"/>
      <c r="BM409" s="41"/>
      <c r="BN409" s="41"/>
      <c r="BO409" s="42"/>
      <c r="BP409" s="42"/>
      <c r="BQ409" s="42"/>
      <c r="BR409" s="42"/>
      <c r="BS409" s="42"/>
      <c r="BT409" s="42"/>
      <c r="BU409" s="42"/>
      <c r="BV409" s="42"/>
      <c r="BW409" s="41"/>
      <c r="BX409" s="43">
        <v>0</v>
      </c>
      <c r="BY409" s="35"/>
      <c r="BZ409" s="27"/>
      <c r="CA409" s="27"/>
      <c r="CB409" s="27"/>
      <c r="CC409" s="27"/>
      <c r="CD409" s="27"/>
      <c r="CE409" s="27"/>
      <c r="CF409" s="27"/>
    </row>
    <row r="410" spans="1:84" ht="15" customHeight="1">
      <c r="A410" s="4"/>
      <c r="B410" s="44"/>
      <c r="C410" s="48" t="e">
        <f>VLOOKUP(B410,CENY!$B$11:$G$1034,2,FALSE)</f>
        <v>#N/A</v>
      </c>
      <c r="D410" s="44" t="e">
        <f>VLOOKUP(B410,CENY!$B$11:$G$1034,3,FALSE)</f>
        <v>#N/A</v>
      </c>
      <c r="E410" s="63" t="e">
        <f>IF(VLOOKUP(B410,CENY!$B$11:$G$1034,4,FALSE)=0,"",VLOOKUP(B410,CENY!$B$11:$G$1034,4,FALSE))</f>
        <v>#N/A</v>
      </c>
      <c r="F410" s="45" t="str">
        <f t="shared" si="64"/>
        <v/>
      </c>
      <c r="G410" s="59" t="e">
        <f>VLOOKUP(B410,CENY!$B$11:$M$1034,12,FALSE)</f>
        <v>#N/A</v>
      </c>
      <c r="H410" s="61" t="e">
        <f t="shared" si="67"/>
        <v>#N/A</v>
      </c>
      <c r="I410" s="46" t="str">
        <f t="shared" si="68"/>
        <v/>
      </c>
      <c r="J410" s="138"/>
      <c r="K410" s="47" t="e">
        <f>VLOOKUP(B410,CENY!$B$11:$M$1034,8,FALSE)</f>
        <v>#N/A</v>
      </c>
      <c r="L410" s="47" t="e">
        <f>VLOOKUP(B410,CENY!$B$11:$M$1034,9,FALSE)</f>
        <v>#N/A</v>
      </c>
      <c r="M410" s="55"/>
      <c r="N410" s="38">
        <f t="shared" si="63"/>
        <v>0</v>
      </c>
      <c r="O410" s="39">
        <v>0</v>
      </c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  <c r="BH410" s="41"/>
      <c r="BI410" s="41"/>
      <c r="BJ410" s="41"/>
      <c r="BK410" s="41"/>
      <c r="BL410" s="41"/>
      <c r="BM410" s="41"/>
      <c r="BN410" s="41"/>
      <c r="BO410" s="42"/>
      <c r="BP410" s="42"/>
      <c r="BQ410" s="42"/>
      <c r="BR410" s="42"/>
      <c r="BS410" s="42"/>
      <c r="BT410" s="42"/>
      <c r="BU410" s="42"/>
      <c r="BV410" s="42"/>
      <c r="BW410" s="41"/>
      <c r="BX410" s="43">
        <v>0</v>
      </c>
      <c r="BY410" s="35"/>
      <c r="BZ410" s="27"/>
      <c r="CA410" s="27"/>
      <c r="CB410" s="27"/>
      <c r="CC410" s="27"/>
      <c r="CD410" s="27"/>
      <c r="CE410" s="27"/>
      <c r="CF410" s="27"/>
    </row>
    <row r="411" spans="1:84" ht="15" customHeight="1">
      <c r="A411" s="4"/>
      <c r="B411" s="44"/>
      <c r="C411" s="48" t="e">
        <f>VLOOKUP(B411,CENY!$B$11:$G$1034,2,FALSE)</f>
        <v>#N/A</v>
      </c>
      <c r="D411" s="44" t="e">
        <f>VLOOKUP(B411,CENY!$B$11:$G$1034,3,FALSE)</f>
        <v>#N/A</v>
      </c>
      <c r="E411" s="63" t="e">
        <f>IF(VLOOKUP(B411,CENY!$B$11:$G$1034,4,FALSE)=0,"",VLOOKUP(B411,CENY!$B$11:$G$1034,4,FALSE))</f>
        <v>#N/A</v>
      </c>
      <c r="F411" s="45" t="str">
        <f t="shared" si="64"/>
        <v/>
      </c>
      <c r="G411" s="59" t="e">
        <f>VLOOKUP(B411,CENY!$B$11:$M$1034,12,FALSE)</f>
        <v>#N/A</v>
      </c>
      <c r="H411" s="61" t="e">
        <f t="shared" si="67"/>
        <v>#N/A</v>
      </c>
      <c r="I411" s="46" t="str">
        <f t="shared" si="68"/>
        <v/>
      </c>
      <c r="J411" s="138"/>
      <c r="K411" s="47" t="e">
        <f>VLOOKUP(B411,CENY!$B$11:$M$1034,8,FALSE)</f>
        <v>#N/A</v>
      </c>
      <c r="L411" s="47" t="e">
        <f>VLOOKUP(B411,CENY!$B$11:$M$1034,9,FALSE)</f>
        <v>#N/A</v>
      </c>
      <c r="M411" s="55"/>
      <c r="N411" s="38">
        <f t="shared" si="63"/>
        <v>0</v>
      </c>
      <c r="O411" s="39">
        <v>0</v>
      </c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  <c r="BH411" s="41"/>
      <c r="BI411" s="41"/>
      <c r="BJ411" s="41"/>
      <c r="BK411" s="41"/>
      <c r="BL411" s="41"/>
      <c r="BM411" s="41"/>
      <c r="BN411" s="41"/>
      <c r="BO411" s="42"/>
      <c r="BP411" s="42"/>
      <c r="BQ411" s="42"/>
      <c r="BR411" s="42"/>
      <c r="BS411" s="42"/>
      <c r="BT411" s="42"/>
      <c r="BU411" s="42"/>
      <c r="BV411" s="42"/>
      <c r="BW411" s="41"/>
      <c r="BX411" s="43">
        <v>0</v>
      </c>
      <c r="BY411" s="35"/>
      <c r="BZ411" s="27"/>
      <c r="CA411" s="27"/>
      <c r="CB411" s="27"/>
      <c r="CC411" s="27"/>
      <c r="CD411" s="27"/>
      <c r="CE411" s="27"/>
      <c r="CF411" s="27"/>
    </row>
    <row r="412" spans="1:84" ht="15" customHeight="1">
      <c r="A412" s="4"/>
      <c r="B412" s="44"/>
      <c r="C412" s="48" t="e">
        <f>VLOOKUP(B412,CENY!$B$11:$G$1034,2,FALSE)</f>
        <v>#N/A</v>
      </c>
      <c r="D412" s="44" t="e">
        <f>VLOOKUP(B412,CENY!$B$11:$G$1034,3,FALSE)</f>
        <v>#N/A</v>
      </c>
      <c r="E412" s="63" t="e">
        <f>IF(VLOOKUP(B412,CENY!$B$11:$G$1034,4,FALSE)=0,"",VLOOKUP(B412,CENY!$B$11:$G$1034,4,FALSE))</f>
        <v>#N/A</v>
      </c>
      <c r="F412" s="45" t="str">
        <f t="shared" si="64"/>
        <v/>
      </c>
      <c r="G412" s="59" t="e">
        <f>VLOOKUP(B412,CENY!$B$11:$M$1034,12,FALSE)</f>
        <v>#N/A</v>
      </c>
      <c r="H412" s="61" t="e">
        <f t="shared" si="67"/>
        <v>#N/A</v>
      </c>
      <c r="I412" s="46" t="str">
        <f t="shared" si="68"/>
        <v/>
      </c>
      <c r="J412" s="138"/>
      <c r="K412" s="47" t="e">
        <f>VLOOKUP(B412,CENY!$B$11:$M$1034,8,FALSE)</f>
        <v>#N/A</v>
      </c>
      <c r="L412" s="47" t="e">
        <f>VLOOKUP(B412,CENY!$B$11:$M$1034,9,FALSE)</f>
        <v>#N/A</v>
      </c>
      <c r="M412" s="55"/>
      <c r="N412" s="38">
        <f t="shared" si="63"/>
        <v>0</v>
      </c>
      <c r="O412" s="39">
        <v>0</v>
      </c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  <c r="BH412" s="41"/>
      <c r="BI412" s="41"/>
      <c r="BJ412" s="41"/>
      <c r="BK412" s="41"/>
      <c r="BL412" s="41"/>
      <c r="BM412" s="41"/>
      <c r="BN412" s="41"/>
      <c r="BO412" s="42"/>
      <c r="BP412" s="42"/>
      <c r="BQ412" s="42"/>
      <c r="BR412" s="42"/>
      <c r="BS412" s="42"/>
      <c r="BT412" s="42"/>
      <c r="BU412" s="42"/>
      <c r="BV412" s="42"/>
      <c r="BW412" s="41"/>
      <c r="BX412" s="43">
        <v>0</v>
      </c>
      <c r="BY412" s="35"/>
      <c r="BZ412" s="27"/>
      <c r="CA412" s="27"/>
      <c r="CB412" s="27"/>
      <c r="CC412" s="27"/>
      <c r="CD412" s="27"/>
      <c r="CE412" s="27"/>
      <c r="CF412" s="27"/>
    </row>
    <row r="413" spans="1:84" ht="15" customHeight="1">
      <c r="A413" s="4"/>
      <c r="B413" s="44"/>
      <c r="C413" s="48" t="e">
        <f>VLOOKUP(B413,CENY!$B$11:$G$1034,2,FALSE)</f>
        <v>#N/A</v>
      </c>
      <c r="D413" s="44" t="e">
        <f>VLOOKUP(B413,CENY!$B$11:$G$1034,3,FALSE)</f>
        <v>#N/A</v>
      </c>
      <c r="E413" s="63" t="e">
        <f>IF(VLOOKUP(B413,CENY!$B$11:$G$1034,4,FALSE)=0,"",VLOOKUP(B413,CENY!$B$11:$G$1034,4,FALSE))</f>
        <v>#N/A</v>
      </c>
      <c r="F413" s="45" t="str">
        <f t="shared" si="64"/>
        <v/>
      </c>
      <c r="G413" s="59" t="e">
        <f>VLOOKUP(B413,CENY!$B$11:$M$1034,12,FALSE)</f>
        <v>#N/A</v>
      </c>
      <c r="H413" s="61" t="e">
        <f t="shared" si="67"/>
        <v>#N/A</v>
      </c>
      <c r="I413" s="46" t="str">
        <f t="shared" si="68"/>
        <v/>
      </c>
      <c r="J413" s="138"/>
      <c r="K413" s="47" t="e">
        <f>VLOOKUP(B413,CENY!$B$11:$M$1034,8,FALSE)</f>
        <v>#N/A</v>
      </c>
      <c r="L413" s="47" t="e">
        <f>VLOOKUP(B413,CENY!$B$11:$M$1034,9,FALSE)</f>
        <v>#N/A</v>
      </c>
      <c r="M413" s="55"/>
      <c r="N413" s="38">
        <f t="shared" si="63"/>
        <v>0</v>
      </c>
      <c r="O413" s="39">
        <v>0</v>
      </c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  <c r="BF413" s="41"/>
      <c r="BG413" s="41"/>
      <c r="BH413" s="41"/>
      <c r="BI413" s="41"/>
      <c r="BJ413" s="41"/>
      <c r="BK413" s="41"/>
      <c r="BL413" s="41"/>
      <c r="BM413" s="41"/>
      <c r="BN413" s="41"/>
      <c r="BO413" s="42"/>
      <c r="BP413" s="42"/>
      <c r="BQ413" s="42"/>
      <c r="BR413" s="42"/>
      <c r="BS413" s="42"/>
      <c r="BT413" s="42"/>
      <c r="BU413" s="42"/>
      <c r="BV413" s="42"/>
      <c r="BW413" s="41"/>
      <c r="BX413" s="43">
        <v>0</v>
      </c>
      <c r="BY413" s="35"/>
      <c r="BZ413" s="27"/>
      <c r="CA413" s="27"/>
      <c r="CB413" s="27"/>
      <c r="CC413" s="27"/>
      <c r="CD413" s="27"/>
      <c r="CE413" s="27"/>
      <c r="CF413" s="27"/>
    </row>
    <row r="414" spans="1:84" ht="15" customHeight="1">
      <c r="A414" s="4"/>
      <c r="B414" s="44"/>
      <c r="C414" s="48" t="e">
        <f>VLOOKUP(B414,CENY!$B$11:$G$1034,2,FALSE)</f>
        <v>#N/A</v>
      </c>
      <c r="D414" s="44" t="e">
        <f>VLOOKUP(B414,CENY!$B$11:$G$1034,3,FALSE)</f>
        <v>#N/A</v>
      </c>
      <c r="E414" s="63" t="e">
        <f>IF(VLOOKUP(B414,CENY!$B$11:$G$1034,4,FALSE)=0,"",VLOOKUP(B414,CENY!$B$11:$G$1034,4,FALSE))</f>
        <v>#N/A</v>
      </c>
      <c r="F414" s="45" t="str">
        <f t="shared" si="64"/>
        <v/>
      </c>
      <c r="G414" s="59" t="e">
        <f>VLOOKUP(B414,CENY!$B$11:$M$1034,12,FALSE)</f>
        <v>#N/A</v>
      </c>
      <c r="H414" s="61" t="e">
        <f t="shared" si="67"/>
        <v>#N/A</v>
      </c>
      <c r="I414" s="46" t="str">
        <f t="shared" si="68"/>
        <v/>
      </c>
      <c r="J414" s="138"/>
      <c r="K414" s="47" t="e">
        <f>VLOOKUP(B414,CENY!$B$11:$M$1034,8,FALSE)</f>
        <v>#N/A</v>
      </c>
      <c r="L414" s="47" t="e">
        <f>VLOOKUP(B414,CENY!$B$11:$M$1034,9,FALSE)</f>
        <v>#N/A</v>
      </c>
      <c r="M414" s="55"/>
      <c r="N414" s="38">
        <f t="shared" si="63"/>
        <v>0</v>
      </c>
      <c r="O414" s="39">
        <v>0</v>
      </c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  <c r="BF414" s="41"/>
      <c r="BG414" s="41"/>
      <c r="BH414" s="41"/>
      <c r="BI414" s="41"/>
      <c r="BJ414" s="41"/>
      <c r="BK414" s="41"/>
      <c r="BL414" s="41"/>
      <c r="BM414" s="41"/>
      <c r="BN414" s="41"/>
      <c r="BO414" s="42"/>
      <c r="BP414" s="42"/>
      <c r="BQ414" s="42"/>
      <c r="BR414" s="42"/>
      <c r="BS414" s="42"/>
      <c r="BT414" s="42"/>
      <c r="BU414" s="42"/>
      <c r="BV414" s="42"/>
      <c r="BW414" s="41"/>
      <c r="BX414" s="43">
        <v>0</v>
      </c>
      <c r="BY414" s="35"/>
      <c r="BZ414" s="27"/>
      <c r="CA414" s="27"/>
      <c r="CB414" s="27"/>
      <c r="CC414" s="27"/>
      <c r="CD414" s="27"/>
      <c r="CE414" s="27"/>
      <c r="CF414" s="27"/>
    </row>
    <row r="415" spans="1:84" ht="15" customHeight="1">
      <c r="A415" s="4"/>
      <c r="B415" s="44"/>
      <c r="C415" s="48" t="e">
        <f>VLOOKUP(B415,CENY!$B$11:$G$1034,2,FALSE)</f>
        <v>#N/A</v>
      </c>
      <c r="D415" s="44" t="e">
        <f>VLOOKUP(B415,CENY!$B$11:$G$1034,3,FALSE)</f>
        <v>#N/A</v>
      </c>
      <c r="E415" s="63" t="e">
        <f>IF(VLOOKUP(B415,CENY!$B$11:$G$1034,4,FALSE)=0,"",VLOOKUP(B415,CENY!$B$11:$G$1034,4,FALSE))</f>
        <v>#N/A</v>
      </c>
      <c r="F415" s="45" t="str">
        <f t="shared" si="64"/>
        <v/>
      </c>
      <c r="G415" s="59" t="e">
        <f>VLOOKUP(B415,CENY!$B$11:$M$1034,12,FALSE)</f>
        <v>#N/A</v>
      </c>
      <c r="H415" s="61" t="e">
        <f t="shared" si="67"/>
        <v>#N/A</v>
      </c>
      <c r="I415" s="46" t="str">
        <f t="shared" si="68"/>
        <v/>
      </c>
      <c r="J415" s="138"/>
      <c r="K415" s="47" t="e">
        <f>VLOOKUP(B415,CENY!$B$11:$M$1034,8,FALSE)</f>
        <v>#N/A</v>
      </c>
      <c r="L415" s="47" t="e">
        <f>VLOOKUP(B415,CENY!$B$11:$M$1034,9,FALSE)</f>
        <v>#N/A</v>
      </c>
      <c r="M415" s="55"/>
      <c r="N415" s="38">
        <f t="shared" ref="N415:N447" si="69">SUM(P415:BX415)</f>
        <v>0</v>
      </c>
      <c r="O415" s="39">
        <v>0</v>
      </c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  <c r="BF415" s="41"/>
      <c r="BG415" s="41"/>
      <c r="BH415" s="41"/>
      <c r="BI415" s="41"/>
      <c r="BJ415" s="41"/>
      <c r="BK415" s="41"/>
      <c r="BL415" s="41"/>
      <c r="BM415" s="41"/>
      <c r="BN415" s="41"/>
      <c r="BO415" s="42"/>
      <c r="BP415" s="42"/>
      <c r="BQ415" s="42"/>
      <c r="BR415" s="42"/>
      <c r="BS415" s="42"/>
      <c r="BT415" s="42"/>
      <c r="BU415" s="42"/>
      <c r="BV415" s="42"/>
      <c r="BW415" s="41"/>
      <c r="BX415" s="43">
        <v>0</v>
      </c>
      <c r="BY415" s="35"/>
      <c r="BZ415" s="27"/>
      <c r="CA415" s="27"/>
      <c r="CB415" s="27"/>
      <c r="CC415" s="27"/>
      <c r="CD415" s="27"/>
      <c r="CE415" s="27"/>
      <c r="CF415" s="27"/>
    </row>
    <row r="416" spans="1:84" ht="15" customHeight="1">
      <c r="A416" s="4"/>
      <c r="B416" s="44"/>
      <c r="C416" s="48" t="e">
        <f>VLOOKUP(B416,CENY!$B$11:$G$1034,2,FALSE)</f>
        <v>#N/A</v>
      </c>
      <c r="D416" s="44" t="e">
        <f>VLOOKUP(B416,CENY!$B$11:$G$1034,3,FALSE)</f>
        <v>#N/A</v>
      </c>
      <c r="E416" s="63" t="e">
        <f>IF(VLOOKUP(B416,CENY!$B$11:$G$1034,4,FALSE)=0,"",VLOOKUP(B416,CENY!$B$11:$G$1034,4,FALSE))</f>
        <v>#N/A</v>
      </c>
      <c r="F416" s="45" t="str">
        <f t="shared" si="64"/>
        <v/>
      </c>
      <c r="G416" s="59" t="e">
        <f>VLOOKUP(B416,CENY!$B$11:$M$1034,12,FALSE)</f>
        <v>#N/A</v>
      </c>
      <c r="H416" s="61" t="e">
        <f t="shared" si="67"/>
        <v>#N/A</v>
      </c>
      <c r="I416" s="46" t="str">
        <f t="shared" si="68"/>
        <v/>
      </c>
      <c r="J416" s="138"/>
      <c r="K416" s="47" t="e">
        <f>VLOOKUP(B416,CENY!$B$11:$M$1034,8,FALSE)</f>
        <v>#N/A</v>
      </c>
      <c r="L416" s="47" t="e">
        <f>VLOOKUP(B416,CENY!$B$11:$M$1034,9,FALSE)</f>
        <v>#N/A</v>
      </c>
      <c r="M416" s="55"/>
      <c r="N416" s="38">
        <f t="shared" si="69"/>
        <v>0</v>
      </c>
      <c r="O416" s="39">
        <v>0</v>
      </c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  <c r="BF416" s="41"/>
      <c r="BG416" s="41"/>
      <c r="BH416" s="41"/>
      <c r="BI416" s="41"/>
      <c r="BJ416" s="41"/>
      <c r="BK416" s="41"/>
      <c r="BL416" s="41"/>
      <c r="BM416" s="41"/>
      <c r="BN416" s="41"/>
      <c r="BO416" s="42"/>
      <c r="BP416" s="42"/>
      <c r="BQ416" s="42"/>
      <c r="BR416" s="42"/>
      <c r="BS416" s="42"/>
      <c r="BT416" s="42"/>
      <c r="BU416" s="42"/>
      <c r="BV416" s="42"/>
      <c r="BW416" s="41"/>
      <c r="BX416" s="43">
        <v>0</v>
      </c>
      <c r="BY416" s="35"/>
      <c r="BZ416" s="27"/>
      <c r="CA416" s="27"/>
      <c r="CB416" s="27"/>
      <c r="CC416" s="27"/>
      <c r="CD416" s="27"/>
      <c r="CE416" s="27"/>
      <c r="CF416" s="27"/>
    </row>
    <row r="417" spans="1:84" ht="15" customHeight="1">
      <c r="A417" s="4"/>
      <c r="B417" s="44"/>
      <c r="C417" s="48" t="e">
        <f>VLOOKUP(B417,CENY!$B$11:$G$1034,2,FALSE)</f>
        <v>#N/A</v>
      </c>
      <c r="D417" s="44" t="e">
        <f>VLOOKUP(B417,CENY!$B$11:$G$1034,3,FALSE)</f>
        <v>#N/A</v>
      </c>
      <c r="E417" s="63" t="e">
        <f>IF(VLOOKUP(B417,CENY!$B$11:$G$1034,4,FALSE)=0,"",VLOOKUP(B417,CENY!$B$11:$G$1034,4,FALSE))</f>
        <v>#N/A</v>
      </c>
      <c r="F417" s="45" t="str">
        <f t="shared" si="64"/>
        <v/>
      </c>
      <c r="G417" s="59" t="e">
        <f>VLOOKUP(B417,CENY!$B$11:$M$1034,12,FALSE)</f>
        <v>#N/A</v>
      </c>
      <c r="H417" s="61" t="e">
        <f t="shared" si="67"/>
        <v>#N/A</v>
      </c>
      <c r="I417" s="46" t="str">
        <f t="shared" si="68"/>
        <v/>
      </c>
      <c r="J417" s="138"/>
      <c r="K417" s="47" t="e">
        <f>VLOOKUP(B417,CENY!$B$11:$M$1034,8,FALSE)</f>
        <v>#N/A</v>
      </c>
      <c r="L417" s="47" t="e">
        <f>VLOOKUP(B417,CENY!$B$11:$M$1034,9,FALSE)</f>
        <v>#N/A</v>
      </c>
      <c r="M417" s="55"/>
      <c r="N417" s="38">
        <f t="shared" si="69"/>
        <v>0</v>
      </c>
      <c r="O417" s="39">
        <v>0</v>
      </c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  <c r="BF417" s="41"/>
      <c r="BG417" s="41"/>
      <c r="BH417" s="41"/>
      <c r="BI417" s="41"/>
      <c r="BJ417" s="41"/>
      <c r="BK417" s="41"/>
      <c r="BL417" s="41"/>
      <c r="BM417" s="41"/>
      <c r="BN417" s="41"/>
      <c r="BO417" s="42"/>
      <c r="BP417" s="42"/>
      <c r="BQ417" s="42"/>
      <c r="BR417" s="42"/>
      <c r="BS417" s="42"/>
      <c r="BT417" s="42"/>
      <c r="BU417" s="42"/>
      <c r="BV417" s="42"/>
      <c r="BW417" s="41"/>
      <c r="BX417" s="43">
        <v>0</v>
      </c>
      <c r="BY417" s="35"/>
      <c r="BZ417" s="27"/>
      <c r="CA417" s="27"/>
      <c r="CB417" s="27"/>
      <c r="CC417" s="27"/>
      <c r="CD417" s="27"/>
      <c r="CE417" s="27"/>
      <c r="CF417" s="27"/>
    </row>
    <row r="418" spans="1:84" ht="15" customHeight="1">
      <c r="A418" s="4"/>
      <c r="B418" s="44"/>
      <c r="C418" s="48" t="e">
        <f>VLOOKUP(B418,CENY!$B$11:$G$1034,2,FALSE)</f>
        <v>#N/A</v>
      </c>
      <c r="D418" s="44" t="e">
        <f>VLOOKUP(B418,CENY!$B$11:$G$1034,3,FALSE)</f>
        <v>#N/A</v>
      </c>
      <c r="E418" s="63" t="e">
        <f>IF(VLOOKUP(B418,CENY!$B$11:$G$1034,4,FALSE)=0,"",VLOOKUP(B418,CENY!$B$11:$G$1034,4,FALSE))</f>
        <v>#N/A</v>
      </c>
      <c r="F418" s="45" t="str">
        <f t="shared" si="64"/>
        <v/>
      </c>
      <c r="G418" s="59" t="e">
        <f>VLOOKUP(B418,CENY!$B$11:$M$1034,12,FALSE)</f>
        <v>#N/A</v>
      </c>
      <c r="H418" s="61" t="e">
        <f t="shared" si="67"/>
        <v>#N/A</v>
      </c>
      <c r="I418" s="46" t="str">
        <f t="shared" si="68"/>
        <v/>
      </c>
      <c r="J418" s="138"/>
      <c r="K418" s="47" t="e">
        <f>VLOOKUP(B418,CENY!$B$11:$M$1034,8,FALSE)</f>
        <v>#N/A</v>
      </c>
      <c r="L418" s="47" t="e">
        <f>VLOOKUP(B418,CENY!$B$11:$M$1034,9,FALSE)</f>
        <v>#N/A</v>
      </c>
      <c r="M418" s="55"/>
      <c r="N418" s="38">
        <f t="shared" si="69"/>
        <v>0</v>
      </c>
      <c r="O418" s="39">
        <v>0</v>
      </c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  <c r="BF418" s="41"/>
      <c r="BG418" s="41"/>
      <c r="BH418" s="41"/>
      <c r="BI418" s="41"/>
      <c r="BJ418" s="41"/>
      <c r="BK418" s="41"/>
      <c r="BL418" s="41"/>
      <c r="BM418" s="41"/>
      <c r="BN418" s="41"/>
      <c r="BO418" s="42"/>
      <c r="BP418" s="42"/>
      <c r="BQ418" s="42"/>
      <c r="BR418" s="42"/>
      <c r="BS418" s="42"/>
      <c r="BT418" s="42"/>
      <c r="BU418" s="42"/>
      <c r="BV418" s="42"/>
      <c r="BW418" s="41"/>
      <c r="BX418" s="43">
        <v>0</v>
      </c>
      <c r="BY418" s="35"/>
      <c r="BZ418" s="27"/>
      <c r="CA418" s="27"/>
      <c r="CB418" s="27"/>
      <c r="CC418" s="27"/>
      <c r="CD418" s="27"/>
      <c r="CE418" s="27"/>
      <c r="CF418" s="27"/>
    </row>
    <row r="419" spans="1:84" ht="15" customHeight="1">
      <c r="A419" s="4"/>
      <c r="B419" s="44"/>
      <c r="C419" s="48" t="e">
        <f>VLOOKUP(B419,CENY!$B$11:$G$1034,2,FALSE)</f>
        <v>#N/A</v>
      </c>
      <c r="D419" s="44" t="e">
        <f>VLOOKUP(B419,CENY!$B$11:$G$1034,3,FALSE)</f>
        <v>#N/A</v>
      </c>
      <c r="E419" s="63" t="e">
        <f>IF(VLOOKUP(B419,CENY!$B$11:$G$1034,4,FALSE)=0,"",VLOOKUP(B419,CENY!$B$11:$G$1034,4,FALSE))</f>
        <v>#N/A</v>
      </c>
      <c r="F419" s="45" t="str">
        <f t="shared" si="64"/>
        <v/>
      </c>
      <c r="G419" s="59" t="e">
        <f>VLOOKUP(B419,CENY!$B$11:$M$1034,12,FALSE)</f>
        <v>#N/A</v>
      </c>
      <c r="H419" s="61" t="e">
        <f t="shared" si="67"/>
        <v>#N/A</v>
      </c>
      <c r="I419" s="46" t="str">
        <f t="shared" si="68"/>
        <v/>
      </c>
      <c r="J419" s="138"/>
      <c r="K419" s="47" t="e">
        <f>VLOOKUP(B419,CENY!$B$11:$M$1034,8,FALSE)</f>
        <v>#N/A</v>
      </c>
      <c r="L419" s="47" t="e">
        <f>VLOOKUP(B419,CENY!$B$11:$M$1034,9,FALSE)</f>
        <v>#N/A</v>
      </c>
      <c r="M419" s="55"/>
      <c r="N419" s="38">
        <f t="shared" si="69"/>
        <v>0</v>
      </c>
      <c r="O419" s="39">
        <v>0</v>
      </c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  <c r="BH419" s="41"/>
      <c r="BI419" s="41"/>
      <c r="BJ419" s="41"/>
      <c r="BK419" s="41"/>
      <c r="BL419" s="41"/>
      <c r="BM419" s="41"/>
      <c r="BN419" s="41"/>
      <c r="BO419" s="42"/>
      <c r="BP419" s="42"/>
      <c r="BQ419" s="42"/>
      <c r="BR419" s="42"/>
      <c r="BS419" s="42"/>
      <c r="BT419" s="42"/>
      <c r="BU419" s="42"/>
      <c r="BV419" s="42"/>
      <c r="BW419" s="41"/>
      <c r="BX419" s="43">
        <v>0</v>
      </c>
      <c r="BY419" s="35"/>
      <c r="BZ419" s="27"/>
      <c r="CA419" s="27"/>
      <c r="CB419" s="27"/>
      <c r="CC419" s="27"/>
      <c r="CD419" s="27"/>
      <c r="CE419" s="27"/>
      <c r="CF419" s="27"/>
    </row>
    <row r="420" spans="1:84" ht="15" customHeight="1">
      <c r="A420" s="4"/>
      <c r="B420" s="44"/>
      <c r="C420" s="48" t="e">
        <f>VLOOKUP(B420,CENY!$B$11:$G$1034,2,FALSE)</f>
        <v>#N/A</v>
      </c>
      <c r="D420" s="44" t="e">
        <f>VLOOKUP(B420,CENY!$B$11:$G$1034,3,FALSE)</f>
        <v>#N/A</v>
      </c>
      <c r="E420" s="63" t="e">
        <f>IF(VLOOKUP(B420,CENY!$B$11:$G$1034,4,FALSE)=0,"",VLOOKUP(B420,CENY!$B$11:$G$1034,4,FALSE))</f>
        <v>#N/A</v>
      </c>
      <c r="F420" s="45" t="str">
        <f t="shared" si="64"/>
        <v/>
      </c>
      <c r="G420" s="59" t="e">
        <f>VLOOKUP(B420,CENY!$B$11:$M$1034,12,FALSE)</f>
        <v>#N/A</v>
      </c>
      <c r="H420" s="61" t="e">
        <f t="shared" si="67"/>
        <v>#N/A</v>
      </c>
      <c r="I420" s="46" t="str">
        <f t="shared" si="68"/>
        <v/>
      </c>
      <c r="J420" s="138"/>
      <c r="K420" s="47" t="e">
        <f>VLOOKUP(B420,CENY!$B$11:$M$1034,8,FALSE)</f>
        <v>#N/A</v>
      </c>
      <c r="L420" s="47" t="e">
        <f>VLOOKUP(B420,CENY!$B$11:$M$1034,9,FALSE)</f>
        <v>#N/A</v>
      </c>
      <c r="M420" s="55"/>
      <c r="N420" s="38">
        <f t="shared" si="69"/>
        <v>0</v>
      </c>
      <c r="O420" s="39">
        <v>0</v>
      </c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  <c r="BF420" s="41"/>
      <c r="BG420" s="41"/>
      <c r="BH420" s="41"/>
      <c r="BI420" s="41"/>
      <c r="BJ420" s="41"/>
      <c r="BK420" s="41"/>
      <c r="BL420" s="41"/>
      <c r="BM420" s="41"/>
      <c r="BN420" s="41"/>
      <c r="BO420" s="42"/>
      <c r="BP420" s="42"/>
      <c r="BQ420" s="42"/>
      <c r="BR420" s="42"/>
      <c r="BS420" s="42"/>
      <c r="BT420" s="42"/>
      <c r="BU420" s="42"/>
      <c r="BV420" s="42"/>
      <c r="BW420" s="41"/>
      <c r="BX420" s="43">
        <v>0</v>
      </c>
      <c r="BY420" s="35"/>
      <c r="BZ420" s="27"/>
      <c r="CA420" s="27"/>
      <c r="CB420" s="27"/>
      <c r="CC420" s="27"/>
      <c r="CD420" s="27"/>
      <c r="CE420" s="27"/>
      <c r="CF420" s="27"/>
    </row>
    <row r="421" spans="1:84" ht="15" customHeight="1">
      <c r="A421" s="4"/>
      <c r="B421" s="44"/>
      <c r="C421" s="48" t="e">
        <f>VLOOKUP(B421,CENY!$B$11:$G$1034,2,FALSE)</f>
        <v>#N/A</v>
      </c>
      <c r="D421" s="44" t="e">
        <f>VLOOKUP(B421,CENY!$B$11:$G$1034,3,FALSE)</f>
        <v>#N/A</v>
      </c>
      <c r="E421" s="63" t="e">
        <f>IF(VLOOKUP(B421,CENY!$B$11:$G$1034,4,FALSE)=0,"",VLOOKUP(B421,CENY!$B$11:$G$1034,4,FALSE))</f>
        <v>#N/A</v>
      </c>
      <c r="F421" s="45" t="str">
        <f t="shared" si="64"/>
        <v/>
      </c>
      <c r="G421" s="59" t="e">
        <f>VLOOKUP(B421,CENY!$B$11:$M$1034,12,FALSE)</f>
        <v>#N/A</v>
      </c>
      <c r="H421" s="61" t="e">
        <f t="shared" si="67"/>
        <v>#N/A</v>
      </c>
      <c r="I421" s="46" t="str">
        <f t="shared" si="68"/>
        <v/>
      </c>
      <c r="J421" s="138"/>
      <c r="K421" s="47" t="e">
        <f>VLOOKUP(B421,CENY!$B$11:$M$1034,8,FALSE)</f>
        <v>#N/A</v>
      </c>
      <c r="L421" s="47" t="e">
        <f>VLOOKUP(B421,CENY!$B$11:$M$1034,9,FALSE)</f>
        <v>#N/A</v>
      </c>
      <c r="M421" s="55"/>
      <c r="N421" s="38">
        <f t="shared" si="69"/>
        <v>0</v>
      </c>
      <c r="O421" s="39">
        <v>0</v>
      </c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  <c r="BH421" s="41"/>
      <c r="BI421" s="41"/>
      <c r="BJ421" s="41"/>
      <c r="BK421" s="41"/>
      <c r="BL421" s="41"/>
      <c r="BM421" s="41"/>
      <c r="BN421" s="41"/>
      <c r="BO421" s="42"/>
      <c r="BP421" s="42"/>
      <c r="BQ421" s="42"/>
      <c r="BR421" s="42"/>
      <c r="BS421" s="42"/>
      <c r="BT421" s="42"/>
      <c r="BU421" s="42"/>
      <c r="BV421" s="42"/>
      <c r="BW421" s="41"/>
      <c r="BX421" s="43">
        <v>0</v>
      </c>
      <c r="BY421" s="35"/>
      <c r="BZ421" s="27"/>
      <c r="CA421" s="27"/>
      <c r="CB421" s="27"/>
      <c r="CC421" s="27"/>
      <c r="CD421" s="27"/>
      <c r="CE421" s="27"/>
      <c r="CF421" s="27"/>
    </row>
    <row r="422" spans="1:84" ht="15" customHeight="1">
      <c r="A422" s="4"/>
      <c r="B422" s="44"/>
      <c r="C422" s="48" t="e">
        <f>VLOOKUP(B422,CENY!$B$11:$G$1034,2,FALSE)</f>
        <v>#N/A</v>
      </c>
      <c r="D422" s="44" t="e">
        <f>VLOOKUP(B422,CENY!$B$11:$G$1034,3,FALSE)</f>
        <v>#N/A</v>
      </c>
      <c r="E422" s="63" t="e">
        <f>IF(VLOOKUP(B422,CENY!$B$11:$G$1034,4,FALSE)=0,"",VLOOKUP(B422,CENY!$B$11:$G$1034,4,FALSE))</f>
        <v>#N/A</v>
      </c>
      <c r="F422" s="45" t="str">
        <f t="shared" si="64"/>
        <v/>
      </c>
      <c r="G422" s="59" t="e">
        <f>VLOOKUP(B422,CENY!$B$11:$M$1034,12,FALSE)</f>
        <v>#N/A</v>
      </c>
      <c r="H422" s="61" t="e">
        <f t="shared" si="67"/>
        <v>#N/A</v>
      </c>
      <c r="I422" s="46" t="str">
        <f t="shared" si="68"/>
        <v/>
      </c>
      <c r="J422" s="138"/>
      <c r="K422" s="47" t="e">
        <f>VLOOKUP(B422,CENY!$B$11:$M$1034,8,FALSE)</f>
        <v>#N/A</v>
      </c>
      <c r="L422" s="47" t="e">
        <f>VLOOKUP(B422,CENY!$B$11:$M$1034,9,FALSE)</f>
        <v>#N/A</v>
      </c>
      <c r="M422" s="55"/>
      <c r="N422" s="38">
        <f t="shared" si="69"/>
        <v>0</v>
      </c>
      <c r="O422" s="39">
        <v>0</v>
      </c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/>
      <c r="BH422" s="41"/>
      <c r="BI422" s="41"/>
      <c r="BJ422" s="41"/>
      <c r="BK422" s="41"/>
      <c r="BL422" s="41"/>
      <c r="BM422" s="41"/>
      <c r="BN422" s="41"/>
      <c r="BO422" s="42"/>
      <c r="BP422" s="42"/>
      <c r="BQ422" s="42"/>
      <c r="BR422" s="42"/>
      <c r="BS422" s="42"/>
      <c r="BT422" s="42"/>
      <c r="BU422" s="42"/>
      <c r="BV422" s="42"/>
      <c r="BW422" s="41"/>
      <c r="BX422" s="43">
        <v>0</v>
      </c>
      <c r="BY422" s="35"/>
      <c r="BZ422" s="27"/>
      <c r="CA422" s="27"/>
      <c r="CB422" s="27"/>
      <c r="CC422" s="27"/>
      <c r="CD422" s="27"/>
      <c r="CE422" s="27"/>
      <c r="CF422" s="27"/>
    </row>
    <row r="423" spans="1:84" ht="15" customHeight="1">
      <c r="A423" s="4"/>
      <c r="B423" s="44"/>
      <c r="C423" s="48" t="e">
        <f>VLOOKUP(B423,CENY!$B$11:$G$1034,2,FALSE)</f>
        <v>#N/A</v>
      </c>
      <c r="D423" s="44" t="e">
        <f>VLOOKUP(B423,CENY!$B$11:$G$1034,3,FALSE)</f>
        <v>#N/A</v>
      </c>
      <c r="E423" s="63" t="e">
        <f>IF(VLOOKUP(B423,CENY!$B$11:$G$1034,4,FALSE)=0,"",VLOOKUP(B423,CENY!$B$11:$G$1034,4,FALSE))</f>
        <v>#N/A</v>
      </c>
      <c r="F423" s="45" t="str">
        <f t="shared" si="64"/>
        <v/>
      </c>
      <c r="G423" s="59" t="e">
        <f>VLOOKUP(B423,CENY!$B$11:$M$1034,12,FALSE)</f>
        <v>#N/A</v>
      </c>
      <c r="H423" s="61" t="e">
        <f t="shared" si="67"/>
        <v>#N/A</v>
      </c>
      <c r="I423" s="46" t="str">
        <f t="shared" si="68"/>
        <v/>
      </c>
      <c r="J423" s="138"/>
      <c r="K423" s="47" t="e">
        <f>VLOOKUP(B423,CENY!$B$11:$M$1034,8,FALSE)</f>
        <v>#N/A</v>
      </c>
      <c r="L423" s="47" t="e">
        <f>VLOOKUP(B423,CENY!$B$11:$M$1034,9,FALSE)</f>
        <v>#N/A</v>
      </c>
      <c r="M423" s="55"/>
      <c r="N423" s="38">
        <f t="shared" si="69"/>
        <v>0</v>
      </c>
      <c r="O423" s="39">
        <v>0</v>
      </c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  <c r="BF423" s="41"/>
      <c r="BG423" s="41"/>
      <c r="BH423" s="41"/>
      <c r="BI423" s="41"/>
      <c r="BJ423" s="41"/>
      <c r="BK423" s="41"/>
      <c r="BL423" s="41"/>
      <c r="BM423" s="41"/>
      <c r="BN423" s="41"/>
      <c r="BO423" s="42"/>
      <c r="BP423" s="42"/>
      <c r="BQ423" s="42"/>
      <c r="BR423" s="42"/>
      <c r="BS423" s="42"/>
      <c r="BT423" s="42"/>
      <c r="BU423" s="42"/>
      <c r="BV423" s="42"/>
      <c r="BW423" s="41"/>
      <c r="BX423" s="43">
        <v>0</v>
      </c>
      <c r="BY423" s="35"/>
      <c r="BZ423" s="27"/>
      <c r="CA423" s="27"/>
      <c r="CB423" s="27"/>
      <c r="CC423" s="27"/>
      <c r="CD423" s="27"/>
      <c r="CE423" s="27"/>
      <c r="CF423" s="27"/>
    </row>
    <row r="424" spans="1:84" ht="15" customHeight="1">
      <c r="A424" s="4"/>
      <c r="B424" s="44"/>
      <c r="C424" s="48" t="e">
        <f>VLOOKUP(B424,CENY!$B$11:$G$1034,2,FALSE)</f>
        <v>#N/A</v>
      </c>
      <c r="D424" s="44" t="e">
        <f>VLOOKUP(B424,CENY!$B$11:$G$1034,3,FALSE)</f>
        <v>#N/A</v>
      </c>
      <c r="E424" s="63" t="e">
        <f>IF(VLOOKUP(B424,CENY!$B$11:$G$1034,4,FALSE)=0,"",VLOOKUP(B424,CENY!$B$11:$G$1034,4,FALSE))</f>
        <v>#N/A</v>
      </c>
      <c r="F424" s="45" t="str">
        <f t="shared" si="64"/>
        <v/>
      </c>
      <c r="G424" s="59" t="e">
        <f>VLOOKUP(B424,CENY!$B$11:$M$1034,12,FALSE)</f>
        <v>#N/A</v>
      </c>
      <c r="H424" s="61" t="e">
        <f t="shared" si="67"/>
        <v>#N/A</v>
      </c>
      <c r="I424" s="46" t="str">
        <f t="shared" si="68"/>
        <v/>
      </c>
      <c r="J424" s="138"/>
      <c r="K424" s="47" t="e">
        <f>VLOOKUP(B424,CENY!$B$11:$M$1034,8,FALSE)</f>
        <v>#N/A</v>
      </c>
      <c r="L424" s="47" t="e">
        <f>VLOOKUP(B424,CENY!$B$11:$M$1034,9,FALSE)</f>
        <v>#N/A</v>
      </c>
      <c r="M424" s="55"/>
      <c r="N424" s="38">
        <f t="shared" si="69"/>
        <v>0</v>
      </c>
      <c r="O424" s="39">
        <v>0</v>
      </c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/>
      <c r="BH424" s="41"/>
      <c r="BI424" s="41"/>
      <c r="BJ424" s="41"/>
      <c r="BK424" s="41"/>
      <c r="BL424" s="41"/>
      <c r="BM424" s="41"/>
      <c r="BN424" s="41"/>
      <c r="BO424" s="42"/>
      <c r="BP424" s="42"/>
      <c r="BQ424" s="42"/>
      <c r="BR424" s="42"/>
      <c r="BS424" s="42"/>
      <c r="BT424" s="42"/>
      <c r="BU424" s="42"/>
      <c r="BV424" s="42"/>
      <c r="BW424" s="41"/>
      <c r="BX424" s="43">
        <v>0</v>
      </c>
      <c r="BY424" s="35"/>
      <c r="BZ424" s="27"/>
      <c r="CA424" s="27"/>
      <c r="CB424" s="27"/>
      <c r="CC424" s="27"/>
      <c r="CD424" s="27"/>
      <c r="CE424" s="27"/>
      <c r="CF424" s="27"/>
    </row>
    <row r="425" spans="1:84" ht="15" customHeight="1">
      <c r="A425" s="4"/>
      <c r="B425" s="44"/>
      <c r="C425" s="48" t="e">
        <f>VLOOKUP(B425,CENY!$B$11:$G$1034,2,FALSE)</f>
        <v>#N/A</v>
      </c>
      <c r="D425" s="44" t="e">
        <f>VLOOKUP(B425,CENY!$B$11:$G$1034,3,FALSE)</f>
        <v>#N/A</v>
      </c>
      <c r="E425" s="63" t="e">
        <f>IF(VLOOKUP(B425,CENY!$B$11:$G$1034,4,FALSE)=0,"",VLOOKUP(B425,CENY!$B$11:$G$1034,4,FALSE))</f>
        <v>#N/A</v>
      </c>
      <c r="F425" s="45" t="str">
        <f t="shared" si="64"/>
        <v/>
      </c>
      <c r="G425" s="59" t="e">
        <f>VLOOKUP(B425,CENY!$B$11:$M$1034,12,FALSE)</f>
        <v>#N/A</v>
      </c>
      <c r="H425" s="61" t="e">
        <f t="shared" si="67"/>
        <v>#N/A</v>
      </c>
      <c r="I425" s="46" t="str">
        <f t="shared" si="68"/>
        <v/>
      </c>
      <c r="J425" s="138"/>
      <c r="K425" s="47" t="e">
        <f>VLOOKUP(B425,CENY!$B$11:$M$1034,8,FALSE)</f>
        <v>#N/A</v>
      </c>
      <c r="L425" s="47" t="e">
        <f>VLOOKUP(B425,CENY!$B$11:$M$1034,9,FALSE)</f>
        <v>#N/A</v>
      </c>
      <c r="M425" s="55"/>
      <c r="N425" s="38">
        <f t="shared" si="69"/>
        <v>0</v>
      </c>
      <c r="O425" s="39">
        <v>0</v>
      </c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  <c r="BF425" s="41"/>
      <c r="BG425" s="41"/>
      <c r="BH425" s="41"/>
      <c r="BI425" s="41"/>
      <c r="BJ425" s="41"/>
      <c r="BK425" s="41"/>
      <c r="BL425" s="41"/>
      <c r="BM425" s="41"/>
      <c r="BN425" s="41"/>
      <c r="BO425" s="42"/>
      <c r="BP425" s="42"/>
      <c r="BQ425" s="42"/>
      <c r="BR425" s="42"/>
      <c r="BS425" s="42"/>
      <c r="BT425" s="42"/>
      <c r="BU425" s="42"/>
      <c r="BV425" s="42"/>
      <c r="BW425" s="41"/>
      <c r="BX425" s="43">
        <v>0</v>
      </c>
      <c r="BY425" s="35"/>
      <c r="BZ425" s="27"/>
      <c r="CA425" s="27"/>
      <c r="CB425" s="27"/>
      <c r="CC425" s="27"/>
      <c r="CD425" s="27"/>
      <c r="CE425" s="27"/>
      <c r="CF425" s="27"/>
    </row>
    <row r="426" spans="1:84" ht="15" customHeight="1">
      <c r="A426" s="4"/>
      <c r="B426" s="44"/>
      <c r="C426" s="48" t="e">
        <f>VLOOKUP(B426,CENY!$B$11:$G$1034,2,FALSE)</f>
        <v>#N/A</v>
      </c>
      <c r="D426" s="44" t="e">
        <f>VLOOKUP(B426,CENY!$B$11:$G$1034,3,FALSE)</f>
        <v>#N/A</v>
      </c>
      <c r="E426" s="63" t="e">
        <f>IF(VLOOKUP(B426,CENY!$B$11:$G$1034,4,FALSE)=0,"",VLOOKUP(B426,CENY!$B$11:$G$1034,4,FALSE))</f>
        <v>#N/A</v>
      </c>
      <c r="F426" s="45" t="str">
        <f t="shared" si="64"/>
        <v/>
      </c>
      <c r="G426" s="59" t="e">
        <f>VLOOKUP(B426,CENY!$B$11:$M$1034,12,FALSE)</f>
        <v>#N/A</v>
      </c>
      <c r="H426" s="61" t="e">
        <f t="shared" si="67"/>
        <v>#N/A</v>
      </c>
      <c r="I426" s="46" t="str">
        <f t="shared" si="68"/>
        <v/>
      </c>
      <c r="J426" s="138"/>
      <c r="K426" s="47" t="e">
        <f>VLOOKUP(B426,CENY!$B$11:$M$1034,8,FALSE)</f>
        <v>#N/A</v>
      </c>
      <c r="L426" s="47" t="e">
        <f>VLOOKUP(B426,CENY!$B$11:$M$1034,9,FALSE)</f>
        <v>#N/A</v>
      </c>
      <c r="M426" s="55"/>
      <c r="N426" s="38">
        <f t="shared" si="69"/>
        <v>0</v>
      </c>
      <c r="O426" s="39">
        <v>0</v>
      </c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  <c r="BF426" s="41"/>
      <c r="BG426" s="41"/>
      <c r="BH426" s="41"/>
      <c r="BI426" s="41"/>
      <c r="BJ426" s="41"/>
      <c r="BK426" s="41"/>
      <c r="BL426" s="41"/>
      <c r="BM426" s="41"/>
      <c r="BN426" s="41"/>
      <c r="BO426" s="42"/>
      <c r="BP426" s="42"/>
      <c r="BQ426" s="42"/>
      <c r="BR426" s="42"/>
      <c r="BS426" s="42"/>
      <c r="BT426" s="42"/>
      <c r="BU426" s="42"/>
      <c r="BV426" s="42"/>
      <c r="BW426" s="41"/>
      <c r="BX426" s="43">
        <v>0</v>
      </c>
      <c r="BY426" s="35"/>
      <c r="BZ426" s="27"/>
      <c r="CA426" s="27"/>
      <c r="CB426" s="27"/>
      <c r="CC426" s="27"/>
      <c r="CD426" s="27"/>
      <c r="CE426" s="27"/>
      <c r="CF426" s="27"/>
    </row>
    <row r="427" spans="1:84" ht="15" customHeight="1">
      <c r="A427" s="4"/>
      <c r="B427" s="44"/>
      <c r="C427" s="48" t="e">
        <f>VLOOKUP(B427,CENY!$B$11:$G$1034,2,FALSE)</f>
        <v>#N/A</v>
      </c>
      <c r="D427" s="44" t="e">
        <f>VLOOKUP(B427,CENY!$B$11:$G$1034,3,FALSE)</f>
        <v>#N/A</v>
      </c>
      <c r="E427" s="63" t="e">
        <f>IF(VLOOKUP(B427,CENY!$B$11:$G$1034,4,FALSE)=0,"",VLOOKUP(B427,CENY!$B$11:$G$1034,4,FALSE))</f>
        <v>#N/A</v>
      </c>
      <c r="F427" s="45" t="str">
        <f t="shared" si="64"/>
        <v/>
      </c>
      <c r="G427" s="59" t="e">
        <f>VLOOKUP(B427,CENY!$B$11:$M$1034,12,FALSE)</f>
        <v>#N/A</v>
      </c>
      <c r="H427" s="61" t="e">
        <f t="shared" si="67"/>
        <v>#N/A</v>
      </c>
      <c r="I427" s="46" t="str">
        <f t="shared" si="68"/>
        <v/>
      </c>
      <c r="J427" s="138"/>
      <c r="K427" s="47" t="e">
        <f>VLOOKUP(B427,CENY!$B$11:$M$1034,8,FALSE)</f>
        <v>#N/A</v>
      </c>
      <c r="L427" s="47" t="e">
        <f>VLOOKUP(B427,CENY!$B$11:$M$1034,9,FALSE)</f>
        <v>#N/A</v>
      </c>
      <c r="M427" s="55"/>
      <c r="N427" s="38">
        <f t="shared" si="69"/>
        <v>0</v>
      </c>
      <c r="O427" s="39">
        <v>0</v>
      </c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/>
      <c r="BH427" s="41"/>
      <c r="BI427" s="41"/>
      <c r="BJ427" s="41"/>
      <c r="BK427" s="41"/>
      <c r="BL427" s="41"/>
      <c r="BM427" s="41"/>
      <c r="BN427" s="41"/>
      <c r="BO427" s="42"/>
      <c r="BP427" s="42"/>
      <c r="BQ427" s="42"/>
      <c r="BR427" s="42"/>
      <c r="BS427" s="42"/>
      <c r="BT427" s="42"/>
      <c r="BU427" s="42"/>
      <c r="BV427" s="42"/>
      <c r="BW427" s="41"/>
      <c r="BX427" s="43">
        <v>0</v>
      </c>
      <c r="BY427" s="35"/>
      <c r="BZ427" s="27"/>
      <c r="CA427" s="27"/>
      <c r="CB427" s="27"/>
      <c r="CC427" s="27"/>
      <c r="CD427" s="27"/>
      <c r="CE427" s="27"/>
      <c r="CF427" s="27"/>
    </row>
    <row r="428" spans="1:84" ht="15" customHeight="1">
      <c r="A428" s="4"/>
      <c r="B428" s="44"/>
      <c r="C428" s="48" t="e">
        <f>VLOOKUP(B428,CENY!$B$11:$G$1034,2,FALSE)</f>
        <v>#N/A</v>
      </c>
      <c r="D428" s="44" t="e">
        <f>VLOOKUP(B428,CENY!$B$11:$G$1034,3,FALSE)</f>
        <v>#N/A</v>
      </c>
      <c r="E428" s="63" t="e">
        <f>IF(VLOOKUP(B428,CENY!$B$11:$G$1034,4,FALSE)=0,"",VLOOKUP(B428,CENY!$B$11:$G$1034,4,FALSE))</f>
        <v>#N/A</v>
      </c>
      <c r="F428" s="45" t="str">
        <f t="shared" si="64"/>
        <v/>
      </c>
      <c r="G428" s="59" t="e">
        <f>VLOOKUP(B428,CENY!$B$11:$M$1034,12,FALSE)</f>
        <v>#N/A</v>
      </c>
      <c r="H428" s="61" t="e">
        <f t="shared" si="67"/>
        <v>#N/A</v>
      </c>
      <c r="I428" s="46" t="str">
        <f t="shared" si="68"/>
        <v/>
      </c>
      <c r="J428" s="138"/>
      <c r="K428" s="47" t="e">
        <f>VLOOKUP(B428,CENY!$B$11:$M$1034,8,FALSE)</f>
        <v>#N/A</v>
      </c>
      <c r="L428" s="47" t="e">
        <f>VLOOKUP(B428,CENY!$B$11:$M$1034,9,FALSE)</f>
        <v>#N/A</v>
      </c>
      <c r="M428" s="55"/>
      <c r="N428" s="38">
        <f t="shared" si="69"/>
        <v>0</v>
      </c>
      <c r="O428" s="39">
        <v>0</v>
      </c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  <c r="BF428" s="41"/>
      <c r="BG428" s="41"/>
      <c r="BH428" s="41"/>
      <c r="BI428" s="41"/>
      <c r="BJ428" s="41"/>
      <c r="BK428" s="41"/>
      <c r="BL428" s="41"/>
      <c r="BM428" s="41"/>
      <c r="BN428" s="41"/>
      <c r="BO428" s="42"/>
      <c r="BP428" s="42"/>
      <c r="BQ428" s="42"/>
      <c r="BR428" s="42"/>
      <c r="BS428" s="42"/>
      <c r="BT428" s="42"/>
      <c r="BU428" s="42"/>
      <c r="BV428" s="42"/>
      <c r="BW428" s="41"/>
      <c r="BX428" s="41">
        <v>0</v>
      </c>
      <c r="BY428" s="35"/>
      <c r="BZ428" s="27"/>
      <c r="CA428" s="27"/>
      <c r="CB428" s="27"/>
      <c r="CC428" s="27"/>
      <c r="CD428" s="27"/>
      <c r="CE428" s="27"/>
      <c r="CF428" s="27"/>
    </row>
    <row r="429" spans="1:84" ht="15" customHeight="1">
      <c r="A429" s="4"/>
      <c r="B429" s="44"/>
      <c r="C429" s="48" t="e">
        <f>VLOOKUP(B429,CENY!$B$11:$G$1034,2,FALSE)</f>
        <v>#N/A</v>
      </c>
      <c r="D429" s="44" t="e">
        <f>VLOOKUP(B429,CENY!$B$11:$G$1034,3,FALSE)</f>
        <v>#N/A</v>
      </c>
      <c r="E429" s="63" t="e">
        <f>IF(VLOOKUP(B429,CENY!$B$11:$G$1034,4,FALSE)=0,"",VLOOKUP(B429,CENY!$B$11:$G$1034,4,FALSE))</f>
        <v>#N/A</v>
      </c>
      <c r="F429" s="45" t="str">
        <f t="shared" si="64"/>
        <v/>
      </c>
      <c r="G429" s="59" t="e">
        <f>VLOOKUP(B429,CENY!$B$11:$M$1034,12,FALSE)</f>
        <v>#N/A</v>
      </c>
      <c r="H429" s="61" t="e">
        <f t="shared" si="67"/>
        <v>#N/A</v>
      </c>
      <c r="I429" s="46" t="str">
        <f t="shared" si="68"/>
        <v/>
      </c>
      <c r="J429" s="138"/>
      <c r="K429" s="47" t="e">
        <f>VLOOKUP(B429,CENY!$B$11:$M$1034,8,FALSE)</f>
        <v>#N/A</v>
      </c>
      <c r="L429" s="47" t="e">
        <f>VLOOKUP(B429,CENY!$B$11:$M$1034,9,FALSE)</f>
        <v>#N/A</v>
      </c>
      <c r="M429" s="55"/>
      <c r="N429" s="38">
        <f t="shared" si="69"/>
        <v>0</v>
      </c>
      <c r="O429" s="39">
        <v>0</v>
      </c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/>
      <c r="BH429" s="41"/>
      <c r="BI429" s="41"/>
      <c r="BJ429" s="41"/>
      <c r="BK429" s="41"/>
      <c r="BL429" s="41"/>
      <c r="BM429" s="41"/>
      <c r="BN429" s="41"/>
      <c r="BO429" s="42"/>
      <c r="BP429" s="42"/>
      <c r="BQ429" s="42"/>
      <c r="BR429" s="42"/>
      <c r="BS429" s="42"/>
      <c r="BT429" s="42"/>
      <c r="BU429" s="42"/>
      <c r="BV429" s="42"/>
      <c r="BW429" s="41"/>
      <c r="BX429" s="41">
        <v>0</v>
      </c>
      <c r="BY429" s="35"/>
      <c r="BZ429" s="27"/>
      <c r="CA429" s="27"/>
      <c r="CB429" s="27"/>
      <c r="CC429" s="27"/>
      <c r="CD429" s="27"/>
      <c r="CE429" s="27"/>
      <c r="CF429" s="27"/>
    </row>
    <row r="430" spans="1:84" ht="15" customHeight="1">
      <c r="A430" s="4"/>
      <c r="B430" s="44"/>
      <c r="C430" s="48" t="e">
        <f>VLOOKUP(B430,CENY!$B$11:$G$1034,2,FALSE)</f>
        <v>#N/A</v>
      </c>
      <c r="D430" s="44" t="e">
        <f>VLOOKUP(B430,CENY!$B$11:$G$1034,3,FALSE)</f>
        <v>#N/A</v>
      </c>
      <c r="E430" s="63" t="e">
        <f>IF(VLOOKUP(B430,CENY!$B$11:$G$1034,4,FALSE)=0,"",VLOOKUP(B430,CENY!$B$11:$G$1034,4,FALSE))</f>
        <v>#N/A</v>
      </c>
      <c r="F430" s="45" t="str">
        <f t="shared" si="64"/>
        <v/>
      </c>
      <c r="G430" s="59" t="e">
        <f>VLOOKUP(B430,CENY!$B$11:$M$1034,12,FALSE)</f>
        <v>#N/A</v>
      </c>
      <c r="H430" s="61" t="e">
        <f t="shared" si="67"/>
        <v>#N/A</v>
      </c>
      <c r="I430" s="46" t="str">
        <f t="shared" si="68"/>
        <v/>
      </c>
      <c r="J430" s="138"/>
      <c r="K430" s="47" t="e">
        <f>VLOOKUP(B430,CENY!$B$11:$M$1034,8,FALSE)</f>
        <v>#N/A</v>
      </c>
      <c r="L430" s="47" t="e">
        <f>VLOOKUP(B430,CENY!$B$11:$M$1034,9,FALSE)</f>
        <v>#N/A</v>
      </c>
      <c r="M430" s="55"/>
      <c r="N430" s="38">
        <f t="shared" si="69"/>
        <v>0</v>
      </c>
      <c r="O430" s="39">
        <v>0</v>
      </c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  <c r="BF430" s="41"/>
      <c r="BG430" s="41"/>
      <c r="BH430" s="41"/>
      <c r="BI430" s="41"/>
      <c r="BJ430" s="41"/>
      <c r="BK430" s="41"/>
      <c r="BL430" s="41"/>
      <c r="BM430" s="41"/>
      <c r="BN430" s="41"/>
      <c r="BO430" s="42"/>
      <c r="BP430" s="42"/>
      <c r="BQ430" s="42"/>
      <c r="BR430" s="42"/>
      <c r="BS430" s="42"/>
      <c r="BT430" s="42"/>
      <c r="BU430" s="42"/>
      <c r="BV430" s="42"/>
      <c r="BW430" s="41"/>
      <c r="BX430" s="41">
        <v>0</v>
      </c>
      <c r="BY430" s="35"/>
      <c r="BZ430" s="27"/>
      <c r="CA430" s="27"/>
      <c r="CB430" s="27"/>
      <c r="CC430" s="27"/>
      <c r="CD430" s="27"/>
      <c r="CE430" s="27"/>
      <c r="CF430" s="27"/>
    </row>
    <row r="431" spans="1:84" ht="15" customHeight="1">
      <c r="A431" s="4"/>
      <c r="B431" s="44"/>
      <c r="C431" s="48" t="e">
        <f>VLOOKUP(B431,CENY!$B$11:$G$1034,2,FALSE)</f>
        <v>#N/A</v>
      </c>
      <c r="D431" s="44" t="e">
        <f>VLOOKUP(B431,CENY!$B$11:$G$1034,3,FALSE)</f>
        <v>#N/A</v>
      </c>
      <c r="E431" s="63" t="e">
        <f>IF(VLOOKUP(B431,CENY!$B$11:$G$1034,4,FALSE)=0,"",VLOOKUP(B431,CENY!$B$11:$G$1034,4,FALSE))</f>
        <v>#N/A</v>
      </c>
      <c r="F431" s="45" t="str">
        <f t="shared" si="64"/>
        <v/>
      </c>
      <c r="G431" s="59" t="e">
        <f>VLOOKUP(B431,CENY!$B$11:$M$1034,12,FALSE)</f>
        <v>#N/A</v>
      </c>
      <c r="H431" s="61" t="e">
        <f t="shared" si="67"/>
        <v>#N/A</v>
      </c>
      <c r="I431" s="46" t="str">
        <f t="shared" si="68"/>
        <v/>
      </c>
      <c r="J431" s="138"/>
      <c r="K431" s="47" t="e">
        <f>VLOOKUP(B431,CENY!$B$11:$M$1034,8,FALSE)</f>
        <v>#N/A</v>
      </c>
      <c r="L431" s="47" t="e">
        <f>VLOOKUP(B431,CENY!$B$11:$M$1034,9,FALSE)</f>
        <v>#N/A</v>
      </c>
      <c r="M431" s="55"/>
      <c r="N431" s="38">
        <f t="shared" si="69"/>
        <v>0</v>
      </c>
      <c r="O431" s="39">
        <v>0</v>
      </c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  <c r="BH431" s="41"/>
      <c r="BI431" s="41"/>
      <c r="BJ431" s="41"/>
      <c r="BK431" s="41"/>
      <c r="BL431" s="41"/>
      <c r="BM431" s="41"/>
      <c r="BN431" s="41"/>
      <c r="BO431" s="42"/>
      <c r="BP431" s="42"/>
      <c r="BQ431" s="42"/>
      <c r="BR431" s="42"/>
      <c r="BS431" s="42"/>
      <c r="BT431" s="42"/>
      <c r="BU431" s="42"/>
      <c r="BV431" s="42"/>
      <c r="BW431" s="41"/>
      <c r="BX431" s="41">
        <v>0</v>
      </c>
      <c r="BY431" s="35"/>
      <c r="BZ431" s="27"/>
      <c r="CA431" s="27"/>
      <c r="CB431" s="27"/>
      <c r="CC431" s="27"/>
      <c r="CD431" s="27"/>
      <c r="CE431" s="27"/>
      <c r="CF431" s="27"/>
    </row>
    <row r="432" spans="1:84" ht="8.1" customHeight="1">
      <c r="A432" s="4"/>
      <c r="B432" s="142"/>
      <c r="C432" s="48"/>
      <c r="D432" s="48"/>
      <c r="E432" s="63"/>
      <c r="F432" s="67" t="str">
        <f>IF(SUM(F388:F431)=0,"",1)</f>
        <v/>
      </c>
      <c r="G432" s="59"/>
      <c r="H432" s="61"/>
      <c r="I432" s="46"/>
      <c r="J432" s="138"/>
      <c r="K432" s="47"/>
      <c r="L432" s="47"/>
      <c r="M432" s="55"/>
      <c r="N432" s="38">
        <f t="shared" si="69"/>
        <v>0</v>
      </c>
      <c r="O432" s="39">
        <v>0</v>
      </c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  <c r="BF432" s="41"/>
      <c r="BG432" s="41"/>
      <c r="BH432" s="41"/>
      <c r="BI432" s="41"/>
      <c r="BJ432" s="41"/>
      <c r="BK432" s="41"/>
      <c r="BL432" s="41"/>
      <c r="BM432" s="41"/>
      <c r="BN432" s="41"/>
      <c r="BO432" s="42"/>
      <c r="BP432" s="42"/>
      <c r="BQ432" s="42"/>
      <c r="BR432" s="42"/>
      <c r="BS432" s="42"/>
      <c r="BT432" s="42"/>
      <c r="BU432" s="42"/>
      <c r="BV432" s="42"/>
      <c r="BW432" s="41"/>
      <c r="BX432" s="43"/>
      <c r="BY432" s="35"/>
      <c r="BZ432" s="27"/>
      <c r="CA432" s="27"/>
      <c r="CB432" s="27"/>
      <c r="CC432" s="27"/>
      <c r="CD432" s="27"/>
      <c r="CE432" s="27"/>
      <c r="CF432" s="27"/>
    </row>
    <row r="433" spans="1:84" ht="15" customHeight="1">
      <c r="A433" s="4"/>
      <c r="B433" s="44">
        <f>CENY!B1029</f>
        <v>9099540</v>
      </c>
      <c r="C433" s="48" t="str">
        <f>VLOOKUP(B433,CENY!$B$11:$G$1034,2,FALSE)</f>
        <v>SENSYS 8657I 165° B12,5 TH52</v>
      </c>
      <c r="D433" s="44">
        <f>VLOOKUP(B433,CENY!$B$11:$G$1034,3,FALSE)</f>
        <v>50</v>
      </c>
      <c r="E433" s="63" t="str">
        <f>IF(VLOOKUP(B433,CENY!$B$11:$G$1034,4,FALSE)=0,"",VLOOKUP(B433,CENY!$B$11:$G$1034,4,FALSE))</f>
        <v/>
      </c>
      <c r="F433" s="45" t="str">
        <f>IF(J433&lt;&gt;"",J433,IF(N433=0,"",N433))</f>
        <v/>
      </c>
      <c r="G433" s="59">
        <f>VLOOKUP(B433,CENY!$B$11:$M$1034,12,FALSE)</f>
        <v>142.76</v>
      </c>
      <c r="H433" s="61" t="str">
        <f t="shared" si="67"/>
        <v xml:space="preserve"> CZK</v>
      </c>
      <c r="I433" s="46" t="str">
        <f t="shared" si="68"/>
        <v/>
      </c>
      <c r="J433" s="138"/>
      <c r="K433" s="47">
        <f>VLOOKUP(B433,CENY!$B$11:$M$1034,8,FALSE)</f>
        <v>0</v>
      </c>
      <c r="L433" s="47" t="str">
        <f>VLOOKUP(B433,CENY!$B$11:$M$1034,9,FALSE)</f>
        <v xml:space="preserve"> </v>
      </c>
      <c r="M433" s="55"/>
      <c r="N433" s="38">
        <f t="shared" si="69"/>
        <v>0</v>
      </c>
      <c r="O433" s="39">
        <v>0</v>
      </c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186">
        <f>'potr-ot-R'!$AY95</f>
        <v>0</v>
      </c>
      <c r="BB433" s="186">
        <f>'potr-ot-DS'!$AY95</f>
        <v>0</v>
      </c>
      <c r="BC433" s="41"/>
      <c r="BD433" s="41"/>
      <c r="BE433" s="41"/>
      <c r="BF433" s="41"/>
      <c r="BG433" s="41"/>
      <c r="BH433" s="41"/>
      <c r="BI433" s="41"/>
      <c r="BJ433" s="41"/>
      <c r="BK433" s="41"/>
      <c r="BL433" s="41"/>
      <c r="BM433" s="41"/>
      <c r="BN433" s="41"/>
      <c r="BO433" s="42"/>
      <c r="BP433" s="42"/>
      <c r="BQ433" s="42"/>
      <c r="BR433" s="42"/>
      <c r="BS433" s="42"/>
      <c r="BT433" s="42"/>
      <c r="BU433" s="42"/>
      <c r="BV433" s="42"/>
      <c r="BW433" s="41"/>
      <c r="BX433" s="41"/>
      <c r="BY433" s="35"/>
      <c r="BZ433" s="27"/>
      <c r="CA433" s="27"/>
      <c r="CB433" s="27"/>
      <c r="CC433" s="27"/>
      <c r="CD433" s="27"/>
      <c r="CE433" s="27"/>
      <c r="CF433" s="27"/>
    </row>
    <row r="434" spans="1:84" ht="15" customHeight="1">
      <c r="A434" s="4"/>
      <c r="B434" s="44">
        <f>CENY!B1030</f>
        <v>9099600</v>
      </c>
      <c r="C434" s="48" t="str">
        <f>VLOOKUP(B434,CENY!$B$11:$G$1034,2,FALSE)</f>
        <v>SENSYS 8657 165° B12,5 TH52 BEZ TLUMIČE</v>
      </c>
      <c r="D434" s="44">
        <f>VLOOKUP(B434,CENY!$B$11:$G$1034,3,FALSE)</f>
        <v>50</v>
      </c>
      <c r="E434" s="63" t="str">
        <f>IF(VLOOKUP(B434,CENY!$B$11:$G$1034,4,FALSE)=0,"",VLOOKUP(B434,CENY!$B$11:$G$1034,4,FALSE))</f>
        <v/>
      </c>
      <c r="F434" s="45" t="str">
        <f>IF(J434&lt;&gt;"",J434,IF(F433="","",0))</f>
        <v/>
      </c>
      <c r="G434" s="59">
        <f>VLOOKUP(B434,CENY!$B$11:$M$1034,12,FALSE)</f>
        <v>124.34</v>
      </c>
      <c r="H434" s="61" t="str">
        <f t="shared" si="67"/>
        <v xml:space="preserve"> CZK</v>
      </c>
      <c r="I434" s="46" t="str">
        <f t="shared" si="68"/>
        <v/>
      </c>
      <c r="J434" s="138"/>
      <c r="K434" s="47">
        <f>VLOOKUP(B434,CENY!$B$11:$M$1034,8,FALSE)</f>
        <v>0</v>
      </c>
      <c r="L434" s="47" t="str">
        <f>VLOOKUP(B434,CENY!$B$11:$M$1034,9,FALSE)</f>
        <v xml:space="preserve"> </v>
      </c>
      <c r="M434" s="55"/>
      <c r="N434" s="38">
        <f t="shared" si="69"/>
        <v>0</v>
      </c>
      <c r="O434" s="39">
        <v>0</v>
      </c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/>
      <c r="BH434" s="41"/>
      <c r="BI434" s="41"/>
      <c r="BJ434" s="41"/>
      <c r="BK434" s="41"/>
      <c r="BL434" s="41"/>
      <c r="BM434" s="41"/>
      <c r="BN434" s="41"/>
      <c r="BO434" s="42"/>
      <c r="BP434" s="42"/>
      <c r="BQ434" s="42"/>
      <c r="BR434" s="42"/>
      <c r="BS434" s="42"/>
      <c r="BT434" s="42"/>
      <c r="BU434" s="42"/>
      <c r="BV434" s="42"/>
      <c r="BW434" s="41"/>
      <c r="BX434" s="41"/>
      <c r="BY434" s="35"/>
      <c r="BZ434" s="27"/>
      <c r="CA434" s="27"/>
      <c r="CB434" s="27"/>
      <c r="CC434" s="27"/>
      <c r="CD434" s="27"/>
      <c r="CE434" s="27"/>
      <c r="CF434" s="27"/>
    </row>
    <row r="435" spans="1:84" ht="15" customHeight="1">
      <c r="A435" s="4"/>
      <c r="B435" s="44">
        <f>CENY!B1031</f>
        <v>9099660</v>
      </c>
      <c r="C435" s="48" t="str">
        <f>VLOOKUP(B435,CENY!$B$11:$G$1034,2,FALSE)</f>
        <v>SENSYS 8687 165° B12,5 TH52 BEZ PRUŽINY</v>
      </c>
      <c r="D435" s="44">
        <f>VLOOKUP(B435,CENY!$B$11:$G$1034,3,FALSE)</f>
        <v>50</v>
      </c>
      <c r="E435" s="63" t="str">
        <f>IF(VLOOKUP(B435,CENY!$B$11:$G$1034,4,FALSE)=0,"",VLOOKUP(B435,CENY!$B$11:$G$1034,4,FALSE))</f>
        <v/>
      </c>
      <c r="F435" s="45" t="str">
        <f>IF(J435&lt;&gt;"",J435,IF(F433="","",0))</f>
        <v/>
      </c>
      <c r="G435" s="59">
        <f>VLOOKUP(B435,CENY!$B$11:$M$1034,12,FALSE)</f>
        <v>128.94</v>
      </c>
      <c r="H435" s="61" t="str">
        <f t="shared" si="67"/>
        <v xml:space="preserve"> CZK</v>
      </c>
      <c r="I435" s="46" t="str">
        <f t="shared" si="68"/>
        <v/>
      </c>
      <c r="J435" s="138"/>
      <c r="K435" s="47">
        <f>VLOOKUP(B435,CENY!$B$11:$M$1034,8,FALSE)</f>
        <v>0</v>
      </c>
      <c r="L435" s="47" t="str">
        <f>VLOOKUP(B435,CENY!$B$11:$M$1034,9,FALSE)</f>
        <v xml:space="preserve"> </v>
      </c>
      <c r="M435" s="55"/>
      <c r="N435" s="38">
        <f t="shared" si="69"/>
        <v>0</v>
      </c>
      <c r="O435" s="39">
        <v>0</v>
      </c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  <c r="BF435" s="41"/>
      <c r="BG435" s="41"/>
      <c r="BH435" s="41"/>
      <c r="BI435" s="41"/>
      <c r="BJ435" s="41"/>
      <c r="BK435" s="41"/>
      <c r="BL435" s="41"/>
      <c r="BM435" s="41"/>
      <c r="BN435" s="41"/>
      <c r="BO435" s="42"/>
      <c r="BP435" s="42"/>
      <c r="BQ435" s="42"/>
      <c r="BR435" s="42"/>
      <c r="BS435" s="42"/>
      <c r="BT435" s="42"/>
      <c r="BU435" s="42"/>
      <c r="BV435" s="42"/>
      <c r="BW435" s="41"/>
      <c r="BX435" s="41"/>
      <c r="BY435" s="35"/>
      <c r="BZ435" s="27"/>
      <c r="CA435" s="27"/>
      <c r="CB435" s="27"/>
      <c r="CC435" s="27"/>
      <c r="CD435" s="27"/>
      <c r="CE435" s="27"/>
      <c r="CF435" s="27"/>
    </row>
    <row r="436" spans="1:84" ht="15" customHeight="1">
      <c r="A436" s="4"/>
      <c r="B436" s="44">
        <f>CENY!B1032</f>
        <v>9071576</v>
      </c>
      <c r="C436" s="48" t="str">
        <f>VLOOKUP(B436,CENY!$B$11:$G$1034,2,FALSE)</f>
        <v xml:space="preserve">PODLOŽKA 8099 D1,5 </v>
      </c>
      <c r="D436" s="44">
        <f>VLOOKUP(B436,CENY!$B$11:$G$1034,3,FALSE)</f>
        <v>200</v>
      </c>
      <c r="E436" s="63" t="str">
        <f>IF(VLOOKUP(B436,CENY!$B$11:$G$1034,4,FALSE)=0,"",VLOOKUP(B436,CENY!$B$11:$G$1034,4,FALSE))</f>
        <v/>
      </c>
      <c r="F436" s="45" t="str">
        <f>IF(J436&lt;&gt;"",J436,IF(N436=0,"",N436))</f>
        <v/>
      </c>
      <c r="G436" s="59">
        <f>VLOOKUP(B436,CENY!$B$11:$M$1034,12,FALSE)</f>
        <v>7.79</v>
      </c>
      <c r="H436" s="61" t="str">
        <f t="shared" si="67"/>
        <v xml:space="preserve"> CZK</v>
      </c>
      <c r="I436" s="46" t="str">
        <f t="shared" si="68"/>
        <v/>
      </c>
      <c r="J436" s="138"/>
      <c r="K436" s="47">
        <f>VLOOKUP(B436,CENY!$B$11:$M$1034,8,FALSE)</f>
        <v>0</v>
      </c>
      <c r="L436" s="47" t="str">
        <f>VLOOKUP(B436,CENY!$B$11:$M$1034,9,FALSE)</f>
        <v xml:space="preserve"> </v>
      </c>
      <c r="M436" s="55"/>
      <c r="N436" s="38">
        <f t="shared" si="69"/>
        <v>0</v>
      </c>
      <c r="O436" s="39">
        <v>0</v>
      </c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186">
        <f>'potr-ot-R'!$AY98</f>
        <v>0</v>
      </c>
      <c r="BB436" s="186">
        <f>'potr-ot-DS'!$AY98</f>
        <v>0</v>
      </c>
      <c r="BC436" s="41"/>
      <c r="BD436" s="41"/>
      <c r="BE436" s="41"/>
      <c r="BF436" s="41"/>
      <c r="BG436" s="41"/>
      <c r="BH436" s="41"/>
      <c r="BI436" s="41"/>
      <c r="BJ436" s="41"/>
      <c r="BK436" s="41"/>
      <c r="BL436" s="41"/>
      <c r="BM436" s="41"/>
      <c r="BN436" s="41"/>
      <c r="BO436" s="42"/>
      <c r="BP436" s="42"/>
      <c r="BQ436" s="42"/>
      <c r="BR436" s="42"/>
      <c r="BS436" s="42"/>
      <c r="BT436" s="42"/>
      <c r="BU436" s="42"/>
      <c r="BV436" s="42"/>
      <c r="BW436" s="41"/>
      <c r="BX436" s="41"/>
      <c r="BY436" s="35"/>
      <c r="BZ436" s="27"/>
      <c r="CA436" s="27"/>
      <c r="CB436" s="27"/>
      <c r="CC436" s="27"/>
      <c r="CD436" s="27"/>
      <c r="CE436" s="27"/>
      <c r="CF436" s="27"/>
    </row>
    <row r="437" spans="1:84" ht="15" customHeight="1">
      <c r="A437" s="4"/>
      <c r="B437" s="44">
        <f>CENY!B1033</f>
        <v>9071671</v>
      </c>
      <c r="C437" s="48" t="str">
        <f>VLOOKUP(B437,CENY!$B$11:$G$1034,2,FALSE)</f>
        <v>PODLOŽKA 8099 D1,5 EXCENTR VRUTY</v>
      </c>
      <c r="D437" s="44">
        <f>VLOOKUP(B437,CENY!$B$11:$G$1034,3,FALSE)</f>
        <v>200</v>
      </c>
      <c r="E437" s="63" t="str">
        <f>IF(VLOOKUP(B437,CENY!$B$11:$G$1034,4,FALSE)=0,"",VLOOKUP(B437,CENY!$B$11:$G$1034,4,FALSE))</f>
        <v/>
      </c>
      <c r="F437" s="45" t="str">
        <f>IF(J437&lt;&gt;"",J437,IF(F436="","",0))</f>
        <v/>
      </c>
      <c r="G437" s="59">
        <f>VLOOKUP(B437,CENY!$B$11:$M$1034,12,FALSE)</f>
        <v>15.98</v>
      </c>
      <c r="H437" s="61" t="str">
        <f t="shared" si="67"/>
        <v xml:space="preserve"> CZK</v>
      </c>
      <c r="I437" s="46" t="str">
        <f t="shared" si="68"/>
        <v/>
      </c>
      <c r="J437" s="138"/>
      <c r="K437" s="47">
        <f>VLOOKUP(B437,CENY!$B$11:$M$1034,8,FALSE)</f>
        <v>0</v>
      </c>
      <c r="L437" s="47" t="str">
        <f>VLOOKUP(B437,CENY!$B$11:$M$1034,9,FALSE)</f>
        <v xml:space="preserve"> </v>
      </c>
      <c r="M437" s="55"/>
      <c r="N437" s="38">
        <f t="shared" si="69"/>
        <v>0</v>
      </c>
      <c r="O437" s="39">
        <v>0</v>
      </c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  <c r="BF437" s="41"/>
      <c r="BG437" s="41"/>
      <c r="BH437" s="41"/>
      <c r="BI437" s="41"/>
      <c r="BJ437" s="41"/>
      <c r="BK437" s="41"/>
      <c r="BL437" s="41"/>
      <c r="BM437" s="41"/>
      <c r="BN437" s="41"/>
      <c r="BO437" s="42"/>
      <c r="BP437" s="42"/>
      <c r="BQ437" s="42"/>
      <c r="BR437" s="42"/>
      <c r="BS437" s="42"/>
      <c r="BT437" s="42"/>
      <c r="BU437" s="42"/>
      <c r="BV437" s="42"/>
      <c r="BW437" s="41"/>
      <c r="BX437" s="41"/>
      <c r="BY437" s="35"/>
      <c r="BZ437" s="27"/>
      <c r="CA437" s="27"/>
      <c r="CB437" s="27"/>
      <c r="CC437" s="27"/>
      <c r="CD437" s="27"/>
      <c r="CE437" s="27"/>
      <c r="CF437" s="27"/>
    </row>
    <row r="438" spans="1:84" ht="15" customHeight="1">
      <c r="A438" s="4"/>
      <c r="B438" s="139"/>
      <c r="C438" s="139"/>
      <c r="D438" s="140"/>
      <c r="E438" s="141"/>
      <c r="F438" s="140"/>
      <c r="G438" s="278"/>
      <c r="H438" s="61" t="str">
        <f t="shared" ref="H438:H447" si="70">IF(G438="","",$H$22)</f>
        <v/>
      </c>
      <c r="I438" s="46" t="str">
        <f t="shared" ref="I438:I447" si="71">IF(F438="","",G438*F438)</f>
        <v/>
      </c>
      <c r="J438" s="47"/>
      <c r="K438" s="47"/>
      <c r="L438" s="140"/>
      <c r="M438" s="55"/>
      <c r="N438" s="38">
        <f t="shared" si="69"/>
        <v>0</v>
      </c>
      <c r="O438" s="39">
        <v>0</v>
      </c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  <c r="BF438" s="41"/>
      <c r="BG438" s="41"/>
      <c r="BH438" s="41"/>
      <c r="BI438" s="41"/>
      <c r="BJ438" s="41"/>
      <c r="BK438" s="41"/>
      <c r="BL438" s="41"/>
      <c r="BM438" s="41"/>
      <c r="BN438" s="41"/>
      <c r="BO438" s="41"/>
      <c r="BP438" s="41"/>
      <c r="BQ438" s="41"/>
      <c r="BR438" s="41"/>
      <c r="BS438" s="41"/>
      <c r="BT438" s="41"/>
      <c r="BU438" s="41"/>
      <c r="BV438" s="41"/>
      <c r="BW438" s="41"/>
      <c r="BX438" s="41"/>
      <c r="BY438" s="35"/>
      <c r="BZ438" s="27"/>
      <c r="CA438" s="27"/>
      <c r="CB438" s="27"/>
      <c r="CC438" s="27"/>
      <c r="CD438" s="27"/>
      <c r="CE438" s="27"/>
      <c r="CF438" s="27"/>
    </row>
    <row r="439" spans="1:84" ht="15" customHeight="1">
      <c r="A439" s="4"/>
      <c r="B439" s="139"/>
      <c r="C439" s="139"/>
      <c r="D439" s="140"/>
      <c r="E439" s="141"/>
      <c r="F439" s="140"/>
      <c r="G439" s="278"/>
      <c r="H439" s="61" t="str">
        <f t="shared" si="70"/>
        <v/>
      </c>
      <c r="I439" s="46" t="str">
        <f t="shared" si="71"/>
        <v/>
      </c>
      <c r="J439" s="47"/>
      <c r="K439" s="47"/>
      <c r="L439" s="140"/>
      <c r="M439" s="55"/>
      <c r="N439" s="38">
        <f t="shared" si="69"/>
        <v>0</v>
      </c>
      <c r="O439" s="39">
        <v>0</v>
      </c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  <c r="BF439" s="41"/>
      <c r="BG439" s="41"/>
      <c r="BH439" s="41"/>
      <c r="BI439" s="41"/>
      <c r="BJ439" s="41"/>
      <c r="BK439" s="41"/>
      <c r="BL439" s="41"/>
      <c r="BM439" s="41"/>
      <c r="BN439" s="41"/>
      <c r="BO439" s="41"/>
      <c r="BP439" s="41"/>
      <c r="BQ439" s="41"/>
      <c r="BR439" s="41"/>
      <c r="BS439" s="41"/>
      <c r="BT439" s="41"/>
      <c r="BU439" s="41"/>
      <c r="BV439" s="41"/>
      <c r="BW439" s="41"/>
      <c r="BX439" s="41"/>
      <c r="BY439" s="35"/>
      <c r="BZ439" s="27"/>
      <c r="CA439" s="27"/>
      <c r="CB439" s="27"/>
      <c r="CC439" s="27"/>
      <c r="CD439" s="27"/>
      <c r="CE439" s="27"/>
      <c r="CF439" s="27"/>
    </row>
    <row r="440" spans="1:84" ht="15" customHeight="1">
      <c r="A440" s="4"/>
      <c r="B440" s="139"/>
      <c r="C440" s="139"/>
      <c r="D440" s="140"/>
      <c r="E440" s="141"/>
      <c r="F440" s="140"/>
      <c r="G440" s="278"/>
      <c r="H440" s="61" t="str">
        <f t="shared" si="70"/>
        <v/>
      </c>
      <c r="I440" s="46" t="str">
        <f t="shared" si="71"/>
        <v/>
      </c>
      <c r="J440" s="47"/>
      <c r="K440" s="47"/>
      <c r="L440" s="140"/>
      <c r="M440" s="55"/>
      <c r="N440" s="38">
        <f t="shared" si="69"/>
        <v>0</v>
      </c>
      <c r="O440" s="39">
        <v>0</v>
      </c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  <c r="BF440" s="41"/>
      <c r="BG440" s="41"/>
      <c r="BH440" s="41"/>
      <c r="BI440" s="41"/>
      <c r="BJ440" s="41"/>
      <c r="BK440" s="41"/>
      <c r="BL440" s="41"/>
      <c r="BM440" s="41"/>
      <c r="BN440" s="41"/>
      <c r="BO440" s="41"/>
      <c r="BP440" s="41"/>
      <c r="BQ440" s="41"/>
      <c r="BR440" s="41"/>
      <c r="BS440" s="41"/>
      <c r="BT440" s="41"/>
      <c r="BU440" s="41"/>
      <c r="BV440" s="41"/>
      <c r="BW440" s="41"/>
      <c r="BX440" s="41"/>
      <c r="BY440" s="35"/>
      <c r="BZ440" s="27"/>
      <c r="CA440" s="27"/>
      <c r="CB440" s="27"/>
      <c r="CC440" s="27"/>
      <c r="CD440" s="27"/>
      <c r="CE440" s="27"/>
      <c r="CF440" s="27"/>
    </row>
    <row r="441" spans="1:84" ht="15" customHeight="1">
      <c r="A441" s="4"/>
      <c r="B441" s="139"/>
      <c r="C441" s="139"/>
      <c r="D441" s="140"/>
      <c r="E441" s="141"/>
      <c r="F441" s="140"/>
      <c r="G441" s="278"/>
      <c r="H441" s="61" t="str">
        <f t="shared" si="70"/>
        <v/>
      </c>
      <c r="I441" s="46" t="str">
        <f t="shared" si="71"/>
        <v/>
      </c>
      <c r="J441" s="47"/>
      <c r="K441" s="47"/>
      <c r="L441" s="140"/>
      <c r="M441" s="55"/>
      <c r="N441" s="38">
        <f t="shared" si="69"/>
        <v>0</v>
      </c>
      <c r="O441" s="39">
        <v>0</v>
      </c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  <c r="BF441" s="41"/>
      <c r="BG441" s="41"/>
      <c r="BH441" s="41"/>
      <c r="BI441" s="41"/>
      <c r="BJ441" s="41"/>
      <c r="BK441" s="41"/>
      <c r="BL441" s="41"/>
      <c r="BM441" s="41"/>
      <c r="BN441" s="41"/>
      <c r="BO441" s="41"/>
      <c r="BP441" s="41"/>
      <c r="BQ441" s="41"/>
      <c r="BR441" s="41"/>
      <c r="BS441" s="41"/>
      <c r="BT441" s="41"/>
      <c r="BU441" s="41"/>
      <c r="BV441" s="41"/>
      <c r="BW441" s="41"/>
      <c r="BX441" s="41"/>
      <c r="BY441" s="35"/>
      <c r="BZ441" s="27"/>
      <c r="CA441" s="27"/>
      <c r="CB441" s="27"/>
      <c r="CC441" s="27"/>
      <c r="CD441" s="27"/>
      <c r="CE441" s="27"/>
      <c r="CF441" s="27"/>
    </row>
    <row r="442" spans="1:84" ht="15" customHeight="1">
      <c r="A442" s="4"/>
      <c r="B442" s="139"/>
      <c r="C442" s="139"/>
      <c r="D442" s="140"/>
      <c r="E442" s="141"/>
      <c r="F442" s="140"/>
      <c r="G442" s="278"/>
      <c r="H442" s="61" t="str">
        <f t="shared" si="70"/>
        <v/>
      </c>
      <c r="I442" s="46" t="str">
        <f t="shared" si="71"/>
        <v/>
      </c>
      <c r="J442" s="47"/>
      <c r="K442" s="47"/>
      <c r="L442" s="140"/>
      <c r="M442" s="55"/>
      <c r="N442" s="38">
        <f t="shared" si="69"/>
        <v>0</v>
      </c>
      <c r="O442" s="39">
        <v>0</v>
      </c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  <c r="BF442" s="41"/>
      <c r="BG442" s="41"/>
      <c r="BH442" s="41"/>
      <c r="BI442" s="41"/>
      <c r="BJ442" s="41"/>
      <c r="BK442" s="41"/>
      <c r="BL442" s="41"/>
      <c r="BM442" s="41"/>
      <c r="BN442" s="41"/>
      <c r="BO442" s="41"/>
      <c r="BP442" s="41"/>
      <c r="BQ442" s="41"/>
      <c r="BR442" s="41"/>
      <c r="BS442" s="41"/>
      <c r="BT442" s="41"/>
      <c r="BU442" s="41"/>
      <c r="BV442" s="41"/>
      <c r="BW442" s="41"/>
      <c r="BX442" s="41"/>
      <c r="BY442" s="35"/>
      <c r="BZ442" s="27"/>
      <c r="CA442" s="27"/>
      <c r="CB442" s="27"/>
      <c r="CC442" s="27"/>
      <c r="CD442" s="27"/>
      <c r="CE442" s="27"/>
      <c r="CF442" s="27"/>
    </row>
    <row r="443" spans="1:84" ht="15" customHeight="1">
      <c r="A443" s="4"/>
      <c r="B443" s="139"/>
      <c r="C443" s="139"/>
      <c r="D443" s="140"/>
      <c r="E443" s="141"/>
      <c r="F443" s="140"/>
      <c r="G443" s="278"/>
      <c r="H443" s="61" t="str">
        <f t="shared" si="70"/>
        <v/>
      </c>
      <c r="I443" s="46" t="str">
        <f t="shared" si="71"/>
        <v/>
      </c>
      <c r="J443" s="47"/>
      <c r="K443" s="47"/>
      <c r="L443" s="140"/>
      <c r="M443" s="55"/>
      <c r="N443" s="38">
        <f t="shared" si="69"/>
        <v>0</v>
      </c>
      <c r="O443" s="39">
        <v>0</v>
      </c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  <c r="BF443" s="41"/>
      <c r="BG443" s="41"/>
      <c r="BH443" s="41"/>
      <c r="BI443" s="41"/>
      <c r="BJ443" s="41"/>
      <c r="BK443" s="41"/>
      <c r="BL443" s="41"/>
      <c r="BM443" s="41"/>
      <c r="BN443" s="41"/>
      <c r="BO443" s="41"/>
      <c r="BP443" s="41"/>
      <c r="BQ443" s="41"/>
      <c r="BR443" s="41"/>
      <c r="BS443" s="41"/>
      <c r="BT443" s="41"/>
      <c r="BU443" s="41"/>
      <c r="BV443" s="41"/>
      <c r="BW443" s="41"/>
      <c r="BX443" s="41"/>
      <c r="BY443" s="35"/>
      <c r="BZ443" s="27"/>
      <c r="CA443" s="27"/>
      <c r="CB443" s="27"/>
      <c r="CC443" s="27"/>
      <c r="CD443" s="27"/>
      <c r="CE443" s="27"/>
      <c r="CF443" s="27"/>
    </row>
    <row r="444" spans="1:84" ht="15" customHeight="1">
      <c r="A444" s="4"/>
      <c r="B444" s="139"/>
      <c r="C444" s="139"/>
      <c r="D444" s="140"/>
      <c r="E444" s="141"/>
      <c r="F444" s="140"/>
      <c r="G444" s="278"/>
      <c r="H444" s="61" t="str">
        <f t="shared" si="70"/>
        <v/>
      </c>
      <c r="I444" s="46" t="str">
        <f t="shared" si="71"/>
        <v/>
      </c>
      <c r="J444" s="47"/>
      <c r="K444" s="47"/>
      <c r="L444" s="140"/>
      <c r="M444" s="55"/>
      <c r="N444" s="38">
        <f t="shared" si="69"/>
        <v>0</v>
      </c>
      <c r="O444" s="39">
        <v>0</v>
      </c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  <c r="BF444" s="41"/>
      <c r="BG444" s="41"/>
      <c r="BH444" s="41"/>
      <c r="BI444" s="41"/>
      <c r="BJ444" s="41"/>
      <c r="BK444" s="41"/>
      <c r="BL444" s="41"/>
      <c r="BM444" s="41"/>
      <c r="BN444" s="41"/>
      <c r="BO444" s="41"/>
      <c r="BP444" s="41"/>
      <c r="BQ444" s="41"/>
      <c r="BR444" s="41"/>
      <c r="BS444" s="41"/>
      <c r="BT444" s="41"/>
      <c r="BU444" s="41"/>
      <c r="BV444" s="41"/>
      <c r="BW444" s="41"/>
      <c r="BX444" s="41"/>
      <c r="BY444" s="35"/>
      <c r="BZ444" s="27"/>
      <c r="CA444" s="27"/>
      <c r="CB444" s="27"/>
      <c r="CC444" s="27"/>
      <c r="CD444" s="27"/>
      <c r="CE444" s="27"/>
      <c r="CF444" s="27"/>
    </row>
    <row r="445" spans="1:84" ht="15" customHeight="1">
      <c r="A445" s="4"/>
      <c r="B445" s="139"/>
      <c r="C445" s="139"/>
      <c r="D445" s="140"/>
      <c r="E445" s="141"/>
      <c r="F445" s="140"/>
      <c r="G445" s="278"/>
      <c r="H445" s="61" t="str">
        <f t="shared" si="70"/>
        <v/>
      </c>
      <c r="I445" s="46" t="str">
        <f t="shared" si="71"/>
        <v/>
      </c>
      <c r="J445" s="47"/>
      <c r="K445" s="47"/>
      <c r="L445" s="140"/>
      <c r="M445" s="55"/>
      <c r="N445" s="38">
        <f t="shared" si="69"/>
        <v>0</v>
      </c>
      <c r="O445" s="39">
        <v>0</v>
      </c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  <c r="BF445" s="41"/>
      <c r="BG445" s="41"/>
      <c r="BH445" s="41"/>
      <c r="BI445" s="41"/>
      <c r="BJ445" s="41"/>
      <c r="BK445" s="41"/>
      <c r="BL445" s="41"/>
      <c r="BM445" s="41"/>
      <c r="BN445" s="41"/>
      <c r="BO445" s="41"/>
      <c r="BP445" s="41"/>
      <c r="BQ445" s="41"/>
      <c r="BR445" s="41"/>
      <c r="BS445" s="41"/>
      <c r="BT445" s="41"/>
      <c r="BU445" s="41"/>
      <c r="BV445" s="41"/>
      <c r="BW445" s="41"/>
      <c r="BX445" s="41"/>
      <c r="BY445" s="35"/>
      <c r="BZ445" s="27"/>
      <c r="CA445" s="27"/>
      <c r="CB445" s="27"/>
      <c r="CC445" s="27"/>
      <c r="CD445" s="27"/>
      <c r="CE445" s="27"/>
      <c r="CF445" s="27"/>
    </row>
    <row r="446" spans="1:84" ht="15" customHeight="1">
      <c r="A446" s="4"/>
      <c r="B446" s="139"/>
      <c r="C446" s="139"/>
      <c r="D446" s="140"/>
      <c r="E446" s="141"/>
      <c r="F446" s="140"/>
      <c r="G446" s="278"/>
      <c r="H446" s="61" t="str">
        <f t="shared" si="70"/>
        <v/>
      </c>
      <c r="I446" s="46" t="str">
        <f t="shared" si="71"/>
        <v/>
      </c>
      <c r="J446" s="47"/>
      <c r="K446" s="47"/>
      <c r="L446" s="140"/>
      <c r="M446" s="55"/>
      <c r="N446" s="38">
        <f t="shared" si="69"/>
        <v>0</v>
      </c>
      <c r="O446" s="39">
        <v>0</v>
      </c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  <c r="BF446" s="41"/>
      <c r="BG446" s="41"/>
      <c r="BH446" s="41"/>
      <c r="BI446" s="41"/>
      <c r="BJ446" s="41"/>
      <c r="BK446" s="41"/>
      <c r="BL446" s="41"/>
      <c r="BM446" s="41"/>
      <c r="BN446" s="41"/>
      <c r="BO446" s="41"/>
      <c r="BP446" s="41"/>
      <c r="BQ446" s="41"/>
      <c r="BR446" s="41"/>
      <c r="BS446" s="41"/>
      <c r="BT446" s="41"/>
      <c r="BU446" s="41"/>
      <c r="BV446" s="41"/>
      <c r="BW446" s="41"/>
      <c r="BX446" s="41"/>
      <c r="BY446" s="35"/>
      <c r="BZ446" s="27"/>
      <c r="CA446" s="27"/>
      <c r="CB446" s="27"/>
      <c r="CC446" s="27"/>
      <c r="CD446" s="27"/>
      <c r="CE446" s="27"/>
      <c r="CF446" s="27"/>
    </row>
    <row r="447" spans="1:84" ht="15" customHeight="1">
      <c r="A447" s="4"/>
      <c r="B447" s="139"/>
      <c r="C447" s="139"/>
      <c r="D447" s="140"/>
      <c r="E447" s="141"/>
      <c r="F447" s="140"/>
      <c r="G447" s="278"/>
      <c r="H447" s="61" t="str">
        <f t="shared" si="70"/>
        <v/>
      </c>
      <c r="I447" s="46" t="str">
        <f t="shared" si="71"/>
        <v/>
      </c>
      <c r="J447" s="47"/>
      <c r="K447" s="47"/>
      <c r="L447" s="140"/>
      <c r="M447" s="55"/>
      <c r="N447" s="38">
        <f t="shared" si="69"/>
        <v>0</v>
      </c>
      <c r="O447" s="39">
        <v>0</v>
      </c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  <c r="BF447" s="41"/>
      <c r="BG447" s="41"/>
      <c r="BH447" s="41"/>
      <c r="BI447" s="41"/>
      <c r="BJ447" s="41"/>
      <c r="BK447" s="41"/>
      <c r="BL447" s="41"/>
      <c r="BM447" s="41"/>
      <c r="BN447" s="41"/>
      <c r="BO447" s="41"/>
      <c r="BP447" s="41"/>
      <c r="BQ447" s="41"/>
      <c r="BR447" s="41"/>
      <c r="BS447" s="41"/>
      <c r="BT447" s="41"/>
      <c r="BU447" s="41"/>
      <c r="BV447" s="41"/>
      <c r="BW447" s="41"/>
      <c r="BX447" s="41"/>
      <c r="BY447" s="35"/>
      <c r="BZ447" s="27"/>
      <c r="CA447" s="27"/>
      <c r="CB447" s="27"/>
      <c r="CC447" s="27"/>
      <c r="CD447" s="27"/>
      <c r="CE447" s="27"/>
      <c r="CF447" s="27"/>
    </row>
    <row r="448" spans="1:84" ht="15" customHeight="1">
      <c r="A448" s="4"/>
      <c r="B448" s="4"/>
      <c r="C448" s="49"/>
      <c r="D448" s="27"/>
      <c r="E448" s="50"/>
      <c r="F448" s="27"/>
      <c r="G448" s="27"/>
      <c r="H448" s="27"/>
      <c r="I448" s="27"/>
      <c r="J448" s="35"/>
      <c r="K448" s="27"/>
      <c r="L448" s="27"/>
      <c r="M448" s="55"/>
      <c r="N448" s="27"/>
      <c r="O448" s="28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  <c r="BF448" s="41"/>
      <c r="BG448" s="41"/>
      <c r="BH448" s="41"/>
      <c r="BI448" s="41"/>
      <c r="BJ448" s="41"/>
      <c r="BK448" s="41"/>
      <c r="BL448" s="41"/>
      <c r="BM448" s="41"/>
      <c r="BN448" s="41"/>
      <c r="BO448" s="41"/>
      <c r="BP448" s="41"/>
      <c r="BQ448" s="41"/>
      <c r="BR448" s="41"/>
      <c r="BS448" s="41"/>
      <c r="BT448" s="41"/>
      <c r="BU448" s="41"/>
      <c r="BV448" s="41"/>
      <c r="BW448" s="41"/>
      <c r="BX448" s="41"/>
      <c r="BY448" s="35"/>
      <c r="BZ448" s="27"/>
      <c r="CA448" s="27"/>
      <c r="CB448" s="27"/>
      <c r="CC448" s="27"/>
      <c r="CD448" s="27"/>
      <c r="CE448" s="27"/>
      <c r="CF448" s="27"/>
    </row>
    <row r="449" spans="1:84" ht="15" customHeight="1">
      <c r="A449" s="4"/>
      <c r="B449" s="4"/>
      <c r="C449" s="65"/>
      <c r="D449" s="65"/>
      <c r="E449" s="51"/>
      <c r="F449" s="52" t="s">
        <v>53</v>
      </c>
      <c r="G449" s="713">
        <f>SUM(I23:I447)</f>
        <v>0</v>
      </c>
      <c r="H449" s="713"/>
      <c r="I449" s="713"/>
      <c r="J449" s="66" t="str">
        <f>$H$22</f>
        <v xml:space="preserve"> CZK</v>
      </c>
      <c r="K449" s="27"/>
      <c r="L449" s="27"/>
      <c r="M449" s="27"/>
      <c r="N449" s="27"/>
      <c r="O449" s="28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  <c r="BF449" s="41"/>
      <c r="BG449" s="41"/>
      <c r="BH449" s="41"/>
      <c r="BI449" s="41"/>
      <c r="BJ449" s="41"/>
      <c r="BK449" s="41"/>
      <c r="BL449" s="41"/>
      <c r="BM449" s="41"/>
      <c r="BN449" s="41"/>
      <c r="BO449" s="41"/>
      <c r="BP449" s="41"/>
      <c r="BQ449" s="41"/>
      <c r="BR449" s="41"/>
      <c r="BS449" s="41"/>
      <c r="BT449" s="41"/>
      <c r="BU449" s="41"/>
      <c r="BV449" s="41"/>
      <c r="BW449" s="41"/>
      <c r="BX449" s="41"/>
      <c r="BY449" s="35"/>
      <c r="BZ449" s="27"/>
      <c r="CA449" s="27"/>
      <c r="CB449" s="27"/>
      <c r="CC449" s="27"/>
      <c r="CD449" s="27"/>
      <c r="CE449" s="27"/>
      <c r="CF449" s="27"/>
    </row>
    <row r="450" spans="1:84" ht="15" customHeight="1">
      <c r="A450" s="4"/>
      <c r="B450" s="4"/>
      <c r="C450" s="49"/>
      <c r="D450" s="27"/>
      <c r="E450" s="50"/>
      <c r="F450" s="27"/>
      <c r="G450" s="27"/>
      <c r="H450" s="27"/>
      <c r="I450" s="27"/>
      <c r="J450" s="35"/>
      <c r="K450" s="27"/>
      <c r="L450" s="27"/>
      <c r="M450" s="27"/>
      <c r="N450" s="27"/>
      <c r="O450" s="28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  <c r="BF450" s="41"/>
      <c r="BG450" s="41"/>
      <c r="BH450" s="41"/>
      <c r="BI450" s="41"/>
      <c r="BJ450" s="41"/>
      <c r="BK450" s="41"/>
      <c r="BL450" s="41"/>
      <c r="BM450" s="41"/>
      <c r="BN450" s="41"/>
      <c r="BO450" s="41"/>
      <c r="BP450" s="41"/>
      <c r="BQ450" s="41"/>
      <c r="BR450" s="41"/>
      <c r="BS450" s="41"/>
      <c r="BT450" s="41"/>
      <c r="BU450" s="41"/>
      <c r="BV450" s="41"/>
      <c r="BW450" s="41"/>
      <c r="BX450" s="41"/>
      <c r="BY450" s="35"/>
      <c r="BZ450" s="27"/>
      <c r="CA450" s="27"/>
      <c r="CB450" s="27"/>
      <c r="CC450" s="27"/>
      <c r="CD450" s="27"/>
      <c r="CE450" s="27"/>
      <c r="CF450" s="27"/>
    </row>
    <row r="451" spans="1:84" ht="15" customHeight="1">
      <c r="A451" s="4"/>
      <c r="B451" s="4"/>
      <c r="C451" s="53" t="s">
        <v>54</v>
      </c>
      <c r="D451" s="27"/>
      <c r="E451" s="50"/>
      <c r="F451" s="27"/>
      <c r="G451" s="27"/>
      <c r="H451" s="27"/>
      <c r="I451" s="27"/>
      <c r="J451" s="35"/>
      <c r="K451" s="27"/>
      <c r="L451" s="27"/>
      <c r="M451" s="27"/>
      <c r="N451" s="27"/>
      <c r="O451" s="28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  <c r="BF451" s="41"/>
      <c r="BG451" s="41"/>
      <c r="BH451" s="41"/>
      <c r="BI451" s="41"/>
      <c r="BJ451" s="41"/>
      <c r="BK451" s="41"/>
      <c r="BL451" s="41"/>
      <c r="BM451" s="41"/>
      <c r="BN451" s="41"/>
      <c r="BO451" s="41"/>
      <c r="BP451" s="41"/>
      <c r="BQ451" s="41"/>
      <c r="BR451" s="41"/>
      <c r="BS451" s="41"/>
      <c r="BT451" s="41"/>
      <c r="BU451" s="41"/>
      <c r="BV451" s="41"/>
      <c r="BW451" s="41"/>
      <c r="BX451" s="41"/>
      <c r="BY451" s="35"/>
      <c r="BZ451" s="27"/>
      <c r="CA451" s="27"/>
      <c r="CB451" s="27"/>
      <c r="CC451" s="27"/>
      <c r="CD451" s="27"/>
      <c r="CE451" s="27"/>
      <c r="CF451" s="27"/>
    </row>
    <row r="452" spans="1:84" ht="15" customHeight="1">
      <c r="A452" s="4"/>
      <c r="B452" s="4"/>
      <c r="C452" s="53"/>
      <c r="D452" s="27"/>
      <c r="E452" s="50"/>
      <c r="F452" s="27"/>
      <c r="G452" s="27"/>
      <c r="H452" s="27"/>
      <c r="I452" s="27"/>
      <c r="J452" s="35"/>
      <c r="K452" s="27"/>
      <c r="L452" s="27"/>
      <c r="M452" s="27"/>
      <c r="N452" s="27"/>
      <c r="O452" s="28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  <c r="BG452" s="41"/>
      <c r="BH452" s="41"/>
      <c r="BI452" s="41"/>
      <c r="BJ452" s="41"/>
      <c r="BK452" s="41"/>
      <c r="BL452" s="41"/>
      <c r="BM452" s="41"/>
      <c r="BN452" s="41"/>
      <c r="BO452" s="41"/>
      <c r="BP452" s="41"/>
      <c r="BQ452" s="41"/>
      <c r="BR452" s="41"/>
      <c r="BS452" s="41"/>
      <c r="BT452" s="41"/>
      <c r="BU452" s="41"/>
      <c r="BV452" s="41"/>
      <c r="BW452" s="41"/>
      <c r="BX452" s="41"/>
      <c r="BY452" s="35"/>
      <c r="BZ452" s="27"/>
      <c r="CA452" s="27"/>
      <c r="CB452" s="27"/>
      <c r="CC452" s="27"/>
      <c r="CD452" s="27"/>
      <c r="CE452" s="27"/>
      <c r="CF452" s="27"/>
    </row>
    <row r="453" spans="1:84" ht="15" customHeight="1">
      <c r="A453" s="4"/>
      <c r="B453" s="4"/>
      <c r="C453" s="54" t="s">
        <v>55</v>
      </c>
      <c r="D453" s="27"/>
      <c r="E453" s="50"/>
      <c r="F453" s="27"/>
      <c r="G453" s="27"/>
      <c r="H453" s="27"/>
      <c r="I453" s="27"/>
      <c r="J453" s="35"/>
      <c r="K453" s="27"/>
      <c r="L453" s="27"/>
      <c r="M453" s="27"/>
      <c r="N453" s="27"/>
      <c r="O453" s="28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41"/>
      <c r="AZ453" s="41"/>
      <c r="BA453" s="41"/>
      <c r="BB453" s="41"/>
      <c r="BC453" s="41"/>
      <c r="BD453" s="41"/>
      <c r="BE453" s="41"/>
      <c r="BF453" s="41"/>
      <c r="BG453" s="41"/>
      <c r="BH453" s="41"/>
      <c r="BI453" s="41"/>
      <c r="BJ453" s="41"/>
      <c r="BK453" s="41"/>
      <c r="BL453" s="41"/>
      <c r="BM453" s="41"/>
      <c r="BN453" s="41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27"/>
      <c r="CA453" s="27"/>
      <c r="CB453" s="27"/>
      <c r="CC453" s="27"/>
      <c r="CD453" s="27"/>
      <c r="CE453" s="27"/>
      <c r="CF453" s="27"/>
    </row>
    <row r="454" spans="1:84" ht="15" customHeight="1">
      <c r="A454" s="27"/>
      <c r="B454" s="27"/>
      <c r="C454" s="711"/>
      <c r="D454" s="711"/>
      <c r="E454" s="711"/>
      <c r="F454" s="711"/>
      <c r="G454" s="711"/>
      <c r="H454" s="711"/>
      <c r="I454" s="711"/>
      <c r="J454" s="711"/>
      <c r="K454" s="711"/>
      <c r="L454" s="711"/>
      <c r="M454" s="57"/>
      <c r="N454" s="27"/>
      <c r="O454" s="28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41"/>
      <c r="AZ454" s="41"/>
      <c r="BA454" s="41"/>
      <c r="BB454" s="41"/>
      <c r="BC454" s="41"/>
      <c r="BD454" s="41"/>
      <c r="BE454" s="41"/>
      <c r="BF454" s="41"/>
      <c r="BG454" s="41"/>
      <c r="BH454" s="41"/>
      <c r="BI454" s="41"/>
      <c r="BJ454" s="41"/>
      <c r="BK454" s="41"/>
      <c r="BL454" s="41"/>
      <c r="BM454" s="41"/>
      <c r="BN454" s="41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27"/>
      <c r="CA454" s="27"/>
      <c r="CB454" s="27"/>
      <c r="CC454" s="27"/>
      <c r="CD454" s="27"/>
      <c r="CE454" s="27"/>
      <c r="CF454" s="27"/>
    </row>
    <row r="455" spans="1:84" ht="15" customHeight="1">
      <c r="A455" s="27"/>
      <c r="B455" s="27"/>
      <c r="C455" s="711"/>
      <c r="D455" s="711"/>
      <c r="E455" s="711"/>
      <c r="F455" s="711"/>
      <c r="G455" s="711"/>
      <c r="H455" s="711"/>
      <c r="I455" s="711"/>
      <c r="J455" s="711"/>
      <c r="K455" s="711"/>
      <c r="L455" s="711"/>
      <c r="M455" s="57"/>
      <c r="N455" s="27"/>
      <c r="O455" s="28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41"/>
      <c r="AZ455" s="41"/>
      <c r="BA455" s="41"/>
      <c r="BB455" s="41"/>
      <c r="BC455" s="41"/>
      <c r="BD455" s="41"/>
      <c r="BE455" s="41"/>
      <c r="BF455" s="41"/>
      <c r="BG455" s="41"/>
      <c r="BH455" s="41"/>
      <c r="BI455" s="41"/>
      <c r="BJ455" s="41"/>
      <c r="BK455" s="41"/>
      <c r="BL455" s="41"/>
      <c r="BM455" s="41"/>
      <c r="BN455" s="41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27"/>
      <c r="CA455" s="27"/>
      <c r="CB455" s="27"/>
      <c r="CC455" s="27"/>
      <c r="CD455" s="27"/>
      <c r="CE455" s="27"/>
      <c r="CF455" s="27"/>
    </row>
    <row r="456" spans="1:84" ht="15" customHeight="1">
      <c r="A456" s="27"/>
      <c r="B456" s="27"/>
      <c r="C456" s="711"/>
      <c r="D456" s="711"/>
      <c r="E456" s="711"/>
      <c r="F456" s="711"/>
      <c r="G456" s="711"/>
      <c r="H456" s="711"/>
      <c r="I456" s="711"/>
      <c r="J456" s="711"/>
      <c r="K456" s="711"/>
      <c r="L456" s="711"/>
      <c r="M456" s="57"/>
      <c r="N456" s="27"/>
      <c r="O456" s="28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41"/>
      <c r="AZ456" s="41"/>
      <c r="BA456" s="41"/>
      <c r="BB456" s="41"/>
      <c r="BC456" s="41"/>
      <c r="BD456" s="41"/>
      <c r="BE456" s="41"/>
      <c r="BF456" s="41"/>
      <c r="BG456" s="41"/>
      <c r="BH456" s="41"/>
      <c r="BI456" s="41"/>
      <c r="BJ456" s="41"/>
      <c r="BK456" s="41"/>
      <c r="BL456" s="41"/>
      <c r="BM456" s="41"/>
      <c r="BN456" s="41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27"/>
      <c r="CA456" s="27"/>
      <c r="CB456" s="27"/>
      <c r="CC456" s="27"/>
      <c r="CD456" s="27"/>
      <c r="CE456" s="27"/>
      <c r="CF456" s="27"/>
    </row>
    <row r="457" spans="1:84" ht="15" customHeight="1">
      <c r="A457" s="27"/>
      <c r="B457" s="27"/>
      <c r="C457" s="27"/>
      <c r="D457" s="27"/>
      <c r="E457" s="50"/>
      <c r="F457" s="27"/>
      <c r="G457" s="27"/>
      <c r="H457" s="27"/>
      <c r="I457" s="27"/>
      <c r="J457" s="35"/>
      <c r="K457" s="27"/>
      <c r="L457" s="27"/>
      <c r="M457" s="27"/>
      <c r="N457" s="27"/>
      <c r="O457" s="28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41"/>
      <c r="AZ457" s="41"/>
      <c r="BA457" s="41"/>
      <c r="BB457" s="41"/>
      <c r="BC457" s="41"/>
      <c r="BD457" s="41"/>
      <c r="BE457" s="41"/>
      <c r="BF457" s="41"/>
      <c r="BG457" s="41"/>
      <c r="BH457" s="41"/>
      <c r="BI457" s="41"/>
      <c r="BJ457" s="41"/>
      <c r="BK457" s="41"/>
      <c r="BL457" s="41"/>
      <c r="BM457" s="41"/>
      <c r="BN457" s="41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27"/>
      <c r="CA457" s="27"/>
      <c r="CB457" s="27"/>
      <c r="CC457" s="27"/>
      <c r="CD457" s="27"/>
      <c r="CE457" s="27"/>
      <c r="CF457" s="27"/>
    </row>
    <row r="458" spans="1:84" ht="15" customHeight="1">
      <c r="A458" s="27"/>
      <c r="B458" s="172">
        <f ca="1">NOW()</f>
        <v>44146.749666319447</v>
      </c>
      <c r="C458" s="297"/>
      <c r="D458" s="27"/>
      <c r="E458" s="50"/>
      <c r="F458" s="27"/>
      <c r="G458" s="27"/>
      <c r="H458" s="27"/>
      <c r="I458" s="27"/>
      <c r="J458" s="35"/>
      <c r="K458" s="27"/>
      <c r="L458" s="27"/>
      <c r="M458" s="27"/>
      <c r="N458" s="27"/>
      <c r="O458" s="28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41"/>
      <c r="AZ458" s="41"/>
      <c r="BA458" s="41"/>
      <c r="BB458" s="41"/>
      <c r="BC458" s="41"/>
      <c r="BD458" s="41"/>
      <c r="BE458" s="41"/>
      <c r="BF458" s="41"/>
      <c r="BG458" s="41"/>
      <c r="BH458" s="41"/>
      <c r="BI458" s="41"/>
      <c r="BJ458" s="41"/>
      <c r="BK458" s="41"/>
      <c r="BL458" s="41"/>
      <c r="BM458" s="41"/>
      <c r="BN458" s="41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27"/>
      <c r="CA458" s="27"/>
      <c r="CB458" s="27"/>
      <c r="CC458" s="27"/>
      <c r="CD458" s="27"/>
      <c r="CE458" s="27"/>
      <c r="CF458" s="27"/>
    </row>
    <row r="459" spans="1:84" ht="15" customHeight="1">
      <c r="A459" s="27"/>
      <c r="B459" s="172"/>
      <c r="C459" s="27"/>
      <c r="D459" s="27"/>
      <c r="E459" s="50"/>
      <c r="F459" s="27"/>
      <c r="G459" s="27"/>
      <c r="H459" s="27"/>
      <c r="I459" s="27"/>
      <c r="J459" s="35"/>
      <c r="K459" s="27"/>
      <c r="L459" s="27"/>
      <c r="M459" s="27"/>
      <c r="N459" s="27"/>
      <c r="O459" s="28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41"/>
      <c r="AZ459" s="41"/>
      <c r="BA459" s="41"/>
      <c r="BB459" s="41"/>
      <c r="BC459" s="41"/>
      <c r="BD459" s="41"/>
      <c r="BE459" s="41"/>
      <c r="BF459" s="41"/>
      <c r="BG459" s="41"/>
      <c r="BH459" s="41"/>
      <c r="BI459" s="41"/>
      <c r="BJ459" s="41"/>
      <c r="BK459" s="41"/>
      <c r="BL459" s="41"/>
      <c r="BM459" s="41"/>
      <c r="BN459" s="41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27"/>
      <c r="CA459" s="27"/>
      <c r="CB459" s="27"/>
      <c r="CC459" s="27"/>
      <c r="CD459" s="27"/>
      <c r="CE459" s="27"/>
      <c r="CF459" s="27"/>
    </row>
    <row r="460" spans="1:84" ht="15" customHeight="1">
      <c r="A460" s="27"/>
      <c r="B460" s="27"/>
      <c r="C460" s="27" t="str">
        <f>verze!$E$191</f>
        <v>Ve sloupci "Změna" můžeš upravit počty kusů jednotlivých položek.</v>
      </c>
      <c r="D460" s="27"/>
      <c r="E460" s="50"/>
      <c r="F460" s="27"/>
      <c r="G460" s="27"/>
      <c r="H460" s="27"/>
      <c r="I460" s="27"/>
      <c r="J460" s="35"/>
      <c r="K460" s="27"/>
      <c r="L460" s="27"/>
      <c r="M460" s="27"/>
      <c r="N460" s="27"/>
      <c r="O460" s="28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41"/>
      <c r="AZ460" s="41"/>
      <c r="BA460" s="41"/>
      <c r="BB460" s="41"/>
      <c r="BC460" s="41"/>
      <c r="BD460" s="41"/>
      <c r="BE460" s="41"/>
      <c r="BF460" s="41"/>
      <c r="BG460" s="41"/>
      <c r="BH460" s="41"/>
      <c r="BI460" s="41"/>
      <c r="BJ460" s="41"/>
      <c r="BK460" s="41"/>
      <c r="BL460" s="41"/>
      <c r="BM460" s="41"/>
      <c r="BN460" s="41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27"/>
      <c r="CA460" s="27"/>
      <c r="CB460" s="27"/>
      <c r="CC460" s="27"/>
      <c r="CD460" s="27"/>
      <c r="CE460" s="27"/>
      <c r="CF460" s="27"/>
    </row>
    <row r="461" spans="1:84" ht="15" customHeight="1">
      <c r="A461" s="27"/>
      <c r="B461" s="27"/>
      <c r="C461" s="27" t="str">
        <f>verze!$E$192</f>
        <v>Po úpravě objednávky odfiltruj prázné řádky pomocí filtru ve sloupci "Počet".</v>
      </c>
      <c r="D461" s="27"/>
      <c r="E461" s="50"/>
      <c r="F461" s="27"/>
      <c r="G461" s="27"/>
      <c r="H461" s="27"/>
      <c r="I461" s="27"/>
      <c r="J461" s="35"/>
      <c r="K461" s="27"/>
      <c r="L461" s="27"/>
      <c r="M461" s="27"/>
      <c r="N461" s="27"/>
      <c r="O461" s="28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41"/>
      <c r="AZ461" s="41"/>
      <c r="BA461" s="41"/>
      <c r="BB461" s="41"/>
      <c r="BC461" s="41"/>
      <c r="BD461" s="41"/>
      <c r="BE461" s="41"/>
      <c r="BF461" s="41"/>
      <c r="BG461" s="41"/>
      <c r="BH461" s="41"/>
      <c r="BI461" s="41"/>
      <c r="BJ461" s="41"/>
      <c r="BK461" s="41"/>
      <c r="BL461" s="41"/>
      <c r="BM461" s="41"/>
      <c r="BN461" s="41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27"/>
      <c r="CA461" s="27"/>
      <c r="CB461" s="27"/>
      <c r="CC461" s="27"/>
      <c r="CD461" s="27"/>
      <c r="CE461" s="27"/>
      <c r="CF461" s="27"/>
    </row>
    <row r="462" spans="1:84" ht="15" customHeight="1">
      <c r="A462" s="27"/>
      <c r="B462" s="27"/>
      <c r="C462" s="27" t="str">
        <f>verze!$E$193</f>
        <v>Pokud chceš objednávku uložit nebo odeslat jako přílohu, vytvoř nový soubor kliknutím na odkaz  'Vytvořit objednávku'.</v>
      </c>
      <c r="D462" s="27"/>
      <c r="E462" s="50"/>
      <c r="F462" s="27"/>
      <c r="G462" s="27"/>
      <c r="H462" s="27"/>
      <c r="I462" s="27"/>
      <c r="J462" s="35"/>
      <c r="K462" s="27"/>
      <c r="L462" s="27"/>
      <c r="M462" s="27"/>
      <c r="N462" s="27"/>
      <c r="O462" s="28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41"/>
      <c r="AZ462" s="41"/>
      <c r="BA462" s="41"/>
      <c r="BB462" s="41"/>
      <c r="BC462" s="41"/>
      <c r="BD462" s="41"/>
      <c r="BE462" s="41"/>
      <c r="BF462" s="41"/>
      <c r="BG462" s="41"/>
      <c r="BH462" s="41"/>
      <c r="BI462" s="41"/>
      <c r="BJ462" s="41"/>
      <c r="BK462" s="41"/>
      <c r="BL462" s="41"/>
      <c r="BM462" s="41"/>
      <c r="BN462" s="41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27"/>
      <c r="CA462" s="27"/>
      <c r="CB462" s="27"/>
      <c r="CC462" s="27"/>
      <c r="CD462" s="27"/>
      <c r="CE462" s="27"/>
      <c r="CF462" s="27"/>
    </row>
    <row r="463" spans="1:84" ht="15" customHeight="1">
      <c r="A463" s="27"/>
      <c r="B463" s="27"/>
      <c r="C463" s="27"/>
      <c r="D463" s="27"/>
      <c r="E463" s="50"/>
      <c r="F463" s="27"/>
      <c r="G463" s="27"/>
      <c r="H463" s="27"/>
      <c r="I463" s="27"/>
      <c r="J463" s="35"/>
      <c r="K463" s="27"/>
      <c r="L463" s="27"/>
      <c r="M463" s="27"/>
      <c r="N463" s="27"/>
      <c r="O463" s="28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41"/>
      <c r="AZ463" s="41"/>
      <c r="BA463" s="41"/>
      <c r="BB463" s="41"/>
      <c r="BC463" s="41"/>
      <c r="BD463" s="41"/>
      <c r="BE463" s="41"/>
      <c r="BF463" s="41"/>
      <c r="BG463" s="41"/>
      <c r="BH463" s="41"/>
      <c r="BI463" s="41"/>
      <c r="BJ463" s="41"/>
      <c r="BK463" s="41"/>
      <c r="BL463" s="41"/>
      <c r="BM463" s="41"/>
      <c r="BN463" s="41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27"/>
      <c r="CA463" s="27"/>
      <c r="CB463" s="27"/>
      <c r="CC463" s="27"/>
      <c r="CD463" s="27"/>
      <c r="CE463" s="27"/>
      <c r="CF463" s="27"/>
    </row>
    <row r="464" spans="1:84" ht="15" customHeight="1">
      <c r="A464" s="27"/>
      <c r="B464" s="172"/>
      <c r="C464" s="27"/>
      <c r="D464" s="27"/>
      <c r="E464" s="50"/>
      <c r="F464" s="27"/>
      <c r="G464" s="27"/>
      <c r="H464" s="27"/>
      <c r="I464" s="27"/>
      <c r="J464" s="35"/>
      <c r="K464" s="27"/>
      <c r="L464" s="27"/>
      <c r="M464" s="27"/>
      <c r="N464" s="27"/>
      <c r="O464" s="28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41"/>
      <c r="AZ464" s="41"/>
      <c r="BA464" s="41"/>
      <c r="BB464" s="41"/>
      <c r="BC464" s="41"/>
      <c r="BD464" s="41"/>
      <c r="BE464" s="41"/>
      <c r="BF464" s="41"/>
      <c r="BG464" s="41"/>
      <c r="BH464" s="41"/>
      <c r="BI464" s="41"/>
      <c r="BJ464" s="41"/>
      <c r="BK464" s="41"/>
      <c r="BL464" s="41"/>
      <c r="BM464" s="41"/>
      <c r="BN464" s="41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27"/>
      <c r="CA464" s="27"/>
      <c r="CB464" s="27"/>
      <c r="CC464" s="27"/>
      <c r="CD464" s="27"/>
      <c r="CE464" s="27"/>
      <c r="CF464" s="27"/>
    </row>
    <row r="465" spans="1:84" ht="15" customHeight="1">
      <c r="A465" s="27"/>
      <c r="B465" s="27"/>
      <c r="C465" s="27"/>
      <c r="D465" s="27"/>
      <c r="E465" s="50"/>
      <c r="F465" s="27"/>
      <c r="G465" s="27"/>
      <c r="H465" s="27"/>
      <c r="I465" s="27"/>
      <c r="J465" s="35"/>
      <c r="K465" s="27"/>
      <c r="L465" s="27"/>
      <c r="M465" s="27"/>
      <c r="N465" s="27"/>
      <c r="O465" s="28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41"/>
      <c r="AZ465" s="41"/>
      <c r="BA465" s="41"/>
      <c r="BB465" s="41"/>
      <c r="BC465" s="41"/>
      <c r="BD465" s="41"/>
      <c r="BE465" s="41"/>
      <c r="BF465" s="41"/>
      <c r="BG465" s="41"/>
      <c r="BH465" s="41"/>
      <c r="BI465" s="41"/>
      <c r="BJ465" s="41"/>
      <c r="BK465" s="41"/>
      <c r="BL465" s="41"/>
      <c r="BM465" s="41"/>
      <c r="BN465" s="41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27"/>
      <c r="CA465" s="27"/>
      <c r="CB465" s="27"/>
      <c r="CC465" s="27"/>
      <c r="CD465" s="27"/>
      <c r="CE465" s="27"/>
      <c r="CF465" s="27"/>
    </row>
    <row r="466" spans="1:84" ht="15" customHeight="1">
      <c r="A466" s="27"/>
      <c r="B466" s="27"/>
      <c r="C466" s="27"/>
      <c r="D466" s="27"/>
      <c r="E466" s="50"/>
      <c r="F466" s="27"/>
      <c r="G466" s="27"/>
      <c r="H466" s="27"/>
      <c r="I466" s="27"/>
      <c r="J466" s="35"/>
      <c r="K466" s="27"/>
      <c r="L466" s="27"/>
      <c r="M466" s="27"/>
      <c r="N466" s="27"/>
      <c r="O466" s="28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41"/>
      <c r="AZ466" s="41"/>
      <c r="BA466" s="41"/>
      <c r="BB466" s="41"/>
      <c r="BC466" s="41"/>
      <c r="BD466" s="41"/>
      <c r="BE466" s="41"/>
      <c r="BF466" s="41"/>
      <c r="BG466" s="41"/>
      <c r="BH466" s="41"/>
      <c r="BI466" s="41"/>
      <c r="BJ466" s="41"/>
      <c r="BK466" s="41"/>
      <c r="BL466" s="41"/>
      <c r="BM466" s="41"/>
      <c r="BN466" s="41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27"/>
      <c r="CA466" s="27"/>
      <c r="CB466" s="27"/>
      <c r="CC466" s="27"/>
      <c r="CD466" s="27"/>
      <c r="CE466" s="27"/>
      <c r="CF466" s="27"/>
    </row>
    <row r="467" spans="1:84" ht="15" customHeight="1">
      <c r="A467" s="27"/>
      <c r="B467" s="27"/>
      <c r="C467" s="27"/>
      <c r="D467" s="27"/>
      <c r="E467" s="50"/>
      <c r="F467" s="27"/>
      <c r="G467" s="27"/>
      <c r="H467" s="27"/>
      <c r="I467" s="27"/>
      <c r="J467" s="35"/>
      <c r="K467" s="27"/>
      <c r="L467" s="27"/>
      <c r="M467" s="27"/>
      <c r="N467" s="27"/>
      <c r="O467" s="28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41"/>
      <c r="AZ467" s="41"/>
      <c r="BA467" s="41"/>
      <c r="BB467" s="41"/>
      <c r="BC467" s="41"/>
      <c r="BD467" s="41"/>
      <c r="BE467" s="41"/>
      <c r="BF467" s="41"/>
      <c r="BG467" s="41"/>
      <c r="BH467" s="41"/>
      <c r="BI467" s="41"/>
      <c r="BJ467" s="41"/>
      <c r="BK467" s="41"/>
      <c r="BL467" s="41"/>
      <c r="BM467" s="41"/>
      <c r="BN467" s="41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27"/>
      <c r="CA467" s="27"/>
      <c r="CB467" s="27"/>
      <c r="CC467" s="27"/>
      <c r="CD467" s="27"/>
      <c r="CE467" s="27"/>
      <c r="CF467" s="27"/>
    </row>
    <row r="468" spans="1:84" ht="15" customHeight="1">
      <c r="A468" s="27"/>
      <c r="B468" s="27"/>
      <c r="C468" s="27"/>
      <c r="D468" s="27"/>
      <c r="E468" s="50"/>
      <c r="F468" s="27"/>
      <c r="G468" s="27"/>
      <c r="H468" s="27"/>
      <c r="I468" s="27"/>
      <c r="J468" s="35"/>
      <c r="K468" s="27"/>
      <c r="L468" s="27"/>
      <c r="M468" s="27"/>
      <c r="N468" s="27"/>
      <c r="O468" s="28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41"/>
      <c r="AZ468" s="41"/>
      <c r="BA468" s="41"/>
      <c r="BB468" s="41"/>
      <c r="BC468" s="41"/>
      <c r="BD468" s="41"/>
      <c r="BE468" s="41"/>
      <c r="BF468" s="41"/>
      <c r="BG468" s="41"/>
      <c r="BH468" s="41"/>
      <c r="BI468" s="41"/>
      <c r="BJ468" s="41"/>
      <c r="BK468" s="41"/>
      <c r="BL468" s="41"/>
      <c r="BM468" s="41"/>
      <c r="BN468" s="41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27"/>
      <c r="CA468" s="27"/>
      <c r="CB468" s="27"/>
      <c r="CC468" s="27"/>
      <c r="CD468" s="27"/>
      <c r="CE468" s="27"/>
      <c r="CF468" s="27"/>
    </row>
    <row r="469" spans="1:84" ht="15" customHeight="1">
      <c r="A469" s="27"/>
      <c r="B469" s="27"/>
      <c r="C469" s="27"/>
      <c r="D469" s="27"/>
      <c r="E469" s="50"/>
      <c r="F469" s="27"/>
      <c r="G469" s="27"/>
      <c r="H469" s="27"/>
      <c r="I469" s="27"/>
      <c r="J469" s="35"/>
      <c r="K469" s="27"/>
      <c r="L469" s="27"/>
      <c r="M469" s="27"/>
      <c r="N469" s="27"/>
      <c r="O469" s="28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41"/>
      <c r="AZ469" s="41"/>
      <c r="BA469" s="41"/>
      <c r="BB469" s="41"/>
      <c r="BC469" s="41"/>
      <c r="BD469" s="41"/>
      <c r="BE469" s="41"/>
      <c r="BF469" s="41"/>
      <c r="BG469" s="41"/>
      <c r="BH469" s="41"/>
      <c r="BI469" s="41"/>
      <c r="BJ469" s="41"/>
      <c r="BK469" s="41"/>
      <c r="BL469" s="41"/>
      <c r="BM469" s="41"/>
      <c r="BN469" s="41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27"/>
      <c r="CA469" s="27"/>
      <c r="CB469" s="27"/>
      <c r="CC469" s="27"/>
      <c r="CD469" s="27"/>
      <c r="CE469" s="27"/>
      <c r="CF469" s="27"/>
    </row>
    <row r="470" spans="1:84" ht="15" customHeight="1">
      <c r="A470" s="27"/>
      <c r="B470" s="27"/>
      <c r="C470" s="27"/>
      <c r="D470" s="27"/>
      <c r="E470" s="50"/>
      <c r="F470" s="27"/>
      <c r="G470" s="27"/>
      <c r="H470" s="27"/>
      <c r="I470" s="27"/>
      <c r="J470" s="35"/>
      <c r="K470" s="27"/>
      <c r="L470" s="27"/>
      <c r="M470" s="27"/>
      <c r="N470" s="27"/>
      <c r="O470" s="28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41"/>
      <c r="AZ470" s="41"/>
      <c r="BA470" s="41"/>
      <c r="BB470" s="41"/>
      <c r="BC470" s="41"/>
      <c r="BD470" s="41"/>
      <c r="BE470" s="41"/>
      <c r="BF470" s="41"/>
      <c r="BG470" s="41"/>
      <c r="BH470" s="41"/>
      <c r="BI470" s="41"/>
      <c r="BJ470" s="41"/>
      <c r="BK470" s="41"/>
      <c r="BL470" s="41"/>
      <c r="BM470" s="41"/>
      <c r="BN470" s="41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27"/>
      <c r="CA470" s="27"/>
      <c r="CB470" s="27"/>
      <c r="CC470" s="27"/>
      <c r="CD470" s="27"/>
      <c r="CE470" s="27"/>
      <c r="CF470" s="27"/>
    </row>
    <row r="471" spans="1:84" ht="15" customHeight="1">
      <c r="A471" s="27"/>
      <c r="B471" s="27"/>
      <c r="C471" s="27"/>
      <c r="D471" s="27"/>
      <c r="E471" s="50"/>
      <c r="F471" s="27"/>
      <c r="G471" s="27"/>
      <c r="H471" s="27"/>
      <c r="I471" s="27"/>
      <c r="J471" s="35"/>
      <c r="K471" s="27"/>
      <c r="L471" s="27"/>
      <c r="M471" s="27"/>
      <c r="N471" s="27"/>
      <c r="O471" s="28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41"/>
      <c r="AZ471" s="41"/>
      <c r="BA471" s="41"/>
      <c r="BB471" s="41"/>
      <c r="BC471" s="41"/>
      <c r="BD471" s="41"/>
      <c r="BE471" s="41"/>
      <c r="BF471" s="41"/>
      <c r="BG471" s="41"/>
      <c r="BH471" s="41"/>
      <c r="BI471" s="41"/>
      <c r="BJ471" s="41"/>
      <c r="BK471" s="41"/>
      <c r="BL471" s="41"/>
      <c r="BM471" s="41"/>
      <c r="BN471" s="41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27"/>
      <c r="CA471" s="27"/>
      <c r="CB471" s="27"/>
      <c r="CC471" s="27"/>
      <c r="CD471" s="27"/>
      <c r="CE471" s="27"/>
      <c r="CF471" s="27"/>
    </row>
    <row r="472" spans="1:84" ht="15" customHeight="1">
      <c r="A472" s="27"/>
      <c r="B472" s="27"/>
      <c r="C472" s="27"/>
      <c r="D472" s="27"/>
      <c r="E472" s="50"/>
      <c r="F472" s="27"/>
      <c r="G472" s="27"/>
      <c r="H472" s="27"/>
      <c r="I472" s="27"/>
      <c r="J472" s="35"/>
      <c r="K472" s="27"/>
      <c r="L472" s="27"/>
      <c r="M472" s="27"/>
      <c r="N472" s="27"/>
      <c r="O472" s="28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41"/>
      <c r="AZ472" s="41"/>
      <c r="BA472" s="41"/>
      <c r="BB472" s="41"/>
      <c r="BC472" s="41"/>
      <c r="BD472" s="41"/>
      <c r="BE472" s="41"/>
      <c r="BF472" s="41"/>
      <c r="BG472" s="41"/>
      <c r="BH472" s="41"/>
      <c r="BI472" s="41"/>
      <c r="BJ472" s="41"/>
      <c r="BK472" s="41"/>
      <c r="BL472" s="41"/>
      <c r="BM472" s="41"/>
      <c r="BN472" s="41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27"/>
      <c r="CA472" s="27"/>
      <c r="CB472" s="27"/>
      <c r="CC472" s="27"/>
      <c r="CD472" s="27"/>
      <c r="CE472" s="27"/>
      <c r="CF472" s="27"/>
    </row>
    <row r="473" spans="1:84" ht="15" customHeight="1">
      <c r="A473" s="27"/>
      <c r="B473" s="27"/>
      <c r="C473" s="27"/>
      <c r="D473" s="27"/>
      <c r="E473" s="50"/>
      <c r="F473" s="27"/>
      <c r="G473" s="27"/>
      <c r="H473" s="27"/>
      <c r="I473" s="27"/>
      <c r="J473" s="35"/>
      <c r="K473" s="27"/>
      <c r="L473" s="27"/>
      <c r="M473" s="27"/>
      <c r="N473" s="27"/>
      <c r="O473" s="28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41"/>
      <c r="AZ473" s="41"/>
      <c r="BA473" s="41"/>
      <c r="BB473" s="41"/>
      <c r="BC473" s="41"/>
      <c r="BD473" s="41"/>
      <c r="BE473" s="41"/>
      <c r="BF473" s="41"/>
      <c r="BG473" s="41"/>
      <c r="BH473" s="41"/>
      <c r="BI473" s="41"/>
      <c r="BJ473" s="41"/>
      <c r="BK473" s="41"/>
      <c r="BL473" s="41"/>
      <c r="BM473" s="41"/>
      <c r="BN473" s="41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27"/>
      <c r="CA473" s="27"/>
      <c r="CB473" s="27"/>
      <c r="CC473" s="27"/>
      <c r="CD473" s="27"/>
      <c r="CE473" s="27"/>
      <c r="CF473" s="27"/>
    </row>
    <row r="474" spans="1:84" ht="15" customHeight="1">
      <c r="A474" s="27"/>
      <c r="B474" s="27"/>
      <c r="C474" s="27"/>
      <c r="D474" s="27"/>
      <c r="E474" s="50"/>
      <c r="F474" s="27"/>
      <c r="G474" s="27"/>
      <c r="H474" s="27"/>
      <c r="I474" s="27"/>
      <c r="J474" s="35"/>
      <c r="K474" s="27"/>
      <c r="L474" s="27"/>
      <c r="M474" s="27"/>
      <c r="N474" s="27"/>
      <c r="O474" s="28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41"/>
      <c r="AZ474" s="41"/>
      <c r="BA474" s="41"/>
      <c r="BB474" s="41"/>
      <c r="BC474" s="41"/>
      <c r="BD474" s="41"/>
      <c r="BE474" s="41"/>
      <c r="BF474" s="41"/>
      <c r="BG474" s="41"/>
      <c r="BH474" s="41"/>
      <c r="BI474" s="41"/>
      <c r="BJ474" s="41"/>
      <c r="BK474" s="41"/>
      <c r="BL474" s="41"/>
      <c r="BM474" s="41"/>
      <c r="BN474" s="41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27"/>
      <c r="CA474" s="27"/>
      <c r="CB474" s="27"/>
      <c r="CC474" s="27"/>
      <c r="CD474" s="27"/>
      <c r="CE474" s="27"/>
      <c r="CF474" s="27"/>
    </row>
    <row r="475" spans="1:84" ht="15" customHeight="1">
      <c r="A475" s="27"/>
      <c r="B475" s="27"/>
      <c r="C475" s="27"/>
      <c r="D475" s="27"/>
      <c r="E475" s="50"/>
      <c r="F475" s="27"/>
      <c r="G475" s="27"/>
      <c r="H475" s="27"/>
      <c r="I475" s="27"/>
      <c r="J475" s="35"/>
      <c r="K475" s="27"/>
      <c r="L475" s="27"/>
      <c r="M475" s="27"/>
      <c r="N475" s="27"/>
      <c r="O475" s="28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41"/>
      <c r="AZ475" s="41"/>
      <c r="BA475" s="41"/>
      <c r="BB475" s="41"/>
      <c r="BC475" s="41"/>
      <c r="BD475" s="41"/>
      <c r="BE475" s="41"/>
      <c r="BF475" s="41"/>
      <c r="BG475" s="41"/>
      <c r="BH475" s="41"/>
      <c r="BI475" s="41"/>
      <c r="BJ475" s="41"/>
      <c r="BK475" s="41"/>
      <c r="BL475" s="41"/>
      <c r="BM475" s="41"/>
      <c r="BN475" s="41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27"/>
      <c r="CA475" s="27"/>
      <c r="CB475" s="27"/>
      <c r="CC475" s="27"/>
      <c r="CD475" s="27"/>
      <c r="CE475" s="27"/>
      <c r="CF475" s="27"/>
    </row>
    <row r="476" spans="1:84" ht="15" customHeight="1">
      <c r="A476" s="27"/>
      <c r="B476" s="27"/>
      <c r="C476" s="27"/>
      <c r="D476" s="27"/>
      <c r="E476" s="50"/>
      <c r="F476" s="27"/>
      <c r="G476" s="27"/>
      <c r="H476" s="27"/>
      <c r="I476" s="27"/>
      <c r="J476" s="35"/>
      <c r="K476" s="27"/>
      <c r="L476" s="27"/>
      <c r="M476" s="27"/>
      <c r="N476" s="27"/>
      <c r="O476" s="28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41"/>
      <c r="AZ476" s="41"/>
      <c r="BA476" s="41"/>
      <c r="BB476" s="41"/>
      <c r="BC476" s="41"/>
      <c r="BD476" s="41"/>
      <c r="BE476" s="41"/>
      <c r="BF476" s="41"/>
      <c r="BG476" s="41"/>
      <c r="BH476" s="41"/>
      <c r="BI476" s="41"/>
      <c r="BJ476" s="41"/>
      <c r="BK476" s="41"/>
      <c r="BL476" s="41"/>
      <c r="BM476" s="41"/>
      <c r="BN476" s="41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27"/>
      <c r="CA476" s="27"/>
      <c r="CB476" s="27"/>
      <c r="CC476" s="27"/>
      <c r="CD476" s="27"/>
      <c r="CE476" s="27"/>
      <c r="CF476" s="27"/>
    </row>
    <row r="477" spans="1:84" ht="15" customHeight="1">
      <c r="A477" s="27"/>
      <c r="B477" s="27"/>
      <c r="C477" s="27"/>
      <c r="D477" s="27"/>
      <c r="E477" s="50"/>
      <c r="F477" s="27"/>
      <c r="G477" s="27"/>
      <c r="H477" s="27"/>
      <c r="I477" s="27"/>
      <c r="J477" s="35"/>
      <c r="K477" s="27"/>
      <c r="L477" s="27"/>
      <c r="M477" s="27"/>
      <c r="N477" s="27"/>
      <c r="O477" s="28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41"/>
      <c r="AZ477" s="41"/>
      <c r="BA477" s="41"/>
      <c r="BB477" s="41"/>
      <c r="BC477" s="41"/>
      <c r="BD477" s="41"/>
      <c r="BE477" s="41"/>
      <c r="BF477" s="41"/>
      <c r="BG477" s="41"/>
      <c r="BH477" s="41"/>
      <c r="BI477" s="41"/>
      <c r="BJ477" s="41"/>
      <c r="BK477" s="41"/>
      <c r="BL477" s="41"/>
      <c r="BM477" s="41"/>
      <c r="BN477" s="41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27"/>
      <c r="CA477" s="27"/>
      <c r="CB477" s="27"/>
      <c r="CC477" s="27"/>
      <c r="CD477" s="27"/>
      <c r="CE477" s="27"/>
      <c r="CF477" s="27"/>
    </row>
    <row r="478" spans="1:84" ht="15" customHeight="1">
      <c r="A478" s="27"/>
      <c r="B478" s="27"/>
      <c r="C478" s="27"/>
      <c r="D478" s="27"/>
      <c r="E478" s="50"/>
      <c r="F478" s="27"/>
      <c r="G478" s="27"/>
      <c r="H478" s="27"/>
      <c r="I478" s="27"/>
      <c r="J478" s="35"/>
      <c r="K478" s="27"/>
      <c r="L478" s="27"/>
      <c r="M478" s="27"/>
      <c r="N478" s="27"/>
      <c r="O478" s="28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41"/>
      <c r="AZ478" s="41"/>
      <c r="BA478" s="41"/>
      <c r="BB478" s="41"/>
      <c r="BC478" s="41"/>
      <c r="BD478" s="41"/>
      <c r="BE478" s="41"/>
      <c r="BF478" s="41"/>
      <c r="BG478" s="41"/>
      <c r="BH478" s="41"/>
      <c r="BI478" s="41"/>
      <c r="BJ478" s="41"/>
      <c r="BK478" s="41"/>
      <c r="BL478" s="41"/>
      <c r="BM478" s="41"/>
      <c r="BN478" s="41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27"/>
      <c r="CA478" s="27"/>
      <c r="CB478" s="27"/>
      <c r="CC478" s="27"/>
      <c r="CD478" s="27"/>
      <c r="CE478" s="27"/>
      <c r="CF478" s="27"/>
    </row>
    <row r="479" spans="1:84">
      <c r="AY479" s="41"/>
      <c r="AZ479" s="41"/>
      <c r="BA479" s="41"/>
      <c r="BB479" s="41"/>
      <c r="BC479" s="41"/>
      <c r="BD479" s="41"/>
      <c r="BE479" s="41"/>
      <c r="BF479" s="41"/>
      <c r="BG479" s="41"/>
      <c r="BH479" s="41"/>
      <c r="BI479" s="41"/>
      <c r="BJ479" s="41"/>
      <c r="BK479" s="41"/>
      <c r="BL479" s="41"/>
      <c r="BM479" s="41"/>
      <c r="BN479" s="41"/>
    </row>
    <row r="480" spans="1:84">
      <c r="AY480" s="41"/>
      <c r="AZ480" s="41"/>
      <c r="BA480" s="41"/>
      <c r="BB480" s="41"/>
      <c r="BC480" s="41"/>
      <c r="BD480" s="41"/>
      <c r="BE480" s="41"/>
      <c r="BF480" s="41"/>
      <c r="BG480" s="41"/>
      <c r="BH480" s="41"/>
      <c r="BI480" s="41"/>
      <c r="BJ480" s="41"/>
      <c r="BK480" s="41"/>
      <c r="BL480" s="41"/>
      <c r="BM480" s="41"/>
      <c r="BN480" s="41"/>
    </row>
    <row r="481" spans="51:66">
      <c r="AY481" s="41"/>
      <c r="AZ481" s="41"/>
      <c r="BA481" s="41"/>
      <c r="BB481" s="41"/>
      <c r="BC481" s="41"/>
      <c r="BD481" s="41"/>
      <c r="BE481" s="41"/>
      <c r="BF481" s="41"/>
      <c r="BG481" s="41"/>
      <c r="BH481" s="41"/>
      <c r="BI481" s="41"/>
      <c r="BJ481" s="41"/>
      <c r="BK481" s="41"/>
      <c r="BL481" s="41"/>
      <c r="BM481" s="41"/>
      <c r="BN481" s="41"/>
    </row>
    <row r="482" spans="51:66">
      <c r="AY482" s="41"/>
      <c r="AZ482" s="41"/>
      <c r="BA482" s="41"/>
      <c r="BB482" s="41"/>
      <c r="BC482" s="41"/>
      <c r="BD482" s="41"/>
      <c r="BE482" s="41"/>
      <c r="BF482" s="41"/>
      <c r="BG482" s="41"/>
      <c r="BH482" s="41"/>
      <c r="BI482" s="41"/>
      <c r="BJ482" s="41"/>
      <c r="BK482" s="41"/>
      <c r="BL482" s="41"/>
      <c r="BM482" s="41"/>
      <c r="BN482" s="41"/>
    </row>
    <row r="483" spans="51:66">
      <c r="AY483" s="41"/>
      <c r="AZ483" s="41"/>
      <c r="BA483" s="41"/>
      <c r="BB483" s="41"/>
      <c r="BC483" s="41"/>
      <c r="BD483" s="41"/>
      <c r="BE483" s="41"/>
      <c r="BF483" s="41"/>
      <c r="BG483" s="41"/>
      <c r="BH483" s="41"/>
      <c r="BI483" s="41"/>
      <c r="BJ483" s="41"/>
      <c r="BK483" s="41"/>
      <c r="BL483" s="41"/>
      <c r="BM483" s="41"/>
      <c r="BN483" s="41"/>
    </row>
    <row r="484" spans="51:66">
      <c r="AY484" s="41"/>
      <c r="AZ484" s="41"/>
      <c r="BA484" s="41"/>
      <c r="BB484" s="41"/>
      <c r="BC484" s="41"/>
      <c r="BD484" s="41"/>
      <c r="BE484" s="41"/>
      <c r="BF484" s="41"/>
      <c r="BG484" s="41"/>
      <c r="BH484" s="41"/>
      <c r="BI484" s="41"/>
      <c r="BJ484" s="41"/>
      <c r="BK484" s="41"/>
      <c r="BL484" s="41"/>
      <c r="BM484" s="41"/>
      <c r="BN484" s="41"/>
    </row>
    <row r="485" spans="51:66">
      <c r="AY485" s="41"/>
      <c r="AZ485" s="41"/>
      <c r="BA485" s="41"/>
      <c r="BB485" s="41"/>
      <c r="BC485" s="41"/>
      <c r="BD485" s="41"/>
      <c r="BE485" s="41"/>
      <c r="BF485" s="41"/>
      <c r="BG485" s="41"/>
      <c r="BH485" s="41"/>
      <c r="BI485" s="41"/>
      <c r="BJ485" s="41"/>
      <c r="BK485" s="41"/>
      <c r="BL485" s="41"/>
      <c r="BM485" s="41"/>
      <c r="BN485" s="41"/>
    </row>
    <row r="486" spans="51:66">
      <c r="AY486" s="41"/>
      <c r="AZ486" s="41"/>
      <c r="BA486" s="41"/>
      <c r="BB486" s="41"/>
      <c r="BC486" s="41"/>
      <c r="BD486" s="41"/>
      <c r="BE486" s="41"/>
      <c r="BF486" s="41"/>
      <c r="BG486" s="41"/>
      <c r="BH486" s="41"/>
      <c r="BI486" s="41"/>
      <c r="BJ486" s="41"/>
      <c r="BK486" s="41"/>
      <c r="BL486" s="41"/>
      <c r="BM486" s="41"/>
      <c r="BN486" s="41"/>
    </row>
    <row r="487" spans="51:66">
      <c r="AY487" s="41"/>
      <c r="AZ487" s="41"/>
      <c r="BA487" s="41"/>
      <c r="BB487" s="41"/>
      <c r="BC487" s="41"/>
      <c r="BD487" s="41"/>
      <c r="BE487" s="41"/>
      <c r="BF487" s="41"/>
      <c r="BG487" s="41"/>
      <c r="BH487" s="41"/>
      <c r="BI487" s="41"/>
      <c r="BJ487" s="41"/>
      <c r="BK487" s="41"/>
      <c r="BL487" s="41"/>
      <c r="BM487" s="41"/>
      <c r="BN487" s="41"/>
    </row>
    <row r="488" spans="51:66">
      <c r="AY488" s="41"/>
      <c r="AZ488" s="41"/>
      <c r="BA488" s="41"/>
      <c r="BB488" s="41"/>
      <c r="BC488" s="41"/>
      <c r="BD488" s="41"/>
      <c r="BE488" s="41"/>
      <c r="BF488" s="41"/>
      <c r="BG488" s="41"/>
      <c r="BH488" s="41"/>
      <c r="BI488" s="41"/>
      <c r="BJ488" s="41"/>
      <c r="BK488" s="41"/>
      <c r="BL488" s="41"/>
      <c r="BM488" s="41"/>
      <c r="BN488" s="41"/>
    </row>
    <row r="489" spans="51:66">
      <c r="AY489" s="41"/>
      <c r="AZ489" s="41"/>
      <c r="BA489" s="41"/>
      <c r="BB489" s="41"/>
      <c r="BC489" s="41"/>
      <c r="BD489" s="41"/>
      <c r="BE489" s="41"/>
      <c r="BF489" s="41"/>
      <c r="BG489" s="41"/>
      <c r="BH489" s="41"/>
      <c r="BI489" s="41"/>
      <c r="BJ489" s="41"/>
      <c r="BK489" s="41"/>
      <c r="BL489" s="41"/>
      <c r="BM489" s="41"/>
      <c r="BN489" s="41"/>
    </row>
    <row r="490" spans="51:66">
      <c r="AY490" s="41"/>
      <c r="AZ490" s="41"/>
      <c r="BA490" s="41"/>
      <c r="BB490" s="41"/>
      <c r="BC490" s="41"/>
      <c r="BD490" s="41"/>
      <c r="BE490" s="41"/>
      <c r="BF490" s="41"/>
      <c r="BG490" s="41"/>
      <c r="BH490" s="41"/>
      <c r="BI490" s="41"/>
      <c r="BJ490" s="41"/>
      <c r="BK490" s="41"/>
      <c r="BL490" s="41"/>
      <c r="BM490" s="41"/>
      <c r="BN490" s="41"/>
    </row>
    <row r="491" spans="51:66">
      <c r="AY491" s="41"/>
      <c r="AZ491" s="41"/>
      <c r="BA491" s="41"/>
      <c r="BB491" s="41"/>
      <c r="BC491" s="41"/>
      <c r="BD491" s="41"/>
      <c r="BE491" s="41"/>
      <c r="BF491" s="41"/>
      <c r="BG491" s="41"/>
      <c r="BH491" s="41"/>
      <c r="BI491" s="41"/>
      <c r="BJ491" s="41"/>
      <c r="BK491" s="41"/>
      <c r="BL491" s="41"/>
      <c r="BM491" s="41"/>
      <c r="BN491" s="41"/>
    </row>
    <row r="492" spans="51:66">
      <c r="AY492" s="41"/>
      <c r="AZ492" s="41"/>
      <c r="BA492" s="41"/>
      <c r="BB492" s="41"/>
      <c r="BC492" s="41"/>
      <c r="BD492" s="41"/>
      <c r="BE492" s="41"/>
      <c r="BF492" s="41"/>
      <c r="BG492" s="41"/>
      <c r="BH492" s="41"/>
      <c r="BI492" s="41"/>
      <c r="BJ492" s="41"/>
      <c r="BK492" s="41"/>
      <c r="BL492" s="41"/>
      <c r="BM492" s="41"/>
      <c r="BN492" s="41"/>
    </row>
  </sheetData>
  <sheetProtection password="DD97" sheet="1" autoFilter="0"/>
  <autoFilter ref="F22:F447"/>
  <mergeCells count="49">
    <mergeCell ref="AH20:AK20"/>
    <mergeCell ref="BB21:BB22"/>
    <mergeCell ref="AB21:AB22"/>
    <mergeCell ref="G449:I449"/>
    <mergeCell ref="AP21:AP22"/>
    <mergeCell ref="AX21:AX22"/>
    <mergeCell ref="AZ21:AZ22"/>
    <mergeCell ref="AG21:AG22"/>
    <mergeCell ref="BA21:BA22"/>
    <mergeCell ref="AO21:AO22"/>
    <mergeCell ref="AN21:AN22"/>
    <mergeCell ref="AM21:AM22"/>
    <mergeCell ref="AL21:AL22"/>
    <mergeCell ref="AK21:AK22"/>
    <mergeCell ref="AJ21:AJ22"/>
    <mergeCell ref="C455:L455"/>
    <mergeCell ref="C456:L456"/>
    <mergeCell ref="C454:L454"/>
    <mergeCell ref="AI21:AI22"/>
    <mergeCell ref="T21:T22"/>
    <mergeCell ref="AH21:AH22"/>
    <mergeCell ref="AF21:AF22"/>
    <mergeCell ref="AE21:AE22"/>
    <mergeCell ref="F16:K16"/>
    <mergeCell ref="F18:K18"/>
    <mergeCell ref="V21:V22"/>
    <mergeCell ref="AD21:AD22"/>
    <mergeCell ref="AC21:AC22"/>
    <mergeCell ref="W21:W22"/>
    <mergeCell ref="U21:U22"/>
    <mergeCell ref="S21:S22"/>
    <mergeCell ref="R21:R22"/>
    <mergeCell ref="Q21:Q22"/>
    <mergeCell ref="P21:P22"/>
    <mergeCell ref="Z20:AE20"/>
    <mergeCell ref="AA21:AA22"/>
    <mergeCell ref="Z21:Z22"/>
    <mergeCell ref="Y21:Y22"/>
    <mergeCell ref="X21:X22"/>
    <mergeCell ref="BO21:BO22"/>
    <mergeCell ref="BX21:BX22"/>
    <mergeCell ref="AY21:AY22"/>
    <mergeCell ref="AQ21:AQ22"/>
    <mergeCell ref="AR21:AR22"/>
    <mergeCell ref="AS21:AS22"/>
    <mergeCell ref="AT21:AT22"/>
    <mergeCell ref="AU21:AU22"/>
    <mergeCell ref="AW21:AW22"/>
    <mergeCell ref="AV21:AV22"/>
  </mergeCells>
  <conditionalFormatting sqref="F186 F189">
    <cfRule type="cellIs" dxfId="3" priority="4" stopIfTrue="1" operator="notEqual">
      <formula>""</formula>
    </cfRule>
  </conditionalFormatting>
  <conditionalFormatting sqref="F187:F188">
    <cfRule type="cellIs" dxfId="2" priority="3" stopIfTrue="1" operator="notEqual">
      <formula>""</formula>
    </cfRule>
  </conditionalFormatting>
  <conditionalFormatting sqref="F281">
    <cfRule type="cellIs" dxfId="1" priority="2" stopIfTrue="1" operator="notEqual">
      <formula>""</formula>
    </cfRule>
  </conditionalFormatting>
  <conditionalFormatting sqref="F203">
    <cfRule type="cellIs" dxfId="0" priority="1" stopIfTrue="1" operator="notEqual">
      <formula>""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66" fitToHeight="10" orientation="portrait" r:id="rId1"/>
  <ignoredErrors>
    <ignoredError sqref="N23 N187:N188 N434:N447 N388:N431 N26:N27 N29:N31 N39:N43 N34:N37 N45:N48 N50 N59:N60 N62:N68 N71 N79 N81:N86 N89 N104 N106:N109 N111:N114 N116:N117 N135 N137:N143 N145 N161:N167 N169:N175 N196 N198:N199 N191:N194 N203 N217:N219 N227:N234 N236:N248 N201 N74:N77 N97:N102 N133" formulaRange="1"/>
    <ignoredError sqref="D388:D394 D23:D27 D39:D48 D71:D79 D81:D87 D106:D114 D137:D143 D145:D158 D161:D167 D169:D182 D226:D234 D340:D349 D238:D265 D29:D37 D50:D69 D89:D102 D116:D133 D183:D184 D134:D135 D103:D104" unlockedFormula="1"/>
    <ignoredError sqref="F387 W73:W79 W135 W277:W281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424" r:id="rId4" name="Button 1504">
              <controlPr defaultSize="0" print="0" autoFill="0" autoPict="0" macro="[0]!Export_objednavky">
                <anchor moveWithCells="1" sizeWithCells="1">
                  <from>
                    <xdr:col>8</xdr:col>
                    <xdr:colOff>601980</xdr:colOff>
                    <xdr:row>463</xdr:row>
                    <xdr:rowOff>0</xdr:rowOff>
                  </from>
                  <to>
                    <xdr:col>12</xdr:col>
                    <xdr:colOff>7620</xdr:colOff>
                    <xdr:row>464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M243"/>
  <sheetViews>
    <sheetView showGridLines="0" showRowColHeaders="0" workbookViewId="0">
      <pane ySplit="1" topLeftCell="A2" activePane="bottomLeft" state="frozen"/>
      <selection pane="bottomLeft" activeCell="A2" sqref="A2"/>
    </sheetView>
  </sheetViews>
  <sheetFormatPr defaultColWidth="9" defaultRowHeight="13.8"/>
  <cols>
    <col min="1" max="1" width="9" style="69"/>
    <col min="2" max="2" width="191.88671875" style="69" customWidth="1"/>
    <col min="3" max="4" width="9" style="69"/>
    <col min="5" max="5" width="37.44140625" style="162" bestFit="1" customWidth="1"/>
    <col min="6" max="6" width="2.33203125" style="161" customWidth="1"/>
    <col min="7" max="7" width="29.109375" style="161" customWidth="1"/>
    <col min="8" max="10" width="29.109375" style="69" customWidth="1"/>
    <col min="11" max="16384" width="9" style="69"/>
  </cols>
  <sheetData>
    <row r="1" spans="1:13">
      <c r="A1" s="277" t="s">
        <v>285</v>
      </c>
      <c r="E1" s="276" t="s">
        <v>7</v>
      </c>
      <c r="G1" s="309" t="s">
        <v>7</v>
      </c>
      <c r="H1" s="310" t="s">
        <v>8</v>
      </c>
      <c r="I1" s="310" t="s">
        <v>330</v>
      </c>
      <c r="J1" s="310" t="s">
        <v>331</v>
      </c>
    </row>
    <row r="2" spans="1:13" ht="14.4" thickBot="1"/>
    <row r="3" spans="1:13">
      <c r="E3" s="306" t="str">
        <f>IF($E$1=$G$1,G3,IF($E$1=$H$1,H3,IF($E$1=$I$1,I3,IF($E$1=$J$1,J3,""))))</f>
        <v xml:space="preserve"> Základní údaje</v>
      </c>
      <c r="G3" s="298" t="s">
        <v>13</v>
      </c>
      <c r="H3" s="299" t="s">
        <v>17</v>
      </c>
      <c r="I3" s="300"/>
      <c r="J3" s="301"/>
    </row>
    <row r="4" spans="1:13">
      <c r="E4" s="307" t="str">
        <f t="shared" ref="E4:E68" si="0">IF($E$1=$G$1,G4,IF($E$1=$H$1,H4,IF($E$1=$I$1,I4,IF($E$1=$J$1,J4,""))))</f>
        <v>Údaje pro objednávku, zadání slevy od prodejce</v>
      </c>
      <c r="G4" s="298" t="s">
        <v>14</v>
      </c>
      <c r="H4" s="299" t="s">
        <v>18</v>
      </c>
      <c r="I4" s="300"/>
      <c r="J4" s="301"/>
    </row>
    <row r="5" spans="1:13">
      <c r="E5" s="307" t="str">
        <f t="shared" si="0"/>
        <v>Pokračovat na:</v>
      </c>
      <c r="G5" s="298" t="s">
        <v>15</v>
      </c>
      <c r="H5" s="299" t="s">
        <v>19</v>
      </c>
      <c r="I5" s="300"/>
      <c r="J5" s="301"/>
    </row>
    <row r="6" spans="1:13">
      <c r="E6" s="307" t="str">
        <f t="shared" si="0"/>
        <v xml:space="preserve"> Úvod</v>
      </c>
      <c r="G6" s="298" t="s">
        <v>10</v>
      </c>
      <c r="H6" s="299" t="s">
        <v>10</v>
      </c>
      <c r="I6" s="300"/>
      <c r="J6" s="301"/>
    </row>
    <row r="7" spans="1:13">
      <c r="E7" s="307" t="str">
        <f t="shared" si="0"/>
        <v xml:space="preserve"> Výběr zásuvek</v>
      </c>
      <c r="G7" s="298" t="s">
        <v>124</v>
      </c>
      <c r="H7" s="299" t="s">
        <v>125</v>
      </c>
      <c r="I7" s="300"/>
      <c r="J7" s="301"/>
    </row>
    <row r="8" spans="1:13">
      <c r="E8" s="307" t="str">
        <f t="shared" si="0"/>
        <v xml:space="preserve"> </v>
      </c>
      <c r="G8" s="298" t="s">
        <v>54</v>
      </c>
      <c r="H8" s="299" t="s">
        <v>54</v>
      </c>
      <c r="I8" s="300" t="s">
        <v>11</v>
      </c>
      <c r="J8" s="301" t="s">
        <v>20</v>
      </c>
    </row>
    <row r="9" spans="1:13">
      <c r="E9" s="307" t="str">
        <f t="shared" si="0"/>
        <v xml:space="preserve"> </v>
      </c>
      <c r="G9" s="298" t="s">
        <v>54</v>
      </c>
      <c r="H9" s="299" t="s">
        <v>54</v>
      </c>
      <c r="I9" s="300" t="s">
        <v>56</v>
      </c>
      <c r="J9" s="301" t="s">
        <v>21</v>
      </c>
    </row>
    <row r="10" spans="1:13">
      <c r="E10" s="307" t="str">
        <f t="shared" si="0"/>
        <v xml:space="preserve"> Objednávka</v>
      </c>
      <c r="G10" s="298" t="s">
        <v>12</v>
      </c>
      <c r="H10" s="299" t="s">
        <v>12</v>
      </c>
      <c r="I10" s="300"/>
      <c r="J10" s="301"/>
    </row>
    <row r="11" spans="1:13">
      <c r="E11" s="307" t="str">
        <f t="shared" si="0"/>
        <v>Zpět na:</v>
      </c>
      <c r="G11" s="298" t="s">
        <v>16</v>
      </c>
      <c r="H11" s="299" t="s">
        <v>22</v>
      </c>
      <c r="I11" s="300"/>
      <c r="J11" s="301"/>
    </row>
    <row r="12" spans="1:13">
      <c r="E12" s="307" t="str">
        <f t="shared" si="0"/>
        <v>Vpřed na:</v>
      </c>
      <c r="G12" s="298" t="s">
        <v>127</v>
      </c>
      <c r="H12" s="299" t="s">
        <v>126</v>
      </c>
      <c r="I12" s="300"/>
      <c r="J12" s="301"/>
    </row>
    <row r="13" spans="1:13">
      <c r="E13" s="307" t="str">
        <f t="shared" si="0"/>
        <v>&lt;&lt;  zpět</v>
      </c>
      <c r="G13" s="298" t="s">
        <v>152</v>
      </c>
      <c r="H13" s="299" t="s">
        <v>154</v>
      </c>
      <c r="I13" s="300"/>
      <c r="J13" s="301"/>
    </row>
    <row r="14" spans="1:13">
      <c r="E14" s="307" t="str">
        <f t="shared" si="0"/>
        <v>vpřed  &gt;&gt;</v>
      </c>
      <c r="G14" s="298" t="s">
        <v>153</v>
      </c>
      <c r="H14" s="299" t="s">
        <v>155</v>
      </c>
      <c r="I14" s="300"/>
      <c r="J14" s="301"/>
    </row>
    <row r="15" spans="1:13">
      <c r="E15" s="307" t="str">
        <f t="shared" si="0"/>
        <v xml:space="preserve"> Základní údaje // Nápověda</v>
      </c>
      <c r="G15" s="302" t="s">
        <v>1206</v>
      </c>
      <c r="H15" s="303" t="s">
        <v>123</v>
      </c>
      <c r="I15" s="300"/>
      <c r="J15" s="301"/>
    </row>
    <row r="16" spans="1:13">
      <c r="E16" s="307" t="str">
        <f t="shared" si="0"/>
        <v xml:space="preserve"> Nápověda</v>
      </c>
      <c r="G16" s="302" t="s">
        <v>31</v>
      </c>
      <c r="H16" s="303" t="s">
        <v>74</v>
      </c>
      <c r="I16" s="300"/>
      <c r="J16" s="301"/>
      <c r="M16" s="103"/>
    </row>
    <row r="17" spans="5:13">
      <c r="E17" s="307">
        <f t="shared" si="0"/>
        <v>0</v>
      </c>
      <c r="G17" s="298"/>
      <c r="H17" s="303"/>
      <c r="I17" s="300"/>
      <c r="J17" s="301"/>
      <c r="M17" s="103"/>
    </row>
    <row r="18" spans="5:13">
      <c r="E18" s="307" t="str">
        <f t="shared" si="0"/>
        <v>plnovýsuv</v>
      </c>
      <c r="G18" s="298" t="s">
        <v>5</v>
      </c>
      <c r="H18" s="303" t="s">
        <v>5</v>
      </c>
      <c r="I18" s="300"/>
      <c r="J18" s="301"/>
      <c r="M18" s="103"/>
    </row>
    <row r="19" spans="5:13">
      <c r="E19" s="307" t="str">
        <f t="shared" si="0"/>
        <v>částečný výsuv</v>
      </c>
      <c r="G19" s="298" t="s">
        <v>6</v>
      </c>
      <c r="H19" s="303" t="s">
        <v>4</v>
      </c>
      <c r="I19" s="300"/>
      <c r="J19" s="301"/>
      <c r="M19" s="103"/>
    </row>
    <row r="20" spans="5:13">
      <c r="E20" s="307" t="str">
        <f t="shared" si="0"/>
        <v>Jmenovitá délka:</v>
      </c>
      <c r="G20" s="298" t="s">
        <v>0</v>
      </c>
      <c r="H20" s="303" t="s">
        <v>9</v>
      </c>
      <c r="I20" s="300"/>
      <c r="J20" s="301"/>
      <c r="M20" s="103"/>
    </row>
    <row r="21" spans="5:13">
      <c r="E21" s="307" t="str">
        <f t="shared" si="0"/>
        <v>Jmenovitá délka 470 mm:</v>
      </c>
      <c r="G21" s="298" t="s">
        <v>233</v>
      </c>
      <c r="H21" s="303" t="s">
        <v>234</v>
      </c>
      <c r="I21" s="300"/>
      <c r="J21" s="301"/>
      <c r="M21" s="103"/>
    </row>
    <row r="22" spans="5:13">
      <c r="E22" s="307" t="str">
        <f t="shared" si="0"/>
        <v>STOP CONTROL - samodovírání</v>
      </c>
      <c r="G22" s="298" t="s">
        <v>141</v>
      </c>
      <c r="H22" s="303" t="s">
        <v>118</v>
      </c>
      <c r="I22" s="300"/>
      <c r="J22" s="301"/>
      <c r="M22" s="103"/>
    </row>
    <row r="23" spans="5:13">
      <c r="E23" s="307" t="str">
        <f t="shared" si="0"/>
        <v>SILENT SYSTEM - s tlumením</v>
      </c>
      <c r="G23" s="298" t="s">
        <v>142</v>
      </c>
      <c r="H23" s="303" t="s">
        <v>119</v>
      </c>
      <c r="I23" s="300"/>
      <c r="J23" s="301"/>
      <c r="M23" s="103"/>
    </row>
    <row r="24" spans="5:13">
      <c r="E24" s="307" t="str">
        <f t="shared" si="0"/>
        <v>PUSH-TO-OPEN - bez úchytkové</v>
      </c>
      <c r="G24" s="298" t="s">
        <v>120</v>
      </c>
      <c r="H24" s="303" t="s">
        <v>120</v>
      </c>
      <c r="I24" s="300"/>
      <c r="J24" s="301"/>
      <c r="M24" s="103"/>
    </row>
    <row r="25" spans="5:13">
      <c r="E25" s="307" t="str">
        <f t="shared" si="0"/>
        <v>způsob balení:</v>
      </c>
      <c r="G25" s="298" t="s">
        <v>1207</v>
      </c>
      <c r="H25" s="303" t="s">
        <v>399</v>
      </c>
      <c r="I25" s="300"/>
      <c r="J25" s="301"/>
      <c r="M25" s="103"/>
    </row>
    <row r="26" spans="5:13">
      <c r="E26" s="307" t="str">
        <f t="shared" si="0"/>
        <v>flexibilní sety</v>
      </c>
      <c r="G26" s="298" t="s">
        <v>143</v>
      </c>
      <c r="H26" s="299" t="s">
        <v>117</v>
      </c>
      <c r="I26" s="300"/>
      <c r="J26" s="301"/>
      <c r="M26" s="103"/>
    </row>
    <row r="27" spans="5:13">
      <c r="E27" s="307" t="str">
        <f t="shared" si="0"/>
        <v>velkobalení</v>
      </c>
      <c r="G27" s="298" t="s">
        <v>144</v>
      </c>
      <c r="H27" s="299" t="s">
        <v>109</v>
      </c>
      <c r="I27" s="300"/>
      <c r="J27" s="301"/>
      <c r="M27" s="103"/>
    </row>
    <row r="28" spans="5:13">
      <c r="E28" s="307">
        <f t="shared" si="0"/>
        <v>0</v>
      </c>
      <c r="G28" s="298"/>
      <c r="H28" s="303"/>
      <c r="I28" s="300"/>
      <c r="J28" s="301"/>
    </row>
    <row r="29" spans="5:13">
      <c r="E29" s="307" t="str">
        <f t="shared" si="0"/>
        <v>Prodejce:</v>
      </c>
      <c r="G29" s="302" t="s">
        <v>33</v>
      </c>
      <c r="H29" s="299" t="s">
        <v>88</v>
      </c>
      <c r="I29" s="300"/>
      <c r="J29" s="301"/>
    </row>
    <row r="30" spans="5:13">
      <c r="E30" s="307" t="str">
        <f t="shared" si="0"/>
        <v>Odběratel</v>
      </c>
      <c r="G30" s="298" t="s">
        <v>41</v>
      </c>
      <c r="H30" s="303" t="s">
        <v>59</v>
      </c>
      <c r="I30" s="300"/>
      <c r="J30" s="301"/>
    </row>
    <row r="31" spans="5:13">
      <c r="E31" s="307" t="str">
        <f t="shared" si="0"/>
        <v>Adresa</v>
      </c>
      <c r="G31" s="298" t="s">
        <v>57</v>
      </c>
      <c r="H31" s="303" t="s">
        <v>57</v>
      </c>
      <c r="I31" s="300"/>
      <c r="J31" s="301"/>
    </row>
    <row r="32" spans="5:13">
      <c r="E32" s="307" t="str">
        <f t="shared" si="0"/>
        <v>Fakturační adresa</v>
      </c>
      <c r="G32" s="298" t="s">
        <v>145</v>
      </c>
      <c r="H32" s="303" t="s">
        <v>146</v>
      </c>
      <c r="I32" s="300"/>
      <c r="J32" s="301"/>
    </row>
    <row r="33" spans="5:10">
      <c r="E33" s="307" t="str">
        <f t="shared" si="0"/>
        <v>Dodací adresa</v>
      </c>
      <c r="G33" s="298" t="s">
        <v>43</v>
      </c>
      <c r="H33" s="303" t="s">
        <v>60</v>
      </c>
      <c r="I33" s="300"/>
      <c r="J33" s="301"/>
    </row>
    <row r="34" spans="5:10">
      <c r="E34" s="307" t="str">
        <f t="shared" si="0"/>
        <v>IČO</v>
      </c>
      <c r="G34" s="298" t="s">
        <v>147</v>
      </c>
      <c r="H34" s="303" t="s">
        <v>147</v>
      </c>
      <c r="I34" s="300"/>
      <c r="J34" s="301"/>
    </row>
    <row r="35" spans="5:10">
      <c r="E35" s="307" t="str">
        <f t="shared" si="0"/>
        <v>DIČ</v>
      </c>
      <c r="G35" s="298" t="s">
        <v>369</v>
      </c>
      <c r="H35" s="299" t="s">
        <v>148</v>
      </c>
      <c r="I35" s="300"/>
      <c r="J35" s="301"/>
    </row>
    <row r="36" spans="5:10">
      <c r="E36" s="307" t="str">
        <f t="shared" si="0"/>
        <v>Telefon, fax, e-mail</v>
      </c>
      <c r="G36" s="298" t="s">
        <v>44</v>
      </c>
      <c r="H36" s="303" t="s">
        <v>61</v>
      </c>
      <c r="I36" s="300"/>
      <c r="J36" s="301"/>
    </row>
    <row r="37" spans="5:10">
      <c r="E37" s="307" t="str">
        <f t="shared" si="0"/>
        <v xml:space="preserve">Sleva od prodejce [%]: </v>
      </c>
      <c r="G37" s="298" t="s">
        <v>58</v>
      </c>
      <c r="H37" s="303" t="s">
        <v>62</v>
      </c>
      <c r="I37" s="300"/>
      <c r="J37" s="301"/>
    </row>
    <row r="38" spans="5:10">
      <c r="E38" s="307" t="str">
        <f t="shared" si="0"/>
        <v>Objednávka</v>
      </c>
      <c r="G38" s="298" t="s">
        <v>42</v>
      </c>
      <c r="H38" s="303" t="s">
        <v>42</v>
      </c>
      <c r="I38" s="300"/>
      <c r="J38" s="301"/>
    </row>
    <row r="39" spans="5:10">
      <c r="E39" s="307" t="str">
        <f t="shared" si="0"/>
        <v>Číslo objednávky</v>
      </c>
      <c r="G39" s="298" t="s">
        <v>45</v>
      </c>
      <c r="H39" s="303" t="s">
        <v>45</v>
      </c>
      <c r="I39" s="300"/>
      <c r="J39" s="301"/>
    </row>
    <row r="40" spans="5:10">
      <c r="E40" s="307" t="str">
        <f t="shared" si="0"/>
        <v>Zakázka</v>
      </c>
      <c r="G40" s="298" t="s">
        <v>46</v>
      </c>
      <c r="H40" s="303" t="s">
        <v>63</v>
      </c>
      <c r="I40" s="300"/>
      <c r="J40" s="301"/>
    </row>
    <row r="41" spans="5:10">
      <c r="E41" s="307" t="str">
        <f t="shared" si="0"/>
        <v>Číslo artiklu</v>
      </c>
      <c r="G41" s="298" t="s">
        <v>36</v>
      </c>
      <c r="H41" s="303" t="s">
        <v>36</v>
      </c>
      <c r="I41" s="300"/>
      <c r="J41" s="301"/>
    </row>
    <row r="42" spans="5:10">
      <c r="E42" s="307" t="str">
        <f t="shared" si="0"/>
        <v>Název</v>
      </c>
      <c r="G42" s="298" t="s">
        <v>35</v>
      </c>
      <c r="H42" s="303" t="s">
        <v>64</v>
      </c>
      <c r="I42" s="300"/>
      <c r="J42" s="301"/>
    </row>
    <row r="43" spans="5:10">
      <c r="E43" s="307" t="str">
        <f t="shared" si="0"/>
        <v>balení</v>
      </c>
      <c r="G43" s="298" t="s">
        <v>65</v>
      </c>
      <c r="H43" s="303" t="s">
        <v>38</v>
      </c>
      <c r="I43" s="300"/>
      <c r="J43" s="301"/>
    </row>
    <row r="44" spans="5:10">
      <c r="E44" s="307" t="str">
        <f t="shared" si="0"/>
        <v>Sklad</v>
      </c>
      <c r="G44" s="298" t="s">
        <v>122</v>
      </c>
      <c r="H44" s="303" t="s">
        <v>122</v>
      </c>
      <c r="I44" s="300"/>
      <c r="J44" s="301"/>
    </row>
    <row r="45" spans="5:10">
      <c r="E45" s="307" t="str">
        <f t="shared" si="0"/>
        <v>Počet</v>
      </c>
      <c r="G45" s="298" t="s">
        <v>47</v>
      </c>
      <c r="H45" s="303" t="s">
        <v>47</v>
      </c>
      <c r="I45" s="300"/>
      <c r="J45" s="301"/>
    </row>
    <row r="46" spans="5:10">
      <c r="E46" s="307" t="str">
        <f t="shared" si="0"/>
        <v>Jednotková cena</v>
      </c>
      <c r="G46" s="298" t="s">
        <v>37</v>
      </c>
      <c r="H46" s="303" t="s">
        <v>37</v>
      </c>
      <c r="I46" s="300"/>
      <c r="J46" s="301"/>
    </row>
    <row r="47" spans="5:10">
      <c r="E47" s="307" t="str">
        <f t="shared" si="0"/>
        <v>Celkem</v>
      </c>
      <c r="G47" s="298" t="s">
        <v>48</v>
      </c>
      <c r="H47" s="303" t="s">
        <v>66</v>
      </c>
      <c r="I47" s="300"/>
      <c r="J47" s="301"/>
    </row>
    <row r="48" spans="5:10">
      <c r="E48" s="307" t="str">
        <f t="shared" si="0"/>
        <v>Změna</v>
      </c>
      <c r="G48" s="298" t="s">
        <v>49</v>
      </c>
      <c r="H48" s="303" t="s">
        <v>67</v>
      </c>
      <c r="I48" s="300"/>
      <c r="J48" s="301"/>
    </row>
    <row r="49" spans="5:10">
      <c r="E49" s="307" t="str">
        <f t="shared" si="0"/>
        <v>Volné pole</v>
      </c>
      <c r="G49" s="298" t="s">
        <v>328</v>
      </c>
      <c r="H49" s="299" t="s">
        <v>329</v>
      </c>
      <c r="I49" s="300"/>
      <c r="J49" s="301"/>
    </row>
    <row r="50" spans="5:10">
      <c r="E50" s="307" t="str">
        <f t="shared" si="0"/>
        <v>Kód prodejce</v>
      </c>
      <c r="G50" s="298" t="s">
        <v>149</v>
      </c>
      <c r="H50" s="303" t="s">
        <v>121</v>
      </c>
      <c r="I50" s="300"/>
      <c r="J50" s="301"/>
    </row>
    <row r="51" spans="5:10">
      <c r="E51" s="307" t="str">
        <f t="shared" si="0"/>
        <v xml:space="preserve">Verze </v>
      </c>
      <c r="G51" s="302" t="s">
        <v>69</v>
      </c>
      <c r="H51" s="303" t="s">
        <v>75</v>
      </c>
      <c r="I51" s="300"/>
      <c r="J51" s="301"/>
    </row>
    <row r="52" spans="5:10">
      <c r="E52" s="307" t="str">
        <f t="shared" si="0"/>
        <v>1.0.0</v>
      </c>
      <c r="G52" s="298" t="s">
        <v>32</v>
      </c>
      <c r="H52" s="299" t="s">
        <v>32</v>
      </c>
      <c r="I52" s="300"/>
      <c r="J52" s="301"/>
    </row>
    <row r="53" spans="5:10">
      <c r="E53" s="307" t="str">
        <f t="shared" si="0"/>
        <v>Platnost cenníka od</v>
      </c>
      <c r="G53" s="298" t="s">
        <v>150</v>
      </c>
      <c r="H53" s="299" t="s">
        <v>151</v>
      </c>
      <c r="I53" s="300"/>
      <c r="J53" s="301"/>
    </row>
    <row r="54" spans="5:10">
      <c r="E54" s="307">
        <f t="shared" si="0"/>
        <v>0</v>
      </c>
      <c r="G54" s="298"/>
      <c r="H54" s="303"/>
      <c r="I54" s="300"/>
      <c r="J54" s="301"/>
    </row>
    <row r="55" spans="5:10">
      <c r="E55" s="307" t="str">
        <f t="shared" si="0"/>
        <v>Vybrané</v>
      </c>
      <c r="G55" s="298" t="s">
        <v>128</v>
      </c>
      <c r="H55" s="299" t="s">
        <v>129</v>
      </c>
      <c r="I55" s="300"/>
      <c r="J55" s="301"/>
    </row>
    <row r="56" spans="5:10">
      <c r="E56" s="307" t="str">
        <f t="shared" si="0"/>
        <v>barva:</v>
      </c>
      <c r="G56" s="302" t="s">
        <v>70</v>
      </c>
      <c r="H56" s="303" t="s">
        <v>28</v>
      </c>
      <c r="I56" s="300"/>
      <c r="J56" s="301"/>
    </row>
    <row r="57" spans="5:10">
      <c r="E57" s="307" t="str">
        <f t="shared" si="0"/>
        <v>čelní kování:</v>
      </c>
      <c r="G57" s="298" t="s">
        <v>71</v>
      </c>
      <c r="H57" s="299" t="s">
        <v>29</v>
      </c>
      <c r="I57" s="300"/>
      <c r="J57" s="301"/>
    </row>
    <row r="58" spans="5:10">
      <c r="E58" s="307" t="str">
        <f t="shared" si="0"/>
        <v>Cenová hladina:</v>
      </c>
      <c r="G58" s="302" t="s">
        <v>76</v>
      </c>
      <c r="H58" s="303" t="s">
        <v>76</v>
      </c>
      <c r="I58" s="300"/>
      <c r="J58" s="301"/>
    </row>
    <row r="59" spans="5:10">
      <c r="E59" s="307" t="str">
        <f t="shared" si="0"/>
        <v>Sleva %</v>
      </c>
      <c r="G59" s="298" t="s">
        <v>72</v>
      </c>
      <c r="H59" s="299" t="s">
        <v>77</v>
      </c>
      <c r="I59" s="300"/>
      <c r="J59" s="301"/>
    </row>
    <row r="60" spans="5:10">
      <c r="E60" s="307">
        <f t="shared" si="0"/>
        <v>0</v>
      </c>
      <c r="G60" s="298"/>
      <c r="H60" s="303"/>
      <c r="I60" s="300"/>
      <c r="J60" s="301"/>
    </row>
    <row r="61" spans="5:10">
      <c r="E61" s="307" t="str">
        <f t="shared" si="0"/>
        <v>stříbrná</v>
      </c>
      <c r="G61" s="298" t="s">
        <v>78</v>
      </c>
      <c r="H61" s="299" t="s">
        <v>24</v>
      </c>
      <c r="I61" s="300"/>
      <c r="J61" s="301"/>
    </row>
    <row r="62" spans="5:10">
      <c r="E62" s="307" t="str">
        <f t="shared" si="0"/>
        <v>bílá</v>
      </c>
      <c r="G62" s="298" t="s">
        <v>79</v>
      </c>
      <c r="H62" s="303" t="s">
        <v>80</v>
      </c>
      <c r="I62" s="300"/>
      <c r="J62" s="301"/>
    </row>
    <row r="63" spans="5:10">
      <c r="E63" s="307" t="str">
        <f t="shared" si="0"/>
        <v>antracit</v>
      </c>
      <c r="G63" s="298" t="s">
        <v>81</v>
      </c>
      <c r="H63" s="299" t="s">
        <v>81</v>
      </c>
      <c r="I63" s="300"/>
      <c r="J63" s="301"/>
    </row>
    <row r="64" spans="5:10">
      <c r="E64" s="307" t="str">
        <f t="shared" si="0"/>
        <v>barva relingu:</v>
      </c>
      <c r="G64" s="298" t="s">
        <v>107</v>
      </c>
      <c r="H64" s="299" t="s">
        <v>108</v>
      </c>
      <c r="I64" s="300"/>
      <c r="J64" s="301"/>
    </row>
    <row r="65" spans="5:10">
      <c r="E65" s="307" t="str">
        <f t="shared" si="0"/>
        <v>chrom</v>
      </c>
      <c r="G65" s="298" t="s">
        <v>1209</v>
      </c>
      <c r="H65" s="299" t="s">
        <v>105</v>
      </c>
      <c r="I65" s="300"/>
      <c r="J65" s="301"/>
    </row>
    <row r="66" spans="5:10">
      <c r="E66" s="307" t="str">
        <f t="shared" si="0"/>
        <v>nerez finiš</v>
      </c>
      <c r="G66" s="298" t="s">
        <v>106</v>
      </c>
      <c r="H66" s="299" t="s">
        <v>106</v>
      </c>
      <c r="I66" s="300"/>
      <c r="J66" s="301"/>
    </row>
    <row r="67" spans="5:10">
      <c r="E67" s="307" t="str">
        <f t="shared" si="0"/>
        <v>na vruty</v>
      </c>
      <c r="G67" s="298" t="s">
        <v>68</v>
      </c>
      <c r="H67" s="303" t="s">
        <v>25</v>
      </c>
      <c r="I67" s="300"/>
      <c r="J67" s="301"/>
    </row>
    <row r="68" spans="5:10">
      <c r="E68" s="307" t="str">
        <f t="shared" si="0"/>
        <v>s rozpěrnými pouzdry</v>
      </c>
      <c r="G68" s="298" t="s">
        <v>82</v>
      </c>
      <c r="H68" s="299" t="s">
        <v>83</v>
      </c>
      <c r="I68" s="300"/>
      <c r="J68" s="301"/>
    </row>
    <row r="69" spans="5:10">
      <c r="E69" s="307">
        <f t="shared" ref="E69:E85" si="1">IF($E$1=$G$1,G69,IF($E$1=$H$1,H69,IF($E$1=$I$1,I69,IF($E$1=$J$1,J69,""))))</f>
        <v>0</v>
      </c>
      <c r="G69" s="298"/>
      <c r="H69" s="299"/>
      <c r="I69" s="300"/>
      <c r="J69" s="301"/>
    </row>
    <row r="70" spans="5:10">
      <c r="E70" s="307" t="str">
        <f t="shared" si="1"/>
        <v>dekorativní profil:</v>
      </c>
      <c r="G70" s="298" t="s">
        <v>427</v>
      </c>
      <c r="H70" s="299" t="s">
        <v>417</v>
      </c>
      <c r="I70" s="300"/>
      <c r="J70" s="301"/>
    </row>
    <row r="71" spans="5:10">
      <c r="E71" s="307" t="str">
        <f t="shared" si="1"/>
        <v>v barvě bočnice</v>
      </c>
      <c r="G71" s="298" t="s">
        <v>429</v>
      </c>
      <c r="H71" s="299" t="s">
        <v>428</v>
      </c>
      <c r="I71" s="300"/>
      <c r="J71" s="301"/>
    </row>
    <row r="72" spans="5:10">
      <c r="E72" s="307" t="str">
        <f t="shared" si="1"/>
        <v>hliník</v>
      </c>
      <c r="G72" s="298" t="s">
        <v>413</v>
      </c>
      <c r="H72" s="299" t="s">
        <v>413</v>
      </c>
      <c r="I72" s="300"/>
      <c r="J72" s="301"/>
    </row>
    <row r="73" spans="5:10">
      <c r="E73" s="307" t="str">
        <f t="shared" si="1"/>
        <v>nerez</v>
      </c>
      <c r="G73" s="298" t="s">
        <v>414</v>
      </c>
      <c r="H73" s="299" t="s">
        <v>414</v>
      </c>
      <c r="I73" s="300"/>
      <c r="J73" s="301"/>
    </row>
    <row r="74" spans="5:10">
      <c r="E74" s="307" t="str">
        <f t="shared" si="1"/>
        <v>dub</v>
      </c>
      <c r="G74" s="298" t="s">
        <v>415</v>
      </c>
      <c r="H74" s="299" t="s">
        <v>415</v>
      </c>
      <c r="I74" s="300"/>
      <c r="J74" s="301"/>
    </row>
    <row r="75" spans="5:10">
      <c r="E75" s="307" t="str">
        <f t="shared" si="1"/>
        <v>ořech</v>
      </c>
      <c r="G75" s="298" t="s">
        <v>430</v>
      </c>
      <c r="H75" s="299" t="s">
        <v>416</v>
      </c>
      <c r="I75" s="300"/>
      <c r="J75" s="301"/>
    </row>
    <row r="76" spans="5:10">
      <c r="E76" s="307" t="str">
        <f t="shared" si="1"/>
        <v>krytka:</v>
      </c>
      <c r="G76" s="299" t="s">
        <v>425</v>
      </c>
      <c r="H76" s="299" t="s">
        <v>425</v>
      </c>
      <c r="I76" s="300"/>
      <c r="J76" s="301"/>
    </row>
    <row r="77" spans="5:10">
      <c r="E77" s="307" t="str">
        <f t="shared" si="1"/>
        <v>žádná</v>
      </c>
      <c r="G77" s="299" t="s">
        <v>1208</v>
      </c>
      <c r="H77" s="299" t="s">
        <v>418</v>
      </c>
      <c r="I77" s="300"/>
      <c r="J77" s="301"/>
    </row>
    <row r="78" spans="5:10">
      <c r="E78" s="307" t="str">
        <f t="shared" si="1"/>
        <v>stříbrná s logem</v>
      </c>
      <c r="G78" s="299" t="s">
        <v>431</v>
      </c>
      <c r="H78" s="299" t="s">
        <v>419</v>
      </c>
      <c r="I78" s="300"/>
      <c r="J78" s="301"/>
    </row>
    <row r="79" spans="5:10">
      <c r="E79" s="307" t="str">
        <f t="shared" si="1"/>
        <v>stříbrná bez loga</v>
      </c>
      <c r="G79" s="299" t="s">
        <v>432</v>
      </c>
      <c r="H79" s="299" t="s">
        <v>420</v>
      </c>
      <c r="I79" s="300"/>
      <c r="J79" s="301"/>
    </row>
    <row r="80" spans="5:10">
      <c r="E80" s="307" t="str">
        <f t="shared" si="1"/>
        <v>bílá s logem</v>
      </c>
      <c r="G80" s="299" t="s">
        <v>434</v>
      </c>
      <c r="H80" s="299" t="s">
        <v>421</v>
      </c>
      <c r="I80" s="300"/>
      <c r="J80" s="301"/>
    </row>
    <row r="81" spans="5:10">
      <c r="E81" s="307" t="str">
        <f t="shared" si="1"/>
        <v>bílá bez loga</v>
      </c>
      <c r="G81" s="299" t="s">
        <v>433</v>
      </c>
      <c r="H81" s="299" t="s">
        <v>422</v>
      </c>
      <c r="I81" s="300"/>
      <c r="J81" s="301"/>
    </row>
    <row r="82" spans="5:10">
      <c r="E82" s="307" t="str">
        <f t="shared" si="1"/>
        <v>antracitová s logem</v>
      </c>
      <c r="G82" s="299" t="s">
        <v>435</v>
      </c>
      <c r="H82" s="299" t="s">
        <v>423</v>
      </c>
      <c r="I82" s="300"/>
      <c r="J82" s="301"/>
    </row>
    <row r="83" spans="5:10">
      <c r="E83" s="307" t="str">
        <f t="shared" si="1"/>
        <v>antracitová bez loga</v>
      </c>
      <c r="G83" s="299" t="s">
        <v>424</v>
      </c>
      <c r="H83" s="299" t="s">
        <v>424</v>
      </c>
      <c r="I83" s="300"/>
      <c r="J83" s="301"/>
    </row>
    <row r="84" spans="5:10">
      <c r="E84" s="307" t="str">
        <f t="shared" si="1"/>
        <v>tloušťka boku skřínky:</v>
      </c>
      <c r="G84" s="299" t="s">
        <v>436</v>
      </c>
      <c r="H84" s="299" t="s">
        <v>426</v>
      </c>
      <c r="I84" s="300"/>
      <c r="J84" s="301"/>
    </row>
    <row r="85" spans="5:10">
      <c r="E85" s="307">
        <f t="shared" si="1"/>
        <v>0</v>
      </c>
      <c r="G85" s="298"/>
      <c r="H85" s="303"/>
      <c r="I85" s="300"/>
      <c r="J85" s="301"/>
    </row>
    <row r="86" spans="5:10">
      <c r="E86" s="307" t="str">
        <f t="shared" ref="E86:E148" si="2">IF($E$1=$G$1,G86,IF($E$1=$H$1,H86,IF($E$1=$I$1,I86,IF($E$1=$J$1,J86,""))))</f>
        <v>Základní ceny</v>
      </c>
      <c r="G86" s="302" t="s">
        <v>93</v>
      </c>
      <c r="H86" s="303" t="s">
        <v>94</v>
      </c>
      <c r="I86" s="300"/>
      <c r="J86" s="301"/>
    </row>
    <row r="87" spans="5:10">
      <c r="E87" s="307" t="str">
        <f t="shared" si="2"/>
        <v>Nákupní ceny</v>
      </c>
      <c r="G87" s="302" t="s">
        <v>96</v>
      </c>
      <c r="H87" s="303" t="s">
        <v>95</v>
      </c>
      <c r="I87" s="300"/>
      <c r="J87" s="301"/>
    </row>
    <row r="88" spans="5:10">
      <c r="E88" s="307" t="str">
        <f t="shared" si="2"/>
        <v>S volitelnou slevou</v>
      </c>
      <c r="G88" s="302" t="s">
        <v>97</v>
      </c>
      <c r="H88" s="303" t="s">
        <v>98</v>
      </c>
      <c r="I88" s="300"/>
      <c r="J88" s="301"/>
    </row>
    <row r="89" spans="5:10">
      <c r="E89" s="307">
        <f t="shared" si="2"/>
        <v>0</v>
      </c>
      <c r="G89" s="298"/>
      <c r="H89" s="303"/>
      <c r="I89" s="300"/>
      <c r="J89" s="301"/>
    </row>
    <row r="90" spans="5:10">
      <c r="E90" s="307" t="str">
        <f t="shared" si="2"/>
        <v>bočnice:</v>
      </c>
      <c r="G90" s="302" t="s">
        <v>23</v>
      </c>
      <c r="H90" s="303" t="s">
        <v>26</v>
      </c>
      <c r="I90" s="300"/>
      <c r="J90" s="301"/>
    </row>
    <row r="91" spans="5:10">
      <c r="E91" s="307" t="str">
        <f t="shared" si="2"/>
        <v>záda:</v>
      </c>
      <c r="G91" s="302" t="s">
        <v>84</v>
      </c>
      <c r="H91" s="303" t="s">
        <v>27</v>
      </c>
      <c r="I91" s="300"/>
      <c r="J91" s="301"/>
    </row>
    <row r="92" spans="5:10">
      <c r="E92" s="307" t="str">
        <f t="shared" si="2"/>
        <v>cena kování:</v>
      </c>
      <c r="G92" s="302" t="s">
        <v>85</v>
      </c>
      <c r="H92" s="303" t="s">
        <v>30</v>
      </c>
      <c r="I92" s="300"/>
      <c r="J92" s="301"/>
    </row>
    <row r="93" spans="5:10">
      <c r="E93" s="307">
        <f t="shared" si="2"/>
        <v>0</v>
      </c>
      <c r="G93" s="298"/>
      <c r="H93" s="303"/>
      <c r="I93" s="300"/>
      <c r="J93" s="301"/>
    </row>
    <row r="94" spans="5:10">
      <c r="E94" s="307" t="str">
        <f t="shared" si="2"/>
        <v>Formulář pro identifikační údaje</v>
      </c>
      <c r="G94" s="302" t="s">
        <v>73</v>
      </c>
      <c r="H94" s="303" t="s">
        <v>86</v>
      </c>
      <c r="I94" s="300"/>
      <c r="J94" s="301"/>
    </row>
    <row r="95" spans="5:10">
      <c r="E95" s="307" t="str">
        <f t="shared" si="2"/>
        <v>Zpět na úvod</v>
      </c>
      <c r="G95" s="298" t="s">
        <v>34</v>
      </c>
      <c r="H95" s="299" t="s">
        <v>87</v>
      </c>
      <c r="I95" s="300"/>
      <c r="J95" s="301"/>
    </row>
    <row r="96" spans="5:10">
      <c r="E96" s="307">
        <f t="shared" si="2"/>
        <v>0</v>
      </c>
      <c r="G96" s="298"/>
      <c r="H96" s="303"/>
      <c r="I96" s="300"/>
      <c r="J96" s="301"/>
    </row>
    <row r="97" spans="5:10">
      <c r="E97" s="307" t="str">
        <f t="shared" si="2"/>
        <v>Nápověda</v>
      </c>
      <c r="G97" s="298" t="s">
        <v>90</v>
      </c>
      <c r="H97" s="299" t="s">
        <v>103</v>
      </c>
      <c r="I97" s="300"/>
      <c r="J97" s="301"/>
    </row>
    <row r="98" spans="5:10">
      <c r="E98" s="307" t="str">
        <f t="shared" si="2"/>
        <v>Úvod</v>
      </c>
      <c r="G98" s="298" t="s">
        <v>91</v>
      </c>
      <c r="H98" s="299" t="s">
        <v>91</v>
      </c>
      <c r="I98" s="300"/>
      <c r="J98" s="301"/>
    </row>
    <row r="99" spans="5:10">
      <c r="E99" s="307" t="str">
        <f t="shared" si="2"/>
        <v>Před prvním spuštěním:</v>
      </c>
      <c r="G99" s="302" t="s">
        <v>89</v>
      </c>
      <c r="H99" s="303" t="s">
        <v>92</v>
      </c>
      <c r="I99" s="300"/>
      <c r="J99" s="301"/>
    </row>
    <row r="100" spans="5:10">
      <c r="E100" s="307" t="str">
        <f t="shared" si="2"/>
        <v>V levé části obrazovky vyplň identifikační údaje.</v>
      </c>
      <c r="G100" s="302" t="s">
        <v>269</v>
      </c>
      <c r="H100" s="303" t="s">
        <v>275</v>
      </c>
      <c r="I100" s="300"/>
      <c r="J100" s="301"/>
    </row>
    <row r="101" spans="5:10">
      <c r="E101" s="307" t="str">
        <f t="shared" si="2"/>
        <v>Ve střední části vyplň výšku slevy od prodejce.</v>
      </c>
      <c r="G101" s="302" t="s">
        <v>270</v>
      </c>
      <c r="H101" s="303" t="s">
        <v>274</v>
      </c>
      <c r="I101" s="300"/>
      <c r="J101" s="301"/>
    </row>
    <row r="102" spans="5:10">
      <c r="E102" s="307" t="str">
        <f t="shared" si="2"/>
        <v>Vrať se na úvod a soubor ulož nebo zavři s potvzením změn.</v>
      </c>
      <c r="G102" s="302" t="s">
        <v>271</v>
      </c>
      <c r="H102" s="303" t="s">
        <v>276</v>
      </c>
      <c r="I102" s="300"/>
      <c r="J102" s="301"/>
    </row>
    <row r="103" spans="5:10">
      <c r="E103" s="307" t="str">
        <f t="shared" si="2"/>
        <v>Identifikační údaje se budou zobrazovat v hlavičce objednávky.</v>
      </c>
      <c r="G103" s="302" t="s">
        <v>272</v>
      </c>
      <c r="H103" s="303" t="s">
        <v>273</v>
      </c>
      <c r="I103" s="300"/>
      <c r="J103" s="301"/>
    </row>
    <row r="104" spans="5:10">
      <c r="E104" s="307" t="str">
        <f t="shared" si="2"/>
        <v>Na úvodní obrazovce :</v>
      </c>
      <c r="G104" s="302" t="s">
        <v>266</v>
      </c>
      <c r="H104" s="303" t="s">
        <v>265</v>
      </c>
      <c r="I104" s="300"/>
      <c r="J104" s="301"/>
    </row>
    <row r="105" spans="5:10">
      <c r="E105" s="307" t="str">
        <f t="shared" si="2"/>
        <v>vyber, jaké ceny se budou zobrazovat:</v>
      </c>
      <c r="G105" s="302" t="s">
        <v>268</v>
      </c>
      <c r="H105" s="303" t="s">
        <v>267</v>
      </c>
      <c r="I105" s="300"/>
      <c r="J105" s="301"/>
    </row>
    <row r="106" spans="5:10">
      <c r="E106" s="307" t="str">
        <f t="shared" si="2"/>
        <v>základní ceny, tj. ceníkové bez slevy</v>
      </c>
      <c r="G106" s="302" t="s">
        <v>277</v>
      </c>
      <c r="H106" s="303" t="s">
        <v>279</v>
      </c>
      <c r="I106" s="300"/>
      <c r="J106" s="301"/>
    </row>
    <row r="107" spans="5:10">
      <c r="E107" s="307" t="str">
        <f t="shared" si="2"/>
        <v>nákupní ceny, tj. ceny se slevou od prodejce</v>
      </c>
      <c r="G107" s="302" t="s">
        <v>278</v>
      </c>
      <c r="H107" s="303" t="s">
        <v>280</v>
      </c>
      <c r="I107" s="300"/>
      <c r="J107" s="301"/>
    </row>
    <row r="108" spans="5:10">
      <c r="E108" s="307" t="str">
        <f t="shared" si="2"/>
        <v>ceny s volitelnou slevou</v>
      </c>
      <c r="G108" s="302" t="s">
        <v>281</v>
      </c>
      <c r="H108" s="303" t="s">
        <v>282</v>
      </c>
      <c r="I108" s="300"/>
      <c r="J108" s="301"/>
    </row>
    <row r="109" spans="5:10">
      <c r="E109" s="307" t="str">
        <f t="shared" si="2"/>
        <v>Tip:</v>
      </c>
      <c r="G109" s="302" t="s">
        <v>104</v>
      </c>
      <c r="H109" s="303" t="s">
        <v>104</v>
      </c>
      <c r="I109" s="300"/>
      <c r="J109" s="301"/>
    </row>
    <row r="110" spans="5:10">
      <c r="E110" s="307" t="str">
        <f t="shared" si="2"/>
        <v>Zadáte-li slevu s mínusovým znamínkem, zobrazí se ceny o tuto hodnotu vyšší.</v>
      </c>
      <c r="G110" s="302" t="s">
        <v>283</v>
      </c>
      <c r="H110" s="303" t="s">
        <v>284</v>
      </c>
      <c r="I110" s="300"/>
      <c r="J110" s="301"/>
    </row>
    <row r="111" spans="5:10">
      <c r="E111" s="307" t="str">
        <f t="shared" si="2"/>
        <v>vyber barvu povrchové úpravy</v>
      </c>
      <c r="G111" s="302" t="s">
        <v>263</v>
      </c>
      <c r="H111" s="303" t="s">
        <v>261</v>
      </c>
      <c r="I111" s="300"/>
      <c r="J111" s="301"/>
    </row>
    <row r="112" spans="5:10">
      <c r="E112" s="307" t="str">
        <f t="shared" si="2"/>
        <v>vyber způsob montáže čelního kování</v>
      </c>
      <c r="G112" s="302" t="s">
        <v>264</v>
      </c>
      <c r="H112" s="303" t="s">
        <v>262</v>
      </c>
      <c r="I112" s="300"/>
      <c r="J112" s="301"/>
    </row>
    <row r="113" spans="5:10">
      <c r="E113" s="307" t="str">
        <f t="shared" si="2"/>
        <v xml:space="preserve">Zadej výšku slevy [%] </v>
      </c>
      <c r="G113" s="298" t="s">
        <v>259</v>
      </c>
      <c r="H113" s="299" t="s">
        <v>257</v>
      </c>
      <c r="I113" s="300"/>
      <c r="J113" s="301"/>
    </row>
    <row r="114" spans="5:10">
      <c r="E114" s="307" t="str">
        <f t="shared" si="2"/>
        <v>Zadej výšku slevy</v>
      </c>
      <c r="G114" s="302" t="s">
        <v>260</v>
      </c>
      <c r="H114" s="303" t="s">
        <v>258</v>
      </c>
      <c r="I114" s="300"/>
      <c r="J114" s="301"/>
    </row>
    <row r="115" spans="5:10">
      <c r="E115" s="307" t="str">
        <f t="shared" si="2"/>
        <v>Nastavit</v>
      </c>
      <c r="G115" s="298" t="s">
        <v>100</v>
      </c>
      <c r="H115" s="303" t="s">
        <v>101</v>
      </c>
      <c r="I115" s="300"/>
      <c r="J115" s="301"/>
    </row>
    <row r="116" spans="5:10">
      <c r="E116" s="307" t="str">
        <f t="shared" si="2"/>
        <v>Ceny se slevou od prodejce [Základní údaje]</v>
      </c>
      <c r="G116" s="302" t="s">
        <v>99</v>
      </c>
      <c r="H116" s="303" t="s">
        <v>102</v>
      </c>
      <c r="I116" s="300"/>
      <c r="J116" s="301"/>
    </row>
    <row r="117" spans="5:10">
      <c r="E117" s="307">
        <f t="shared" si="2"/>
        <v>0</v>
      </c>
      <c r="G117" s="298"/>
      <c r="H117" s="303"/>
      <c r="I117" s="300"/>
      <c r="J117" s="301"/>
    </row>
    <row r="118" spans="5:10">
      <c r="E118" s="307" t="str">
        <f t="shared" si="2"/>
        <v>Nevymazal jsi vnitřní čela !</v>
      </c>
      <c r="G118" s="302" t="s">
        <v>304</v>
      </c>
      <c r="H118" s="303" t="s">
        <v>303</v>
      </c>
      <c r="I118" s="300"/>
      <c r="J118" s="301"/>
    </row>
    <row r="119" spans="5:10">
      <c r="E119" s="307" t="str">
        <f t="shared" si="2"/>
        <v>zásuvka základní</v>
      </c>
      <c r="G119" s="298" t="s">
        <v>1210</v>
      </c>
      <c r="H119" s="303" t="s">
        <v>115</v>
      </c>
      <c r="I119" s="300"/>
      <c r="J119" s="301"/>
    </row>
    <row r="120" spans="5:10">
      <c r="E120" s="307" t="str">
        <f t="shared" si="2"/>
        <v>zásuvka ze skleněnou bočnicí</v>
      </c>
      <c r="G120" s="298" t="s">
        <v>450</v>
      </c>
      <c r="H120" s="303" t="s">
        <v>451</v>
      </c>
      <c r="I120" s="300"/>
      <c r="J120" s="301"/>
    </row>
    <row r="121" spans="5:10">
      <c r="E121" s="307" t="str">
        <f t="shared" si="2"/>
        <v>zásuvka s 2x relingem</v>
      </c>
      <c r="G121" s="298" t="s">
        <v>135</v>
      </c>
      <c r="H121" s="303" t="s">
        <v>134</v>
      </c>
      <c r="I121" s="300"/>
      <c r="J121" s="301"/>
    </row>
    <row r="122" spans="5:10">
      <c r="E122" s="307" t="str">
        <f t="shared" si="2"/>
        <v>zásuvka s TopSide ocel.</v>
      </c>
      <c r="G122" s="302" t="s">
        <v>136</v>
      </c>
      <c r="H122" s="303" t="s">
        <v>132</v>
      </c>
      <c r="I122" s="300"/>
      <c r="J122" s="301"/>
    </row>
    <row r="123" spans="5:10">
      <c r="E123" s="307" t="str">
        <f t="shared" si="2"/>
        <v>zásuvka s TopSide skleň.</v>
      </c>
      <c r="G123" s="302" t="s">
        <v>137</v>
      </c>
      <c r="H123" s="303" t="s">
        <v>133</v>
      </c>
      <c r="I123" s="300"/>
      <c r="J123" s="301"/>
    </row>
    <row r="124" spans="5:10">
      <c r="E124" s="307" t="str">
        <f t="shared" si="2"/>
        <v>zásuvka s DesignSide</v>
      </c>
      <c r="G124" s="302" t="s">
        <v>310</v>
      </c>
      <c r="H124" s="303" t="s">
        <v>310</v>
      </c>
      <c r="I124" s="300"/>
      <c r="J124" s="301"/>
    </row>
    <row r="125" spans="5:10">
      <c r="E125" s="307" t="str">
        <f t="shared" si="2"/>
        <v>Vnitřní zásuvka - 101 mm s ALU čelem</v>
      </c>
      <c r="G125" s="302" t="s">
        <v>457</v>
      </c>
      <c r="H125" s="303" t="s">
        <v>461</v>
      </c>
      <c r="I125" s="300"/>
      <c r="J125" s="301"/>
    </row>
    <row r="126" spans="5:10">
      <c r="E126" s="307" t="str">
        <f t="shared" si="2"/>
        <v>Vnitřní zásuvka - 139 mm s ALU čelem</v>
      </c>
      <c r="G126" s="302" t="s">
        <v>458</v>
      </c>
      <c r="H126" s="303" t="s">
        <v>462</v>
      </c>
      <c r="I126" s="300"/>
      <c r="J126" s="301"/>
    </row>
    <row r="127" spans="5:10">
      <c r="E127" s="307" t="str">
        <f t="shared" si="2"/>
        <v>Vnitřní zásuvka - 187 mm s ALU čelem</v>
      </c>
      <c r="G127" s="302" t="s">
        <v>459</v>
      </c>
      <c r="H127" s="303" t="s">
        <v>463</v>
      </c>
      <c r="I127" s="300"/>
      <c r="J127" s="301"/>
    </row>
    <row r="128" spans="5:10">
      <c r="E128" s="307" t="str">
        <f t="shared" si="2"/>
        <v>Vnitřní zásuvka - 187 mm se skleněným čelem</v>
      </c>
      <c r="G128" s="302" t="s">
        <v>460</v>
      </c>
      <c r="H128" s="303" t="s">
        <v>473</v>
      </c>
      <c r="I128" s="300"/>
      <c r="J128" s="301"/>
    </row>
    <row r="129" spans="5:10">
      <c r="E129" s="307" t="str">
        <f t="shared" si="2"/>
        <v>zásuvka nízká (v 77mm)</v>
      </c>
      <c r="G129" s="302" t="s">
        <v>455</v>
      </c>
      <c r="H129" s="303" t="s">
        <v>456</v>
      </c>
      <c r="I129" s="300"/>
      <c r="J129" s="301"/>
    </row>
    <row r="130" spans="5:10">
      <c r="E130" s="307" t="str">
        <f t="shared" si="2"/>
        <v>zásuvka s relingem a individuálně vysokými zády</v>
      </c>
      <c r="G130" s="302" t="s">
        <v>212</v>
      </c>
      <c r="H130" s="303" t="s">
        <v>211</v>
      </c>
      <c r="I130" s="300"/>
      <c r="J130" s="301"/>
    </row>
    <row r="131" spans="5:10">
      <c r="E131" s="307" t="str">
        <f t="shared" si="2"/>
        <v>zásuvka velkokapacitní XXL</v>
      </c>
      <c r="G131" s="302" t="s">
        <v>214</v>
      </c>
      <c r="H131" s="303" t="s">
        <v>213</v>
      </c>
      <c r="I131" s="300"/>
      <c r="J131" s="301"/>
    </row>
    <row r="132" spans="5:10">
      <c r="E132" s="307" t="str">
        <f t="shared" si="2"/>
        <v>zásuvka s vybráním pod dřez</v>
      </c>
      <c r="G132" s="302" t="s">
        <v>215</v>
      </c>
      <c r="H132" s="303" t="s">
        <v>217</v>
      </c>
      <c r="I132" s="300"/>
      <c r="J132" s="301"/>
    </row>
    <row r="133" spans="5:10">
      <c r="E133" s="307" t="str">
        <f t="shared" si="2"/>
        <v>zásuvka s relingem a s vybráním pod dřez</v>
      </c>
      <c r="G133" s="302" t="s">
        <v>216</v>
      </c>
      <c r="H133" s="303" t="s">
        <v>218</v>
      </c>
      <c r="I133" s="300"/>
      <c r="J133" s="301"/>
    </row>
    <row r="134" spans="5:10">
      <c r="E134" s="307" t="str">
        <f t="shared" si="2"/>
        <v>zásuvka velkokapacitní pod sporák</v>
      </c>
      <c r="G134" s="302" t="s">
        <v>219</v>
      </c>
      <c r="H134" s="303" t="s">
        <v>220</v>
      </c>
      <c r="I134" s="300"/>
      <c r="J134" s="301"/>
    </row>
    <row r="135" spans="5:10">
      <c r="E135" s="307" t="str">
        <f t="shared" si="2"/>
        <v>nebo</v>
      </c>
      <c r="G135" s="302" t="s">
        <v>222</v>
      </c>
      <c r="H135" s="303" t="s">
        <v>221</v>
      </c>
      <c r="I135" s="300"/>
      <c r="J135" s="301"/>
    </row>
    <row r="136" spans="5:10">
      <c r="E136" s="307" t="str">
        <f t="shared" si="2"/>
        <v>zásuvka úzká spodní 101/187</v>
      </c>
      <c r="G136" s="302" t="s">
        <v>489</v>
      </c>
      <c r="H136" s="303" t="s">
        <v>490</v>
      </c>
      <c r="I136" s="300"/>
      <c r="J136" s="301"/>
    </row>
    <row r="137" spans="5:10">
      <c r="E137" s="307" t="str">
        <f t="shared" si="2"/>
        <v>zásuvka úzká spodní 139/187</v>
      </c>
      <c r="G137" s="302" t="s">
        <v>491</v>
      </c>
      <c r="H137" s="303" t="s">
        <v>492</v>
      </c>
      <c r="I137" s="300"/>
      <c r="J137" s="301"/>
    </row>
    <row r="138" spans="5:10">
      <c r="E138" s="307" t="str">
        <f>IF($E$1=$G$1,G138,IF($E$1=$H$1,H138,IF($E$1=$I$1,I138,IF($E$1=$J$1,J138,""))))</f>
        <v>zásuvka úzká spodní 2x187</v>
      </c>
      <c r="G138" s="302" t="s">
        <v>493</v>
      </c>
      <c r="H138" s="303" t="s">
        <v>494</v>
      </c>
      <c r="I138" s="300"/>
      <c r="J138" s="301"/>
    </row>
    <row r="139" spans="5:10">
      <c r="E139" s="307" t="str">
        <f t="shared" si="2"/>
        <v>potravinová skříň vysoká výsuvná</v>
      </c>
      <c r="G139" s="302" t="s">
        <v>225</v>
      </c>
      <c r="H139" s="303" t="s">
        <v>223</v>
      </c>
      <c r="I139" s="300"/>
      <c r="J139" s="301"/>
    </row>
    <row r="140" spans="5:10">
      <c r="E140" s="307" t="str">
        <f t="shared" si="2"/>
        <v>potravinová skříň vysoká otvíravá</v>
      </c>
      <c r="G140" s="302" t="s">
        <v>226</v>
      </c>
      <c r="H140" s="303" t="s">
        <v>224</v>
      </c>
      <c r="I140" s="300"/>
      <c r="J140" s="301"/>
    </row>
    <row r="141" spans="5:10">
      <c r="E141" s="307" t="str">
        <f t="shared" si="2"/>
        <v>Speciální zásuvky a speciální řešení</v>
      </c>
      <c r="G141" s="302" t="s">
        <v>368</v>
      </c>
      <c r="H141" s="303" t="s">
        <v>210</v>
      </c>
      <c r="I141" s="300"/>
      <c r="J141" s="301"/>
    </row>
    <row r="142" spans="5:10">
      <c r="E142" s="307" t="str">
        <f t="shared" si="2"/>
        <v>Zásuvky úzké</v>
      </c>
      <c r="G142" s="302" t="s">
        <v>309</v>
      </c>
      <c r="H142" s="303" t="s">
        <v>294</v>
      </c>
      <c r="I142" s="300"/>
      <c r="J142" s="301"/>
    </row>
    <row r="143" spans="5:10">
      <c r="E143" s="307" t="str">
        <f t="shared" si="2"/>
        <v>Vysoké potravinové skříně</v>
      </c>
      <c r="G143" s="302" t="s">
        <v>296</v>
      </c>
      <c r="H143" s="303" t="s">
        <v>295</v>
      </c>
      <c r="I143" s="300"/>
      <c r="J143" s="301"/>
    </row>
    <row r="144" spans="5:10">
      <c r="E144" s="307">
        <f t="shared" si="2"/>
        <v>0</v>
      </c>
      <c r="G144" s="302"/>
      <c r="H144" s="303"/>
      <c r="I144" s="300"/>
      <c r="J144" s="301"/>
    </row>
    <row r="145" spans="5:10">
      <c r="E145" s="307" t="str">
        <f t="shared" si="2"/>
        <v>výška bočnice :</v>
      </c>
      <c r="G145" s="302" t="s">
        <v>131</v>
      </c>
      <c r="H145" s="303" t="s">
        <v>131</v>
      </c>
      <c r="I145" s="300"/>
      <c r="J145" s="301"/>
    </row>
    <row r="146" spans="5:10">
      <c r="E146" s="307" t="str">
        <f t="shared" si="2"/>
        <v>výška zad :</v>
      </c>
      <c r="G146" s="302" t="s">
        <v>138</v>
      </c>
      <c r="H146" s="303" t="s">
        <v>116</v>
      </c>
      <c r="I146" s="300"/>
      <c r="J146" s="301"/>
    </row>
    <row r="147" spans="5:10">
      <c r="E147" s="307" t="str">
        <f t="shared" si="2"/>
        <v>min.vestavná výška [mm] :</v>
      </c>
      <c r="G147" s="302" t="s">
        <v>1211</v>
      </c>
      <c r="H147" s="303" t="s">
        <v>443</v>
      </c>
      <c r="I147" s="300"/>
      <c r="J147" s="301"/>
    </row>
    <row r="148" spans="5:10">
      <c r="E148" s="307" t="str">
        <f t="shared" si="2"/>
        <v>jenom SiSy</v>
      </c>
      <c r="G148" s="302" t="s">
        <v>484</v>
      </c>
      <c r="H148" s="303" t="s">
        <v>448</v>
      </c>
      <c r="I148" s="300"/>
      <c r="J148" s="301"/>
    </row>
    <row r="149" spans="5:10">
      <c r="E149" s="307"/>
      <c r="G149" s="302"/>
      <c r="H149" s="303"/>
      <c r="I149" s="300"/>
      <c r="J149" s="301"/>
    </row>
    <row r="150" spans="5:10">
      <c r="E150" s="307" t="str">
        <f t="shared" ref="E150:E215" si="3">IF($E$1=$G$1,G150,IF($E$1=$H$1,H150,IF($E$1=$I$1,I150,IF($E$1=$J$1,J150,""))))</f>
        <v>min.šířka korp.:</v>
      </c>
      <c r="G150" s="302" t="s">
        <v>315</v>
      </c>
      <c r="H150" s="303" t="s">
        <v>316</v>
      </c>
      <c r="I150" s="300"/>
      <c r="J150" s="301"/>
    </row>
    <row r="151" spans="5:10">
      <c r="E151" s="307" t="str">
        <f t="shared" si="3"/>
        <v>max.šířka korp.:</v>
      </c>
      <c r="G151" s="302" t="s">
        <v>317</v>
      </c>
      <c r="H151" s="303" t="s">
        <v>318</v>
      </c>
      <c r="I151" s="300"/>
      <c r="J151" s="301"/>
    </row>
    <row r="152" spans="5:10">
      <c r="E152" s="307" t="str">
        <f t="shared" si="3"/>
        <v>min.hl.příbor. :</v>
      </c>
      <c r="G152" s="302" t="s">
        <v>319</v>
      </c>
      <c r="H152" s="303" t="s">
        <v>321</v>
      </c>
      <c r="I152" s="300"/>
      <c r="J152" s="301"/>
    </row>
    <row r="153" spans="5:10">
      <c r="E153" s="307" t="str">
        <f t="shared" si="3"/>
        <v>max.hl.příbor.:</v>
      </c>
      <c r="G153" s="302" t="s">
        <v>320</v>
      </c>
      <c r="H153" s="303" t="s">
        <v>322</v>
      </c>
      <c r="I153" s="300"/>
      <c r="J153" s="301"/>
    </row>
    <row r="154" spans="5:10">
      <c r="E154" s="307">
        <f t="shared" si="3"/>
        <v>0</v>
      </c>
      <c r="G154" s="298"/>
      <c r="H154" s="303"/>
      <c r="I154" s="300"/>
      <c r="J154" s="301"/>
    </row>
    <row r="155" spans="5:10">
      <c r="E155" s="307" t="str">
        <f t="shared" si="3"/>
        <v>Ke každé zásuvce je uvažované jedno přední 2m hliníkové čelo.</v>
      </c>
      <c r="G155" s="298" t="s">
        <v>174</v>
      </c>
      <c r="H155" s="299" t="s">
        <v>173</v>
      </c>
      <c r="I155" s="300"/>
      <c r="J155" s="301"/>
    </row>
    <row r="156" spans="5:10">
      <c r="E156" s="307" t="str">
        <f t="shared" si="3"/>
        <v>Ke každé zásuvce je uvažované jedno přední 2m hliníkové čelo a příčny reling.</v>
      </c>
      <c r="G156" s="298" t="s">
        <v>180</v>
      </c>
      <c r="H156" s="299" t="s">
        <v>179</v>
      </c>
      <c r="I156" s="300"/>
      <c r="J156" s="301"/>
    </row>
    <row r="157" spans="5:10">
      <c r="E157" s="307" t="str">
        <f t="shared" si="3"/>
        <v>Případnou úpravu počtu hliníkových čel (profilů) vykonej v objednávce.</v>
      </c>
      <c r="G157" s="298" t="s">
        <v>253</v>
      </c>
      <c r="H157" s="299" t="s">
        <v>255</v>
      </c>
      <c r="I157" s="300"/>
      <c r="J157" s="301"/>
    </row>
    <row r="158" spans="5:10">
      <c r="E158" s="307" t="str">
        <f t="shared" si="3"/>
        <v>Případnou úpravu počtu hliníkových čel (profilů) a příčných relingů vykonej v objednávce.</v>
      </c>
      <c r="G158" s="298" t="s">
        <v>254</v>
      </c>
      <c r="H158" s="299" t="s">
        <v>256</v>
      </c>
      <c r="I158" s="300"/>
      <c r="J158" s="301"/>
    </row>
    <row r="159" spans="5:10">
      <c r="E159" s="307" t="str">
        <f t="shared" si="3"/>
        <v>Je nutné vybrat skleněné čela podle rozměrů skříněk !</v>
      </c>
      <c r="G159" s="298" t="s">
        <v>176</v>
      </c>
      <c r="H159" s="299" t="s">
        <v>175</v>
      </c>
      <c r="I159" s="300"/>
      <c r="J159" s="301"/>
    </row>
    <row r="160" spans="5:10">
      <c r="E160" s="307" t="str">
        <f t="shared" si="3"/>
        <v>Je nutné natypovat šířky čel ?</v>
      </c>
      <c r="G160" s="302" t="s">
        <v>465</v>
      </c>
      <c r="H160" s="303" t="s">
        <v>464</v>
      </c>
      <c r="I160" s="300"/>
      <c r="J160" s="301"/>
    </row>
    <row r="161" spans="5:10">
      <c r="E161" s="307" t="str">
        <f t="shared" si="3"/>
        <v>Pro výběr kliknu zde.</v>
      </c>
      <c r="G161" s="302" t="s">
        <v>178</v>
      </c>
      <c r="H161" s="303" t="s">
        <v>177</v>
      </c>
      <c r="I161" s="300"/>
      <c r="J161" s="301"/>
    </row>
    <row r="162" spans="5:10">
      <c r="E162" s="307" t="str">
        <f t="shared" si="3"/>
        <v>Čelo na vnitřní zásuvku</v>
      </c>
      <c r="G162" s="302" t="s">
        <v>159</v>
      </c>
      <c r="H162" s="303" t="s">
        <v>156</v>
      </c>
      <c r="I162" s="300"/>
      <c r="J162" s="301"/>
    </row>
    <row r="163" spans="5:10">
      <c r="E163" s="307" t="str">
        <f t="shared" si="3"/>
        <v>vnější rozměry zásuvkové skřínky [mm]</v>
      </c>
      <c r="G163" s="302" t="s">
        <v>160</v>
      </c>
      <c r="H163" s="303" t="s">
        <v>157</v>
      </c>
      <c r="I163" s="300"/>
      <c r="J163" s="301"/>
    </row>
    <row r="164" spans="5:10">
      <c r="E164" s="307" t="str">
        <f t="shared" si="3"/>
        <v>nízke čelo = 66 mm</v>
      </c>
      <c r="G164" s="302" t="s">
        <v>474</v>
      </c>
      <c r="H164" s="303" t="s">
        <v>474</v>
      </c>
      <c r="I164" s="300"/>
      <c r="J164" s="301"/>
    </row>
    <row r="165" spans="5:10">
      <c r="E165" s="307" t="str">
        <f t="shared" si="3"/>
        <v>vysoké čelo = 130 mm</v>
      </c>
      <c r="G165" s="302" t="s">
        <v>475</v>
      </c>
      <c r="H165" s="303" t="s">
        <v>475</v>
      </c>
      <c r="I165" s="300"/>
      <c r="J165" s="301"/>
    </row>
    <row r="166" spans="5:10">
      <c r="E166" s="307" t="str">
        <f t="shared" si="3"/>
        <v>Šířka korpusu:</v>
      </c>
      <c r="G166" s="302" t="s">
        <v>161</v>
      </c>
      <c r="H166" s="303" t="s">
        <v>158</v>
      </c>
      <c r="I166" s="300"/>
      <c r="J166" s="301"/>
    </row>
    <row r="167" spans="5:10">
      <c r="E167" s="307" t="str">
        <f t="shared" si="3"/>
        <v>ALU čelo</v>
      </c>
      <c r="G167" s="302" t="s">
        <v>470</v>
      </c>
      <c r="H167" s="303" t="s">
        <v>470</v>
      </c>
      <c r="I167" s="300"/>
      <c r="J167" s="301"/>
    </row>
    <row r="168" spans="5:10">
      <c r="E168" s="307" t="str">
        <f t="shared" si="3"/>
        <v>Skleněné čelo</v>
      </c>
      <c r="G168" s="302" t="s">
        <v>471</v>
      </c>
      <c r="H168" s="303" t="s">
        <v>472</v>
      </c>
      <c r="I168" s="300"/>
      <c r="J168" s="301"/>
    </row>
    <row r="169" spans="5:10">
      <c r="E169" s="307" t="str">
        <f t="shared" si="3"/>
        <v>Je potřebné vybrat</v>
      </c>
      <c r="G169" s="302" t="s">
        <v>163</v>
      </c>
      <c r="H169" s="303" t="s">
        <v>162</v>
      </c>
      <c r="I169" s="300"/>
      <c r="J169" s="301"/>
    </row>
    <row r="170" spans="5:10">
      <c r="E170" s="307" t="str">
        <f t="shared" si="3"/>
        <v>ks vnitřních čel.</v>
      </c>
      <c r="G170" s="302" t="s">
        <v>164</v>
      </c>
      <c r="H170" s="303" t="s">
        <v>165</v>
      </c>
      <c r="I170" s="300"/>
      <c r="J170" s="301"/>
    </row>
    <row r="171" spans="5:10">
      <c r="E171" s="307" t="str">
        <f t="shared" si="3"/>
        <v>Ešte CHYBÍ vybrat</v>
      </c>
      <c r="G171" s="302" t="s">
        <v>171</v>
      </c>
      <c r="H171" s="303" t="s">
        <v>170</v>
      </c>
      <c r="I171" s="300"/>
      <c r="J171" s="301"/>
    </row>
    <row r="172" spans="5:10">
      <c r="E172" s="307" t="str">
        <f t="shared" si="3"/>
        <v>Vybral jsi o</v>
      </c>
      <c r="G172" s="302" t="s">
        <v>168</v>
      </c>
      <c r="H172" s="303" t="s">
        <v>166</v>
      </c>
      <c r="I172" s="300"/>
      <c r="J172" s="301"/>
    </row>
    <row r="173" spans="5:10">
      <c r="E173" s="307" t="str">
        <f t="shared" si="3"/>
        <v>ks vnitřních čel VÍCE.</v>
      </c>
      <c r="G173" s="302" t="s">
        <v>169</v>
      </c>
      <c r="H173" s="303" t="s">
        <v>167</v>
      </c>
      <c r="I173" s="300"/>
      <c r="J173" s="301"/>
    </row>
    <row r="174" spans="5:10">
      <c r="E174" s="307" t="str">
        <f t="shared" si="3"/>
        <v>Počet vnitřních čel nyní pasuje s počtem zásuvek.</v>
      </c>
      <c r="G174" s="302" t="s">
        <v>250</v>
      </c>
      <c r="H174" s="303" t="s">
        <v>172</v>
      </c>
      <c r="I174" s="300"/>
      <c r="J174" s="301"/>
    </row>
    <row r="175" spans="5:10">
      <c r="E175" s="307" t="str">
        <f t="shared" si="3"/>
        <v>Je potřebné vybrat vnitřní čela na</v>
      </c>
      <c r="G175" s="302" t="s">
        <v>243</v>
      </c>
      <c r="H175" s="303" t="s">
        <v>242</v>
      </c>
      <c r="I175" s="300"/>
      <c r="J175" s="301"/>
    </row>
    <row r="176" spans="5:10">
      <c r="E176" s="307" t="str">
        <f t="shared" si="3"/>
        <v>skříň (skříně).</v>
      </c>
      <c r="G176" s="302" t="s">
        <v>246</v>
      </c>
      <c r="H176" s="303" t="s">
        <v>245</v>
      </c>
      <c r="I176" s="300"/>
      <c r="J176" s="301"/>
    </row>
    <row r="177" spans="5:10">
      <c r="E177" s="307" t="str">
        <f t="shared" si="3"/>
        <v>Ešte CHYBÍ vybrat vnitřní čela na</v>
      </c>
      <c r="G177" s="302" t="s">
        <v>247</v>
      </c>
      <c r="H177" s="303" t="s">
        <v>244</v>
      </c>
      <c r="I177" s="300"/>
      <c r="J177" s="301"/>
    </row>
    <row r="178" spans="5:10">
      <c r="E178" s="307" t="str">
        <f t="shared" si="3"/>
        <v>Vybral jsi na</v>
      </c>
      <c r="G178" s="302" t="s">
        <v>249</v>
      </c>
      <c r="H178" s="303" t="s">
        <v>248</v>
      </c>
      <c r="I178" s="300"/>
      <c r="J178" s="301"/>
    </row>
    <row r="179" spans="5:10">
      <c r="E179" s="307" t="str">
        <f t="shared" si="3"/>
        <v>skříň (skříně) vnitřních čel VÍCE.</v>
      </c>
      <c r="G179" s="302" t="s">
        <v>252</v>
      </c>
      <c r="H179" s="303" t="s">
        <v>251</v>
      </c>
      <c r="I179" s="300"/>
      <c r="J179" s="301"/>
    </row>
    <row r="180" spans="5:10">
      <c r="E180" s="307">
        <f t="shared" si="3"/>
        <v>0</v>
      </c>
      <c r="G180" s="302"/>
      <c r="H180" s="303"/>
      <c r="I180" s="300"/>
      <c r="J180" s="301"/>
    </row>
    <row r="181" spans="5:10">
      <c r="E181" s="307" t="str">
        <f t="shared" si="3"/>
        <v>vnější šířka skřínky</v>
      </c>
      <c r="G181" s="302" t="s">
        <v>203</v>
      </c>
      <c r="H181" s="303" t="s">
        <v>181</v>
      </c>
      <c r="I181" s="300"/>
      <c r="J181" s="301"/>
    </row>
    <row r="182" spans="5:10">
      <c r="E182" s="307" t="str">
        <f t="shared" si="3"/>
        <v>šířka výlisku</v>
      </c>
      <c r="G182" s="302" t="s">
        <v>204</v>
      </c>
      <c r="H182" s="303" t="s">
        <v>182</v>
      </c>
      <c r="I182" s="300"/>
      <c r="J182" s="301"/>
    </row>
    <row r="183" spans="5:10">
      <c r="E183" s="307" t="str">
        <f t="shared" si="3"/>
        <v>hloubka výlisku [mm]</v>
      </c>
      <c r="G183" s="302" t="s">
        <v>205</v>
      </c>
      <c r="H183" s="303" t="s">
        <v>202</v>
      </c>
      <c r="I183" s="300"/>
      <c r="J183" s="301"/>
    </row>
    <row r="184" spans="5:10">
      <c r="E184" s="307" t="str">
        <f t="shared" si="3"/>
        <v>hloubka zásuvky</v>
      </c>
      <c r="G184" s="302" t="s">
        <v>206</v>
      </c>
      <c r="H184" s="303" t="s">
        <v>200</v>
      </c>
      <c r="I184" s="300"/>
      <c r="J184" s="301"/>
    </row>
    <row r="185" spans="5:10">
      <c r="E185" s="307">
        <f t="shared" si="3"/>
        <v>0</v>
      </c>
      <c r="G185" s="298"/>
      <c r="H185" s="303"/>
      <c r="I185" s="300"/>
      <c r="J185" s="301"/>
    </row>
    <row r="186" spans="5:10">
      <c r="E186" s="307" t="str">
        <f t="shared" si="3"/>
        <v>Kolik úrovňový chceš mít reling ?</v>
      </c>
      <c r="G186" s="302" t="s">
        <v>228</v>
      </c>
      <c r="H186" s="303" t="s">
        <v>227</v>
      </c>
      <c r="I186" s="300"/>
      <c r="J186" s="301"/>
    </row>
    <row r="187" spans="5:10">
      <c r="E187" s="307" t="str">
        <f t="shared" si="3"/>
        <v>Vnitřní krátke bočnice jsou uvažované v jmenovité délce 260mm.</v>
      </c>
      <c r="G187" s="298" t="s">
        <v>230</v>
      </c>
      <c r="H187" s="299" t="s">
        <v>231</v>
      </c>
      <c r="I187" s="300"/>
      <c r="J187" s="301"/>
    </row>
    <row r="188" spans="5:10">
      <c r="E188" s="307" t="str">
        <f t="shared" si="3"/>
        <v>Případnou změnu na jinou délku vykonejte v objednávce.</v>
      </c>
      <c r="G188" s="298" t="s">
        <v>232</v>
      </c>
      <c r="H188" s="299" t="s">
        <v>229</v>
      </c>
      <c r="I188" s="300"/>
      <c r="J188" s="301"/>
    </row>
    <row r="189" spans="5:10">
      <c r="E189" s="307" t="str">
        <f t="shared" si="3"/>
        <v>Maximální výška korpusu skříňky = 750mm.   Maximální šířka korpusu skříňky = 300mm.</v>
      </c>
      <c r="G189" s="302" t="s">
        <v>236</v>
      </c>
      <c r="H189" s="303" t="s">
        <v>237</v>
      </c>
      <c r="I189" s="300"/>
      <c r="J189" s="301"/>
    </row>
    <row r="190" spans="5:10">
      <c r="E190" s="307">
        <f t="shared" si="3"/>
        <v>0</v>
      </c>
      <c r="G190" s="298"/>
      <c r="H190" s="303"/>
      <c r="I190" s="300"/>
      <c r="J190" s="301"/>
    </row>
    <row r="191" spans="5:10">
      <c r="E191" s="307" t="str">
        <f t="shared" si="3"/>
        <v>Ve sloupci "Změna" můžeš upravit počty kusů jednotlivých položek.</v>
      </c>
      <c r="G191" s="304" t="s">
        <v>1214</v>
      </c>
      <c r="H191" s="305" t="s">
        <v>286</v>
      </c>
      <c r="I191" s="300"/>
      <c r="J191" s="301"/>
    </row>
    <row r="192" spans="5:10">
      <c r="E192" s="307" t="str">
        <f t="shared" si="3"/>
        <v>Po úpravě objednávky odfiltruj prázné řádky pomocí filtru ve sloupci "Počet".</v>
      </c>
      <c r="G192" s="304" t="s">
        <v>287</v>
      </c>
      <c r="H192" s="305" t="s">
        <v>288</v>
      </c>
      <c r="I192" s="300"/>
      <c r="J192" s="301"/>
    </row>
    <row r="193" spans="5:10">
      <c r="E193" s="307" t="str">
        <f t="shared" si="3"/>
        <v>Pokud chceš objednávku uložit nebo odeslat jako přílohu, vytvoř nový soubor kliknutím na odkaz  'Vytvořit objednávku'.</v>
      </c>
      <c r="G193" s="304" t="s">
        <v>289</v>
      </c>
      <c r="H193" s="305" t="s">
        <v>292</v>
      </c>
      <c r="I193" s="300"/>
      <c r="J193" s="301"/>
    </row>
    <row r="194" spans="5:10">
      <c r="E194" s="307" t="str">
        <f t="shared" si="3"/>
        <v>VYTVOŘIT  OBJEDNÁVKU</v>
      </c>
      <c r="G194" s="302" t="s">
        <v>291</v>
      </c>
      <c r="H194" s="303" t="s">
        <v>290</v>
      </c>
      <c r="I194" s="300"/>
      <c r="J194" s="301"/>
    </row>
    <row r="195" spans="5:10">
      <c r="E195" s="307">
        <f t="shared" si="3"/>
        <v>0</v>
      </c>
      <c r="G195" s="298"/>
      <c r="H195" s="303"/>
      <c r="I195" s="300"/>
      <c r="J195" s="301"/>
    </row>
    <row r="196" spans="5:10">
      <c r="E196" s="307" t="str">
        <f t="shared" si="3"/>
        <v>Tlačítko "RESET" funguje jenom při zapnuté funkci MAKRO. Pokud není zapnutá, musíte pole vymazat ručne.</v>
      </c>
      <c r="G196" s="298" t="s">
        <v>1203</v>
      </c>
      <c r="H196" s="303" t="s">
        <v>513</v>
      </c>
      <c r="I196" s="300"/>
      <c r="J196" s="301"/>
    </row>
    <row r="197" spans="5:10">
      <c r="E197" s="307">
        <f t="shared" si="3"/>
        <v>0</v>
      </c>
      <c r="G197" s="298"/>
      <c r="H197" s="303"/>
      <c r="I197" s="300"/>
      <c r="J197" s="301"/>
    </row>
    <row r="198" spans="5:10">
      <c r="E198" s="307" t="str">
        <f t="shared" si="3"/>
        <v>P2O Silent pro Actro</v>
      </c>
      <c r="G198" s="298" t="s">
        <v>1212</v>
      </c>
      <c r="H198" s="303" t="s">
        <v>410</v>
      </c>
      <c r="I198" s="300"/>
      <c r="J198" s="301"/>
    </row>
    <row r="199" spans="5:10">
      <c r="E199" s="307" t="str">
        <f t="shared" si="3"/>
        <v>P2O Silent pro Quadro</v>
      </c>
      <c r="G199" s="298" t="s">
        <v>1213</v>
      </c>
      <c r="H199" s="303" t="s">
        <v>411</v>
      </c>
      <c r="I199" s="300"/>
      <c r="J199" s="301"/>
    </row>
    <row r="200" spans="5:10">
      <c r="E200" s="307">
        <f t="shared" si="3"/>
        <v>0</v>
      </c>
      <c r="G200" s="298"/>
      <c r="H200" s="303"/>
      <c r="I200" s="300"/>
      <c r="J200" s="301"/>
    </row>
    <row r="201" spans="5:10">
      <c r="E201" s="307" t="str">
        <f t="shared" si="3"/>
        <v>SiSy = tlumení Silent System</v>
      </c>
      <c r="G201" s="298" t="s">
        <v>1215</v>
      </c>
      <c r="H201" s="303" t="s">
        <v>1217</v>
      </c>
      <c r="I201" s="300"/>
      <c r="J201" s="301"/>
    </row>
    <row r="202" spans="5:10">
      <c r="E202" s="307" t="str">
        <f t="shared" si="3"/>
        <v>P2O/SiSy = tlumení s otvíráním bez úchytky Push to open Silent</v>
      </c>
      <c r="G202" s="298" t="s">
        <v>1216</v>
      </c>
      <c r="H202" s="303" t="s">
        <v>1218</v>
      </c>
      <c r="I202" s="300"/>
      <c r="J202" s="301"/>
    </row>
    <row r="203" spans="5:10">
      <c r="E203" s="307" t="str">
        <f t="shared" si="3"/>
        <v>P2O Silent = tlumení s otvíráním bez úchytky Push to open Silent</v>
      </c>
      <c r="G203" s="298" t="s">
        <v>1219</v>
      </c>
      <c r="H203" s="303" t="s">
        <v>1220</v>
      </c>
      <c r="I203" s="300"/>
      <c r="J203" s="301"/>
    </row>
    <row r="204" spans="5:10">
      <c r="E204" s="307" t="str">
        <f t="shared" si="3"/>
        <v>P2O = otvírání bez úchytky Push to open</v>
      </c>
      <c r="G204" s="298" t="s">
        <v>1221</v>
      </c>
      <c r="H204" s="303" t="s">
        <v>1222</v>
      </c>
      <c r="I204" s="300"/>
      <c r="J204" s="301"/>
    </row>
    <row r="205" spans="5:10">
      <c r="E205" s="307">
        <f t="shared" si="3"/>
        <v>0</v>
      </c>
      <c r="G205" s="298"/>
      <c r="H205" s="303"/>
      <c r="I205" s="300"/>
      <c r="J205" s="301"/>
    </row>
    <row r="206" spans="5:10">
      <c r="E206" s="307">
        <f t="shared" si="3"/>
        <v>0</v>
      </c>
      <c r="G206" s="298"/>
      <c r="H206" s="303"/>
      <c r="I206" s="300"/>
      <c r="J206" s="301"/>
    </row>
    <row r="207" spans="5:10">
      <c r="E207" s="307">
        <f t="shared" si="3"/>
        <v>0</v>
      </c>
      <c r="G207" s="298"/>
      <c r="H207" s="303"/>
      <c r="I207" s="300"/>
      <c r="J207" s="301"/>
    </row>
    <row r="208" spans="5:10">
      <c r="E208" s="307">
        <f t="shared" si="3"/>
        <v>0</v>
      </c>
      <c r="G208" s="298"/>
      <c r="H208" s="303"/>
      <c r="I208" s="300"/>
      <c r="J208" s="301"/>
    </row>
    <row r="209" spans="5:10">
      <c r="E209" s="307">
        <f t="shared" si="3"/>
        <v>0</v>
      </c>
      <c r="G209" s="298"/>
      <c r="H209" s="303"/>
      <c r="I209" s="300"/>
      <c r="J209" s="301"/>
    </row>
    <row r="210" spans="5:10">
      <c r="E210" s="307">
        <f t="shared" si="3"/>
        <v>0</v>
      </c>
      <c r="G210" s="298"/>
      <c r="H210" s="303"/>
      <c r="I210" s="300"/>
      <c r="J210" s="301"/>
    </row>
    <row r="211" spans="5:10">
      <c r="E211" s="307">
        <f t="shared" si="3"/>
        <v>0</v>
      </c>
      <c r="G211" s="298"/>
      <c r="H211" s="303"/>
      <c r="I211" s="300"/>
      <c r="J211" s="301"/>
    </row>
    <row r="212" spans="5:10">
      <c r="E212" s="307">
        <f t="shared" si="3"/>
        <v>0</v>
      </c>
      <c r="G212" s="298"/>
      <c r="H212" s="303"/>
      <c r="I212" s="300"/>
      <c r="J212" s="301"/>
    </row>
    <row r="213" spans="5:10">
      <c r="E213" s="307">
        <f t="shared" si="3"/>
        <v>0</v>
      </c>
      <c r="G213" s="298"/>
      <c r="H213" s="303"/>
      <c r="I213" s="300"/>
      <c r="J213" s="301"/>
    </row>
    <row r="214" spans="5:10">
      <c r="E214" s="307">
        <f t="shared" si="3"/>
        <v>0</v>
      </c>
      <c r="G214" s="298"/>
      <c r="H214" s="303"/>
      <c r="I214" s="300"/>
      <c r="J214" s="301"/>
    </row>
    <row r="215" spans="5:10">
      <c r="E215" s="307">
        <f t="shared" si="3"/>
        <v>0</v>
      </c>
      <c r="G215" s="298"/>
      <c r="H215" s="303"/>
      <c r="I215" s="300"/>
      <c r="J215" s="301"/>
    </row>
    <row r="216" spans="5:10">
      <c r="E216" s="307">
        <f t="shared" ref="E216:E243" si="4">IF($E$1=$G$1,G216,IF($E$1=$H$1,H216,IF($E$1=$I$1,I216,IF($E$1=$J$1,J216,""))))</f>
        <v>0</v>
      </c>
      <c r="G216" s="298"/>
      <c r="H216" s="303"/>
      <c r="I216" s="300"/>
      <c r="J216" s="301"/>
    </row>
    <row r="217" spans="5:10">
      <c r="E217" s="307">
        <f t="shared" si="4"/>
        <v>0</v>
      </c>
      <c r="G217" s="298"/>
      <c r="H217" s="303"/>
      <c r="I217" s="300"/>
      <c r="J217" s="301"/>
    </row>
    <row r="218" spans="5:10">
      <c r="E218" s="307">
        <f t="shared" si="4"/>
        <v>0</v>
      </c>
      <c r="G218" s="298"/>
      <c r="H218" s="303"/>
      <c r="I218" s="300"/>
      <c r="J218" s="301"/>
    </row>
    <row r="219" spans="5:10">
      <c r="E219" s="307">
        <f t="shared" si="4"/>
        <v>0</v>
      </c>
      <c r="G219" s="298"/>
      <c r="H219" s="303"/>
      <c r="I219" s="300"/>
      <c r="J219" s="301"/>
    </row>
    <row r="220" spans="5:10">
      <c r="E220" s="307">
        <f t="shared" si="4"/>
        <v>0</v>
      </c>
      <c r="G220" s="298"/>
      <c r="H220" s="303"/>
      <c r="I220" s="300"/>
      <c r="J220" s="301"/>
    </row>
    <row r="221" spans="5:10">
      <c r="E221" s="307">
        <f t="shared" si="4"/>
        <v>0</v>
      </c>
      <c r="G221" s="298"/>
      <c r="H221" s="303"/>
      <c r="I221" s="300"/>
      <c r="J221" s="301"/>
    </row>
    <row r="222" spans="5:10">
      <c r="E222" s="307">
        <f t="shared" si="4"/>
        <v>0</v>
      </c>
      <c r="G222" s="298"/>
      <c r="H222" s="303"/>
      <c r="I222" s="300"/>
      <c r="J222" s="301"/>
    </row>
    <row r="223" spans="5:10">
      <c r="E223" s="307">
        <f t="shared" si="4"/>
        <v>0</v>
      </c>
      <c r="G223" s="298"/>
      <c r="H223" s="303"/>
      <c r="I223" s="300"/>
      <c r="J223" s="301"/>
    </row>
    <row r="224" spans="5:10">
      <c r="E224" s="307">
        <f t="shared" si="4"/>
        <v>0</v>
      </c>
      <c r="G224" s="298"/>
      <c r="H224" s="303"/>
      <c r="I224" s="300"/>
      <c r="J224" s="301"/>
    </row>
    <row r="225" spans="5:10">
      <c r="E225" s="307">
        <f t="shared" si="4"/>
        <v>0</v>
      </c>
      <c r="G225" s="298"/>
      <c r="H225" s="303"/>
      <c r="I225" s="300"/>
      <c r="J225" s="301"/>
    </row>
    <row r="226" spans="5:10">
      <c r="E226" s="307">
        <f t="shared" si="4"/>
        <v>0</v>
      </c>
      <c r="G226" s="298"/>
      <c r="H226" s="303"/>
      <c r="I226" s="300"/>
      <c r="J226" s="301"/>
    </row>
    <row r="227" spans="5:10">
      <c r="E227" s="307">
        <f t="shared" si="4"/>
        <v>0</v>
      </c>
      <c r="G227" s="298"/>
      <c r="H227" s="303"/>
      <c r="I227" s="300"/>
      <c r="J227" s="301"/>
    </row>
    <row r="228" spans="5:10">
      <c r="E228" s="307">
        <f t="shared" si="4"/>
        <v>0</v>
      </c>
      <c r="G228" s="298"/>
      <c r="H228" s="303"/>
      <c r="I228" s="300"/>
      <c r="J228" s="301"/>
    </row>
    <row r="229" spans="5:10">
      <c r="E229" s="307">
        <f t="shared" si="4"/>
        <v>0</v>
      </c>
      <c r="G229" s="298"/>
      <c r="H229" s="303"/>
      <c r="I229" s="300"/>
      <c r="J229" s="301"/>
    </row>
    <row r="230" spans="5:10">
      <c r="E230" s="307">
        <f t="shared" si="4"/>
        <v>0</v>
      </c>
      <c r="G230" s="298"/>
      <c r="H230" s="303"/>
      <c r="I230" s="300"/>
      <c r="J230" s="301"/>
    </row>
    <row r="231" spans="5:10">
      <c r="E231" s="307">
        <f t="shared" si="4"/>
        <v>0</v>
      </c>
      <c r="G231" s="298"/>
      <c r="H231" s="303"/>
      <c r="I231" s="300"/>
      <c r="J231" s="301"/>
    </row>
    <row r="232" spans="5:10">
      <c r="E232" s="307">
        <f t="shared" si="4"/>
        <v>0</v>
      </c>
      <c r="G232" s="298"/>
      <c r="H232" s="303"/>
      <c r="I232" s="300"/>
      <c r="J232" s="301"/>
    </row>
    <row r="233" spans="5:10">
      <c r="E233" s="307">
        <f t="shared" si="4"/>
        <v>0</v>
      </c>
      <c r="G233" s="298"/>
      <c r="H233" s="303"/>
      <c r="I233" s="300"/>
      <c r="J233" s="301"/>
    </row>
    <row r="234" spans="5:10">
      <c r="E234" s="307">
        <f t="shared" si="4"/>
        <v>0</v>
      </c>
      <c r="G234" s="298"/>
      <c r="H234" s="303"/>
      <c r="I234" s="300"/>
      <c r="J234" s="301"/>
    </row>
    <row r="235" spans="5:10">
      <c r="E235" s="307">
        <f t="shared" si="4"/>
        <v>0</v>
      </c>
      <c r="G235" s="298"/>
      <c r="H235" s="303"/>
      <c r="I235" s="300"/>
      <c r="J235" s="301"/>
    </row>
    <row r="236" spans="5:10">
      <c r="E236" s="307">
        <f t="shared" si="4"/>
        <v>0</v>
      </c>
      <c r="G236" s="298"/>
      <c r="H236" s="303"/>
      <c r="I236" s="300"/>
      <c r="J236" s="301"/>
    </row>
    <row r="237" spans="5:10">
      <c r="E237" s="307">
        <f t="shared" si="4"/>
        <v>0</v>
      </c>
      <c r="G237" s="298"/>
      <c r="H237" s="303"/>
      <c r="I237" s="300"/>
      <c r="J237" s="301"/>
    </row>
    <row r="238" spans="5:10">
      <c r="E238" s="307">
        <f t="shared" si="4"/>
        <v>0</v>
      </c>
      <c r="G238" s="298"/>
      <c r="H238" s="303"/>
      <c r="I238" s="300"/>
      <c r="J238" s="301"/>
    </row>
    <row r="239" spans="5:10">
      <c r="E239" s="307">
        <f t="shared" si="4"/>
        <v>0</v>
      </c>
      <c r="G239" s="298"/>
      <c r="H239" s="303"/>
      <c r="I239" s="300"/>
      <c r="J239" s="301"/>
    </row>
    <row r="240" spans="5:10">
      <c r="E240" s="307">
        <f t="shared" si="4"/>
        <v>0</v>
      </c>
      <c r="G240" s="298"/>
      <c r="H240" s="303"/>
      <c r="I240" s="300"/>
      <c r="J240" s="301"/>
    </row>
    <row r="241" spans="5:10">
      <c r="E241" s="307">
        <f t="shared" si="4"/>
        <v>0</v>
      </c>
      <c r="G241" s="298"/>
      <c r="H241" s="303"/>
      <c r="I241" s="300"/>
      <c r="J241" s="301"/>
    </row>
    <row r="242" spans="5:10">
      <c r="E242" s="307">
        <f t="shared" si="4"/>
        <v>0</v>
      </c>
      <c r="G242" s="298"/>
      <c r="H242" s="303"/>
      <c r="I242" s="300"/>
      <c r="J242" s="301"/>
    </row>
    <row r="243" spans="5:10" ht="14.4" thickBot="1">
      <c r="E243" s="308">
        <f t="shared" si="4"/>
        <v>0</v>
      </c>
      <c r="G243" s="298"/>
      <c r="H243" s="303"/>
      <c r="I243" s="300"/>
      <c r="J243" s="301"/>
    </row>
  </sheetData>
  <sheetProtection password="FC7B" sheet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BL111"/>
  <sheetViews>
    <sheetView showGridLines="0" showRowColHeaders="0" zoomScale="95" zoomScaleNormal="95" workbookViewId="0">
      <pane ySplit="4" topLeftCell="A5" activePane="bottomLeft" state="frozen"/>
      <selection pane="bottomLeft" activeCell="A5" sqref="A5"/>
    </sheetView>
  </sheetViews>
  <sheetFormatPr defaultColWidth="9" defaultRowHeight="13.8"/>
  <cols>
    <col min="1" max="1" width="3.6640625" style="69" customWidth="1"/>
    <col min="2" max="58" width="3.109375" style="69" customWidth="1"/>
    <col min="59" max="59" width="3.6640625" style="69" customWidth="1"/>
    <col min="60" max="72" width="9" style="69" customWidth="1"/>
    <col min="73" max="16384" width="9" style="69"/>
  </cols>
  <sheetData>
    <row r="1" spans="1:64" ht="12.9" customHeight="1" thickBot="1">
      <c r="BG1" s="165"/>
    </row>
    <row r="2" spans="1:64" ht="23.1" customHeight="1" thickBot="1">
      <c r="B2" s="513" t="str">
        <f>verze!E13</f>
        <v>&lt;&lt;  zpět</v>
      </c>
      <c r="C2" s="514"/>
      <c r="D2" s="514"/>
      <c r="E2" s="515"/>
      <c r="G2" s="516" t="str">
        <f>verze!E6</f>
        <v xml:space="preserve"> Úvod</v>
      </c>
      <c r="H2" s="517"/>
      <c r="I2" s="517"/>
      <c r="J2" s="517"/>
      <c r="K2" s="518"/>
      <c r="O2" s="549" t="str">
        <f>verze!E7</f>
        <v xml:space="preserve"> Výběr zásuvek</v>
      </c>
      <c r="P2" s="550"/>
      <c r="Q2" s="550"/>
      <c r="R2" s="550"/>
      <c r="S2" s="551"/>
      <c r="U2" s="516" t="str">
        <f>verze!E8</f>
        <v xml:space="preserve"> </v>
      </c>
      <c r="V2" s="517"/>
      <c r="W2" s="517"/>
      <c r="X2" s="517"/>
      <c r="Y2" s="518"/>
      <c r="AA2" s="549" t="str">
        <f>verze!E9</f>
        <v xml:space="preserve"> </v>
      </c>
      <c r="AB2" s="550"/>
      <c r="AC2" s="550"/>
      <c r="AD2" s="550"/>
      <c r="AE2" s="551"/>
      <c r="AI2" s="516" t="str">
        <f>verze!E10</f>
        <v xml:space="preserve"> Objednávka</v>
      </c>
      <c r="AJ2" s="517"/>
      <c r="AK2" s="517"/>
      <c r="AL2" s="517"/>
      <c r="AM2" s="518"/>
      <c r="AO2" s="513" t="str">
        <f>verze!E14</f>
        <v>vpřed  &gt;&gt;</v>
      </c>
      <c r="AP2" s="514"/>
      <c r="AQ2" s="514"/>
      <c r="AR2" s="515"/>
    </row>
    <row r="3" spans="1:64" ht="12.9" customHeight="1">
      <c r="BG3" s="165"/>
    </row>
    <row r="4" spans="1:64" ht="23.1" customHeight="1">
      <c r="A4" s="166"/>
      <c r="B4" s="102" t="str">
        <f>verze!E7</f>
        <v xml:space="preserve"> Výběr zásuvek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8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8" t="s">
        <v>1205</v>
      </c>
      <c r="BG4" s="169"/>
    </row>
    <row r="5" spans="1:64" ht="14.4" customHeight="1"/>
    <row r="6" spans="1:64" s="112" customFormat="1" ht="14.4" customHeight="1">
      <c r="A6" s="4"/>
      <c r="B6" s="8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92" t="s">
        <v>400</v>
      </c>
      <c r="P6" s="93"/>
      <c r="Q6" s="88"/>
      <c r="R6" s="88"/>
      <c r="S6" s="88"/>
      <c r="T6" s="88"/>
      <c r="U6" s="88"/>
      <c r="V6" s="88"/>
      <c r="W6" s="88"/>
      <c r="X6" s="88"/>
      <c r="Y6" s="88"/>
      <c r="Z6" s="88"/>
      <c r="AA6" s="93"/>
      <c r="AB6" s="93"/>
      <c r="AC6" s="94"/>
      <c r="AD6" s="92" t="s">
        <v>401</v>
      </c>
      <c r="AE6" s="93"/>
      <c r="AF6" s="88"/>
      <c r="AG6" s="88"/>
      <c r="AH6" s="88"/>
      <c r="AI6" s="88"/>
      <c r="AJ6" s="88"/>
      <c r="AK6" s="88"/>
      <c r="AL6" s="88"/>
      <c r="AM6" s="88"/>
      <c r="AN6" s="88"/>
      <c r="AO6" s="93"/>
      <c r="AP6" s="93"/>
      <c r="AQ6" s="88"/>
      <c r="AR6" s="92" t="s">
        <v>402</v>
      </c>
      <c r="AS6" s="93"/>
      <c r="AT6" s="88"/>
      <c r="AU6" s="88"/>
      <c r="AV6" s="88"/>
      <c r="AW6" s="88"/>
      <c r="AX6" s="88"/>
      <c r="AY6" s="88"/>
      <c r="AZ6" s="88"/>
      <c r="BA6" s="88"/>
      <c r="BB6" s="88"/>
      <c r="BC6" s="93"/>
      <c r="BD6" s="93"/>
      <c r="BE6" s="88"/>
      <c r="BF6" s="92" t="s">
        <v>403</v>
      </c>
      <c r="BG6" s="4"/>
      <c r="BL6" s="92"/>
    </row>
    <row r="7" spans="1:64" s="112" customFormat="1" ht="14.4" customHeight="1" thickBot="1">
      <c r="A7" s="4"/>
      <c r="B7" s="83"/>
      <c r="C7" s="84"/>
      <c r="D7" s="84"/>
      <c r="E7" s="84"/>
      <c r="F7" s="84"/>
      <c r="G7" s="84"/>
      <c r="H7" s="84"/>
      <c r="I7" s="84"/>
      <c r="J7" s="85"/>
      <c r="K7" s="85"/>
      <c r="L7" s="85"/>
      <c r="M7" s="85"/>
      <c r="N7" s="85"/>
      <c r="O7" s="85"/>
      <c r="P7" s="5"/>
      <c r="Q7" s="83"/>
      <c r="R7" s="84"/>
      <c r="S7" s="84"/>
      <c r="T7" s="84"/>
      <c r="U7" s="84"/>
      <c r="V7" s="84"/>
      <c r="W7" s="85"/>
      <c r="X7" s="85"/>
      <c r="Y7" s="85"/>
      <c r="Z7" s="85"/>
      <c r="AA7" s="85"/>
      <c r="AB7" s="85"/>
      <c r="AC7" s="85"/>
      <c r="AD7" s="85"/>
      <c r="AE7" s="5"/>
      <c r="AF7" s="83"/>
      <c r="AG7" s="84"/>
      <c r="AH7" s="84"/>
      <c r="AI7" s="84"/>
      <c r="AJ7" s="84"/>
      <c r="AK7" s="84"/>
      <c r="AL7" s="85"/>
      <c r="AM7" s="85"/>
      <c r="AN7" s="85"/>
      <c r="AO7" s="85"/>
      <c r="AP7" s="85"/>
      <c r="AQ7" s="85"/>
      <c r="AR7" s="85"/>
      <c r="AS7" s="5"/>
      <c r="AT7" s="83"/>
      <c r="AU7" s="84"/>
      <c r="AV7" s="84"/>
      <c r="AW7" s="84"/>
      <c r="AX7" s="84"/>
      <c r="AY7" s="84"/>
      <c r="AZ7" s="85"/>
      <c r="BA7" s="85"/>
      <c r="BB7" s="85"/>
      <c r="BC7" s="85"/>
      <c r="BD7" s="85"/>
      <c r="BE7" s="85"/>
      <c r="BF7" s="85"/>
      <c r="BG7" s="4"/>
    </row>
    <row r="8" spans="1:64" s="112" customFormat="1" ht="14.4" customHeight="1" thickTop="1">
      <c r="B8" s="213"/>
      <c r="C8" s="214" t="str">
        <f>verze!E119</f>
        <v>zásuvka základní</v>
      </c>
      <c r="D8" s="215"/>
      <c r="E8" s="215"/>
      <c r="F8" s="215"/>
      <c r="G8" s="215"/>
      <c r="H8" s="215"/>
      <c r="I8" s="215"/>
      <c r="J8" s="216"/>
      <c r="K8" s="216"/>
      <c r="L8" s="216"/>
      <c r="M8" s="216"/>
      <c r="N8" s="216"/>
      <c r="O8" s="217"/>
      <c r="P8" s="213"/>
      <c r="Q8" s="214" t="str">
        <f>verze!E119</f>
        <v>zásuvka základní</v>
      </c>
      <c r="R8" s="215"/>
      <c r="S8" s="215"/>
      <c r="T8" s="215"/>
      <c r="U8" s="215"/>
      <c r="V8" s="215"/>
      <c r="W8" s="216"/>
      <c r="X8" s="216"/>
      <c r="Y8" s="216"/>
      <c r="Z8" s="216"/>
      <c r="AA8" s="216"/>
      <c r="AB8" s="216"/>
      <c r="AC8" s="216"/>
      <c r="AD8" s="217"/>
      <c r="AE8" s="213"/>
      <c r="AF8" s="214" t="str">
        <f>verze!E119</f>
        <v>zásuvka základní</v>
      </c>
      <c r="AG8" s="215"/>
      <c r="AH8" s="215"/>
      <c r="AI8" s="215"/>
      <c r="AJ8" s="215"/>
      <c r="AK8" s="215"/>
      <c r="AL8" s="216"/>
      <c r="AM8" s="216"/>
      <c r="AN8" s="216"/>
      <c r="AO8" s="216"/>
      <c r="AP8" s="216"/>
      <c r="AQ8" s="216"/>
      <c r="AR8" s="217"/>
      <c r="AS8" s="213"/>
      <c r="AT8" s="214" t="str">
        <f>verze!E119</f>
        <v>zásuvka základní</v>
      </c>
      <c r="AU8" s="215"/>
      <c r="AV8" s="215"/>
      <c r="AW8" s="215"/>
      <c r="AX8" s="215"/>
      <c r="AY8" s="215"/>
      <c r="AZ8" s="216"/>
      <c r="BA8" s="216"/>
      <c r="BB8" s="216"/>
      <c r="BC8" s="216"/>
      <c r="BD8" s="216"/>
      <c r="BE8" s="216"/>
      <c r="BF8" s="217"/>
      <c r="BG8" s="4"/>
    </row>
    <row r="9" spans="1:64" s="112" customFormat="1" ht="14.4" customHeight="1">
      <c r="B9" s="218"/>
      <c r="C9" s="5" t="str">
        <f>verze!E145</f>
        <v>výška bočnice :</v>
      </c>
      <c r="D9" s="5"/>
      <c r="E9" s="5"/>
      <c r="F9" s="89"/>
      <c r="G9" s="543" t="s">
        <v>444</v>
      </c>
      <c r="H9" s="543"/>
      <c r="I9" s="543"/>
      <c r="J9" s="5"/>
      <c r="K9" s="5"/>
      <c r="L9" s="5"/>
      <c r="M9" s="5"/>
      <c r="N9" s="5"/>
      <c r="O9" s="219"/>
      <c r="P9" s="218"/>
      <c r="Q9" s="5" t="str">
        <f>verze!E145</f>
        <v>výška bočnice :</v>
      </c>
      <c r="R9" s="5"/>
      <c r="S9" s="5"/>
      <c r="T9" s="89"/>
      <c r="U9" s="543" t="s">
        <v>445</v>
      </c>
      <c r="V9" s="543"/>
      <c r="W9" s="543"/>
      <c r="X9" s="5"/>
      <c r="Y9" s="5"/>
      <c r="Z9" s="5"/>
      <c r="AA9" s="5"/>
      <c r="AB9" s="5"/>
      <c r="AC9" s="5"/>
      <c r="AD9" s="219"/>
      <c r="AE9" s="218"/>
      <c r="AF9" s="5" t="str">
        <f>verze!E145</f>
        <v>výška bočnice :</v>
      </c>
      <c r="AG9" s="5"/>
      <c r="AH9" s="5"/>
      <c r="AI9" s="89"/>
      <c r="AJ9" s="543" t="s">
        <v>446</v>
      </c>
      <c r="AK9" s="543"/>
      <c r="AL9" s="543"/>
      <c r="AM9" s="5"/>
      <c r="AN9" s="5"/>
      <c r="AO9" s="5"/>
      <c r="AP9" s="5"/>
      <c r="AQ9" s="5"/>
      <c r="AR9" s="219"/>
      <c r="AS9" s="218"/>
      <c r="AT9" s="5" t="str">
        <f>verze!E145</f>
        <v>výška bočnice :</v>
      </c>
      <c r="AU9" s="5"/>
      <c r="AV9" s="5"/>
      <c r="AW9" s="89"/>
      <c r="AX9" s="543" t="s">
        <v>447</v>
      </c>
      <c r="AY9" s="543"/>
      <c r="AZ9" s="543"/>
      <c r="BA9" s="5"/>
      <c r="BB9" s="5"/>
      <c r="BC9" s="5"/>
      <c r="BD9" s="5"/>
      <c r="BE9" s="5"/>
      <c r="BF9" s="219"/>
      <c r="BG9" s="4"/>
    </row>
    <row r="10" spans="1:64" s="112" customFormat="1" ht="14.4" customHeight="1">
      <c r="B10" s="218"/>
      <c r="C10" s="5"/>
      <c r="D10" s="5"/>
      <c r="E10" s="5"/>
      <c r="F10" s="89"/>
      <c r="G10" s="543"/>
      <c r="H10" s="543"/>
      <c r="I10" s="543"/>
      <c r="J10" s="5"/>
      <c r="K10" s="5"/>
      <c r="L10" s="5"/>
      <c r="M10" s="5"/>
      <c r="N10" s="5"/>
      <c r="O10" s="219"/>
      <c r="P10" s="218"/>
      <c r="Q10" s="5"/>
      <c r="R10" s="5"/>
      <c r="S10" s="5"/>
      <c r="T10" s="89"/>
      <c r="U10" s="543"/>
      <c r="V10" s="543"/>
      <c r="W10" s="543"/>
      <c r="X10" s="5"/>
      <c r="Y10" s="5"/>
      <c r="Z10" s="5"/>
      <c r="AA10" s="5"/>
      <c r="AB10" s="5"/>
      <c r="AC10" s="5"/>
      <c r="AD10" s="219"/>
      <c r="AE10" s="218"/>
      <c r="AF10" s="5"/>
      <c r="AG10" s="5"/>
      <c r="AH10" s="5"/>
      <c r="AI10" s="89"/>
      <c r="AJ10" s="543"/>
      <c r="AK10" s="543"/>
      <c r="AL10" s="543"/>
      <c r="AM10" s="5"/>
      <c r="AN10" s="5"/>
      <c r="AO10" s="5"/>
      <c r="AP10" s="5"/>
      <c r="AQ10" s="5"/>
      <c r="AR10" s="219"/>
      <c r="AS10" s="218"/>
      <c r="AT10" s="5"/>
      <c r="AU10" s="5"/>
      <c r="AV10" s="5"/>
      <c r="AW10" s="89"/>
      <c r="AX10" s="543"/>
      <c r="AY10" s="543"/>
      <c r="AZ10" s="543"/>
      <c r="BA10" s="5"/>
      <c r="BB10" s="5"/>
      <c r="BC10" s="5"/>
      <c r="BD10" s="5"/>
      <c r="BE10" s="5"/>
      <c r="BF10" s="219"/>
      <c r="BG10" s="4"/>
    </row>
    <row r="11" spans="1:64" s="112" customFormat="1" ht="14.4" customHeight="1">
      <c r="B11" s="218"/>
      <c r="C11" s="5"/>
      <c r="D11" s="5"/>
      <c r="E11" s="5"/>
      <c r="F11" s="89"/>
      <c r="G11" s="89"/>
      <c r="H11" s="89"/>
      <c r="I11" s="5"/>
      <c r="J11" s="5"/>
      <c r="K11" s="5"/>
      <c r="L11" s="5"/>
      <c r="M11" s="5"/>
      <c r="N11" s="5"/>
      <c r="O11" s="219"/>
      <c r="P11" s="218"/>
      <c r="Q11" s="5"/>
      <c r="R11" s="5"/>
      <c r="S11" s="5"/>
      <c r="T11" s="89"/>
      <c r="U11" s="89"/>
      <c r="V11" s="89"/>
      <c r="W11" s="5"/>
      <c r="X11" s="5"/>
      <c r="Y11" s="5"/>
      <c r="Z11" s="5"/>
      <c r="AA11" s="5"/>
      <c r="AB11" s="5"/>
      <c r="AC11" s="5"/>
      <c r="AD11" s="219"/>
      <c r="AE11" s="218"/>
      <c r="AF11" s="5"/>
      <c r="AG11" s="5"/>
      <c r="AH11" s="5"/>
      <c r="AI11" s="89"/>
      <c r="AJ11" s="89"/>
      <c r="AK11" s="89"/>
      <c r="AL11" s="5"/>
      <c r="AM11" s="5"/>
      <c r="AN11" s="5"/>
      <c r="AO11" s="5"/>
      <c r="AP11" s="5"/>
      <c r="AQ11" s="5"/>
      <c r="AR11" s="219"/>
      <c r="AS11" s="218"/>
      <c r="AT11" s="5"/>
      <c r="AU11" s="5"/>
      <c r="AV11" s="5"/>
      <c r="AW11" s="89"/>
      <c r="AX11" s="89"/>
      <c r="AY11" s="89"/>
      <c r="AZ11" s="5"/>
      <c r="BA11" s="5"/>
      <c r="BB11" s="5"/>
      <c r="BC11" s="5"/>
      <c r="BD11" s="5"/>
      <c r="BE11" s="5"/>
      <c r="BF11" s="219"/>
      <c r="BG11" s="4"/>
    </row>
    <row r="12" spans="1:64" s="112" customFormat="1" ht="14.4" customHeight="1">
      <c r="B12" s="218"/>
      <c r="C12" s="5" t="str">
        <f>verze!E147</f>
        <v>min.vestavná výška [mm] :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219"/>
      <c r="P12" s="218"/>
      <c r="Q12" s="5" t="str">
        <f>verze!E147</f>
        <v>min.vestavná výška [mm] :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219"/>
      <c r="AE12" s="218"/>
      <c r="AF12" s="5" t="str">
        <f>verze!E147</f>
        <v>min.vestavná výška [mm] :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219"/>
      <c r="AS12" s="218"/>
      <c r="AT12" s="5" t="str">
        <f>verze!E147</f>
        <v>min.vestavná výška [mm] :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219"/>
      <c r="BG12" s="4"/>
    </row>
    <row r="13" spans="1:64" s="111" customFormat="1" ht="14.4" customHeight="1">
      <c r="B13" s="220"/>
      <c r="C13" s="544" t="str">
        <f>verze!E148</f>
        <v>jenom SiSy</v>
      </c>
      <c r="D13" s="544"/>
      <c r="E13" s="545"/>
      <c r="F13" s="546" t="s">
        <v>449</v>
      </c>
      <c r="G13" s="544"/>
      <c r="H13" s="544"/>
      <c r="I13" s="5"/>
      <c r="J13" s="56"/>
      <c r="K13" s="56"/>
      <c r="L13" s="56"/>
      <c r="M13" s="541">
        <f>SUM('AVT101'!O19:AF22)+SUM('AVT101'!O27:AD30)</f>
        <v>0</v>
      </c>
      <c r="N13" s="541"/>
      <c r="O13" s="542"/>
      <c r="P13" s="220"/>
      <c r="Q13" s="544" t="str">
        <f>verze!E148</f>
        <v>jenom SiSy</v>
      </c>
      <c r="R13" s="544"/>
      <c r="S13" s="545"/>
      <c r="T13" s="546" t="s">
        <v>449</v>
      </c>
      <c r="U13" s="544"/>
      <c r="V13" s="544"/>
      <c r="W13" s="5"/>
      <c r="X13" s="56"/>
      <c r="Y13" s="56"/>
      <c r="Z13" s="56"/>
      <c r="AA13" s="56"/>
      <c r="AB13" s="541">
        <f>SUM('AVT139'!O19:AF22)+SUM('AVT139'!O27:AD30)</f>
        <v>0</v>
      </c>
      <c r="AC13" s="541"/>
      <c r="AD13" s="542"/>
      <c r="AE13" s="220"/>
      <c r="AF13" s="544" t="str">
        <f>verze!E148</f>
        <v>jenom SiSy</v>
      </c>
      <c r="AG13" s="544"/>
      <c r="AH13" s="545"/>
      <c r="AI13" s="546" t="s">
        <v>449</v>
      </c>
      <c r="AJ13" s="544"/>
      <c r="AK13" s="544"/>
      <c r="AL13" s="5"/>
      <c r="AM13" s="56"/>
      <c r="AN13" s="56"/>
      <c r="AO13" s="56"/>
      <c r="AP13" s="541">
        <f>SUM('AVT187'!O19:AF22)+SUM('AVT187'!O27:AD30)</f>
        <v>0</v>
      </c>
      <c r="AQ13" s="541"/>
      <c r="AR13" s="542"/>
      <c r="AS13" s="220"/>
      <c r="AT13" s="544" t="str">
        <f>verze!E148</f>
        <v>jenom SiSy</v>
      </c>
      <c r="AU13" s="544"/>
      <c r="AV13" s="545"/>
      <c r="AW13" s="546" t="s">
        <v>449</v>
      </c>
      <c r="AX13" s="544"/>
      <c r="AY13" s="544"/>
      <c r="AZ13" s="5"/>
      <c r="BA13" s="56"/>
      <c r="BB13" s="56"/>
      <c r="BC13" s="56"/>
      <c r="BD13" s="541">
        <f>SUM('AVT251'!O19:AF22)+SUM('AVT251'!O27:AD30)</f>
        <v>0</v>
      </c>
      <c r="BE13" s="541"/>
      <c r="BF13" s="542"/>
      <c r="BG13" s="27"/>
    </row>
    <row r="14" spans="1:64" s="111" customFormat="1" ht="14.4" customHeight="1">
      <c r="B14" s="220"/>
      <c r="C14" s="547">
        <v>102</v>
      </c>
      <c r="D14" s="547"/>
      <c r="E14" s="548"/>
      <c r="F14" s="547">
        <v>104</v>
      </c>
      <c r="G14" s="547"/>
      <c r="H14" s="547"/>
      <c r="I14" s="56"/>
      <c r="J14" s="56"/>
      <c r="K14" s="56"/>
      <c r="L14" s="56"/>
      <c r="M14" s="541"/>
      <c r="N14" s="541"/>
      <c r="O14" s="542"/>
      <c r="P14" s="220"/>
      <c r="Q14" s="547">
        <v>140</v>
      </c>
      <c r="R14" s="547"/>
      <c r="S14" s="548"/>
      <c r="T14" s="547">
        <v>142</v>
      </c>
      <c r="U14" s="547"/>
      <c r="V14" s="547"/>
      <c r="W14" s="56"/>
      <c r="X14" s="56"/>
      <c r="Y14" s="56"/>
      <c r="Z14" s="56"/>
      <c r="AA14" s="56"/>
      <c r="AB14" s="541"/>
      <c r="AC14" s="541"/>
      <c r="AD14" s="542"/>
      <c r="AE14" s="220"/>
      <c r="AF14" s="547">
        <v>188</v>
      </c>
      <c r="AG14" s="547"/>
      <c r="AH14" s="548"/>
      <c r="AI14" s="547">
        <v>190</v>
      </c>
      <c r="AJ14" s="547"/>
      <c r="AK14" s="547"/>
      <c r="AL14" s="56"/>
      <c r="AM14" s="56"/>
      <c r="AN14" s="56"/>
      <c r="AO14" s="56"/>
      <c r="AP14" s="541"/>
      <c r="AQ14" s="541"/>
      <c r="AR14" s="542"/>
      <c r="AS14" s="220"/>
      <c r="AT14" s="547">
        <v>252</v>
      </c>
      <c r="AU14" s="547"/>
      <c r="AV14" s="548"/>
      <c r="AW14" s="547">
        <v>254</v>
      </c>
      <c r="AX14" s="547"/>
      <c r="AY14" s="547"/>
      <c r="AZ14" s="56"/>
      <c r="BA14" s="56"/>
      <c r="BB14" s="56"/>
      <c r="BC14" s="56"/>
      <c r="BD14" s="541"/>
      <c r="BE14" s="541"/>
      <c r="BF14" s="542"/>
      <c r="BG14" s="27"/>
    </row>
    <row r="15" spans="1:64" s="112" customFormat="1" ht="14.4" customHeight="1" thickBot="1">
      <c r="B15" s="218"/>
      <c r="C15" s="82"/>
      <c r="D15" s="5"/>
      <c r="E15" s="5"/>
      <c r="F15" s="5"/>
      <c r="G15" s="5"/>
      <c r="H15" s="5"/>
      <c r="I15" s="5"/>
      <c r="J15" s="5"/>
      <c r="K15" s="5"/>
      <c r="L15" s="5"/>
      <c r="M15" s="5"/>
      <c r="N15" s="288"/>
      <c r="O15" s="219"/>
      <c r="P15" s="21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219"/>
      <c r="AE15" s="218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219"/>
      <c r="AS15" s="218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219"/>
      <c r="BG15" s="4"/>
    </row>
    <row r="16" spans="1:64" s="112" customFormat="1" ht="14.4" customHeight="1" thickTop="1">
      <c r="B16" s="213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7"/>
      <c r="P16" s="452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  <c r="AD16" s="454"/>
      <c r="AE16" s="213"/>
      <c r="AF16" s="214" t="str">
        <f>verze!E120</f>
        <v>zásuvka ze skleněnou bočnicí</v>
      </c>
      <c r="AG16" s="215"/>
      <c r="AH16" s="215"/>
      <c r="AI16" s="215"/>
      <c r="AJ16" s="215"/>
      <c r="AK16" s="215"/>
      <c r="AL16" s="216"/>
      <c r="AM16" s="216"/>
      <c r="AN16" s="216"/>
      <c r="AO16" s="216"/>
      <c r="AP16" s="216"/>
      <c r="AQ16" s="216"/>
      <c r="AR16" s="217"/>
      <c r="AS16" s="213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7"/>
      <c r="BG16" s="4"/>
    </row>
    <row r="17" spans="2:59" s="112" customFormat="1" ht="14.4" customHeight="1">
      <c r="B17" s="21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19"/>
      <c r="P17" s="455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456"/>
      <c r="AE17" s="218"/>
      <c r="AF17" s="5" t="str">
        <f>verze!E145</f>
        <v>výška bočnice :</v>
      </c>
      <c r="AG17" s="5"/>
      <c r="AH17" s="5"/>
      <c r="AI17" s="89"/>
      <c r="AJ17" s="543" t="s">
        <v>446</v>
      </c>
      <c r="AK17" s="543"/>
      <c r="AL17" s="543"/>
      <c r="AM17" s="5"/>
      <c r="AN17" s="5"/>
      <c r="AO17" s="5"/>
      <c r="AP17" s="5"/>
      <c r="AQ17" s="5"/>
      <c r="AR17" s="219"/>
      <c r="AS17" s="218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219"/>
      <c r="BG17" s="4"/>
    </row>
    <row r="18" spans="2:59" s="112" customFormat="1" ht="14.4" customHeight="1">
      <c r="B18" s="2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19"/>
      <c r="P18" s="455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456"/>
      <c r="AE18" s="218"/>
      <c r="AF18" s="5"/>
      <c r="AG18" s="5"/>
      <c r="AH18" s="5"/>
      <c r="AI18" s="89"/>
      <c r="AJ18" s="543"/>
      <c r="AK18" s="543"/>
      <c r="AL18" s="543"/>
      <c r="AM18" s="5"/>
      <c r="AN18" s="5"/>
      <c r="AO18" s="5"/>
      <c r="AP18" s="5"/>
      <c r="AQ18" s="5"/>
      <c r="AR18" s="219"/>
      <c r="AS18" s="218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219"/>
      <c r="BG18" s="4"/>
    </row>
    <row r="19" spans="2:59" s="112" customFormat="1" ht="14.4" customHeight="1">
      <c r="B19" s="2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19"/>
      <c r="P19" s="455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456"/>
      <c r="AE19" s="218"/>
      <c r="AF19" s="5"/>
      <c r="AG19" s="5"/>
      <c r="AH19" s="5"/>
      <c r="AI19" s="89"/>
      <c r="AJ19" s="89"/>
      <c r="AK19" s="89"/>
      <c r="AL19" s="5"/>
      <c r="AM19" s="5"/>
      <c r="AN19" s="5"/>
      <c r="AO19" s="5"/>
      <c r="AP19" s="5"/>
      <c r="AQ19" s="5"/>
      <c r="AR19" s="219"/>
      <c r="AS19" s="218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219"/>
      <c r="BG19" s="4"/>
    </row>
    <row r="20" spans="2:59" s="112" customFormat="1" ht="14.4" customHeight="1">
      <c r="B20" s="2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219"/>
      <c r="P20" s="455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456"/>
      <c r="AE20" s="218"/>
      <c r="AF20" s="5" t="str">
        <f>verze!E147</f>
        <v>min.vestavná výška [mm] :</v>
      </c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219"/>
      <c r="AS20" s="218"/>
      <c r="AT20" s="552" t="str">
        <f>verze!E196</f>
        <v>Tlačítko "RESET" funguje jenom při zapnuté funkci MAKRO. Pokud není zapnutá, musíte pole vymazat ručne.</v>
      </c>
      <c r="AU20" s="552"/>
      <c r="AV20" s="552"/>
      <c r="AW20" s="552"/>
      <c r="AX20" s="552"/>
      <c r="AY20" s="552"/>
      <c r="AZ20" s="552"/>
      <c r="BA20" s="552"/>
      <c r="BB20" s="552"/>
      <c r="BC20" s="552"/>
      <c r="BD20" s="552"/>
      <c r="BE20" s="552"/>
      <c r="BF20" s="219"/>
      <c r="BG20" s="4"/>
    </row>
    <row r="21" spans="2:59" s="111" customFormat="1" ht="14.4" customHeight="1">
      <c r="B21" s="220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"/>
      <c r="N21" s="5"/>
      <c r="O21" s="219"/>
      <c r="P21" s="455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456"/>
      <c r="AE21" s="220"/>
      <c r="AF21" s="544" t="str">
        <f>verze!E148</f>
        <v>jenom SiSy</v>
      </c>
      <c r="AG21" s="544"/>
      <c r="AH21" s="545"/>
      <c r="AI21" s="546" t="s">
        <v>449</v>
      </c>
      <c r="AJ21" s="544"/>
      <c r="AK21" s="544"/>
      <c r="AL21" s="56"/>
      <c r="AM21" s="56"/>
      <c r="AN21" s="56"/>
      <c r="AO21" s="56"/>
      <c r="AP21" s="541">
        <f>SUM(AVT187In!O19:AF22)+SUM(AVT187In!O27:AD30)</f>
        <v>0</v>
      </c>
      <c r="AQ21" s="541"/>
      <c r="AR21" s="542"/>
      <c r="AS21" s="220"/>
      <c r="AT21" s="552"/>
      <c r="AU21" s="552"/>
      <c r="AV21" s="552"/>
      <c r="AW21" s="552"/>
      <c r="AX21" s="552"/>
      <c r="AY21" s="552"/>
      <c r="AZ21" s="552"/>
      <c r="BA21" s="552"/>
      <c r="BB21" s="552"/>
      <c r="BC21" s="552"/>
      <c r="BD21" s="552"/>
      <c r="BE21" s="552"/>
      <c r="BF21" s="219"/>
      <c r="BG21" s="27"/>
    </row>
    <row r="22" spans="2:59" s="111" customFormat="1" ht="14.4" customHeight="1">
      <c r="B22" s="220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"/>
      <c r="N22" s="5"/>
      <c r="O22" s="219"/>
      <c r="P22" s="455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456"/>
      <c r="AE22" s="220"/>
      <c r="AF22" s="547">
        <v>188</v>
      </c>
      <c r="AG22" s="547"/>
      <c r="AH22" s="548"/>
      <c r="AI22" s="547">
        <v>190</v>
      </c>
      <c r="AJ22" s="547"/>
      <c r="AK22" s="547"/>
      <c r="AL22" s="56"/>
      <c r="AM22" s="56"/>
      <c r="AN22" s="56"/>
      <c r="AO22" s="56"/>
      <c r="AP22" s="541"/>
      <c r="AQ22" s="541"/>
      <c r="AR22" s="542"/>
      <c r="AS22" s="220"/>
      <c r="AT22" s="552"/>
      <c r="AU22" s="552"/>
      <c r="AV22" s="552"/>
      <c r="AW22" s="552"/>
      <c r="AX22" s="552"/>
      <c r="AY22" s="552"/>
      <c r="AZ22" s="552"/>
      <c r="BA22" s="552"/>
      <c r="BB22" s="552"/>
      <c r="BC22" s="552"/>
      <c r="BD22" s="552"/>
      <c r="BE22" s="552"/>
      <c r="BF22" s="219"/>
      <c r="BG22" s="27"/>
    </row>
    <row r="23" spans="2:59" s="112" customFormat="1" ht="14.4" customHeight="1" thickBot="1">
      <c r="B23" s="221"/>
      <c r="C23" s="222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4"/>
      <c r="P23" s="457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9"/>
      <c r="AE23" s="221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4"/>
      <c r="AS23" s="221"/>
      <c r="AT23" s="222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4"/>
      <c r="BG23" s="4"/>
    </row>
    <row r="24" spans="2:59" s="112" customFormat="1" ht="14.4" customHeight="1" thickTop="1">
      <c r="B24" s="4"/>
      <c r="C24" s="8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4"/>
    </row>
    <row r="25" spans="2:59" s="112" customFormat="1" ht="14.4" customHeight="1" thickBot="1">
      <c r="B25" s="4"/>
      <c r="C25" s="8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39" t="str">
        <f>verze!E125</f>
        <v>Vnitřní zásuvka - 101 mm s ALU čelem</v>
      </c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9" t="str">
        <f>verze!E126</f>
        <v>Vnitřní zásuvka - 139 mm s ALU čelem</v>
      </c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9" t="str">
        <f>verze!E127</f>
        <v>Vnitřní zásuvka - 187 mm s ALU čelem</v>
      </c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9"/>
      <c r="BG25" s="4"/>
    </row>
    <row r="26" spans="2:59" s="112" customFormat="1" ht="14.4" customHeight="1" thickTop="1">
      <c r="B26" s="213"/>
      <c r="C26" s="214" t="str">
        <f>verze!E119</f>
        <v>zásuvka základní</v>
      </c>
      <c r="D26" s="215"/>
      <c r="E26" s="215"/>
      <c r="F26" s="215"/>
      <c r="G26" s="215"/>
      <c r="H26" s="215"/>
      <c r="I26" s="215"/>
      <c r="J26" s="216"/>
      <c r="K26" s="216"/>
      <c r="L26" s="216"/>
      <c r="M26" s="216"/>
      <c r="N26" s="216"/>
      <c r="O26" s="217"/>
      <c r="P26" s="213"/>
      <c r="Q26" s="214" t="str">
        <f>verze!E119</f>
        <v>zásuvka základní</v>
      </c>
      <c r="R26" s="215"/>
      <c r="S26" s="215"/>
      <c r="T26" s="215"/>
      <c r="U26" s="215"/>
      <c r="V26" s="215"/>
      <c r="W26" s="216"/>
      <c r="X26" s="216"/>
      <c r="Y26" s="216"/>
      <c r="Z26" s="216"/>
      <c r="AA26" s="216"/>
      <c r="AB26" s="216"/>
      <c r="AC26" s="216"/>
      <c r="AD26" s="217"/>
      <c r="AE26" s="213"/>
      <c r="AF26" s="214" t="str">
        <f>verze!E119</f>
        <v>zásuvka základní</v>
      </c>
      <c r="AG26" s="215"/>
      <c r="AH26" s="215"/>
      <c r="AI26" s="215"/>
      <c r="AJ26" s="215"/>
      <c r="AK26" s="215"/>
      <c r="AL26" s="216"/>
      <c r="AM26" s="216"/>
      <c r="AN26" s="216"/>
      <c r="AO26" s="216"/>
      <c r="AP26" s="216"/>
      <c r="AQ26" s="216"/>
      <c r="AR26" s="217"/>
      <c r="AS26" s="213"/>
      <c r="AT26" s="216"/>
      <c r="AU26" s="215"/>
      <c r="AV26" s="215"/>
      <c r="AW26" s="215"/>
      <c r="AX26" s="215"/>
      <c r="AY26" s="215"/>
      <c r="AZ26" s="216"/>
      <c r="BA26" s="216"/>
      <c r="BB26" s="216"/>
      <c r="BC26" s="216"/>
      <c r="BD26" s="216"/>
      <c r="BE26" s="216"/>
      <c r="BF26" s="217"/>
      <c r="BG26" s="4"/>
    </row>
    <row r="27" spans="2:59" s="112" customFormat="1" ht="14.4" customHeight="1">
      <c r="B27" s="218"/>
      <c r="C27" s="5" t="str">
        <f>verze!E145</f>
        <v>výška bočnice :</v>
      </c>
      <c r="D27" s="5"/>
      <c r="E27" s="5"/>
      <c r="F27" s="89"/>
      <c r="G27" s="543" t="s">
        <v>444</v>
      </c>
      <c r="H27" s="543"/>
      <c r="I27" s="543"/>
      <c r="J27" s="5"/>
      <c r="K27" s="5"/>
      <c r="L27" s="5"/>
      <c r="M27" s="5"/>
      <c r="N27" s="5"/>
      <c r="O27" s="219"/>
      <c r="P27" s="218"/>
      <c r="Q27" s="5" t="str">
        <f>verze!E145</f>
        <v>výška bočnice :</v>
      </c>
      <c r="R27" s="5"/>
      <c r="S27" s="5"/>
      <c r="T27" s="89"/>
      <c r="U27" s="543" t="s">
        <v>445</v>
      </c>
      <c r="V27" s="543"/>
      <c r="W27" s="543"/>
      <c r="X27" s="5"/>
      <c r="Y27" s="5"/>
      <c r="Z27" s="5"/>
      <c r="AA27" s="5"/>
      <c r="AB27" s="5"/>
      <c r="AC27" s="5"/>
      <c r="AD27" s="219"/>
      <c r="AE27" s="218"/>
      <c r="AF27" s="5" t="str">
        <f>verze!E145</f>
        <v>výška bočnice :</v>
      </c>
      <c r="AG27" s="5"/>
      <c r="AH27" s="5"/>
      <c r="AI27" s="89"/>
      <c r="AJ27" s="543" t="s">
        <v>446</v>
      </c>
      <c r="AK27" s="543"/>
      <c r="AL27" s="543"/>
      <c r="AM27" s="5"/>
      <c r="AN27" s="5"/>
      <c r="AO27" s="5"/>
      <c r="AP27" s="5"/>
      <c r="AQ27" s="5"/>
      <c r="AR27" s="219"/>
      <c r="AS27" s="218"/>
      <c r="AT27" s="85"/>
      <c r="AU27" s="5"/>
      <c r="AV27" s="5"/>
      <c r="AW27" s="85"/>
      <c r="AX27" s="85"/>
      <c r="AY27" s="85"/>
      <c r="AZ27" s="5"/>
      <c r="BA27" s="5"/>
      <c r="BB27" s="5"/>
      <c r="BC27" s="5"/>
      <c r="BD27" s="5"/>
      <c r="BE27" s="5"/>
      <c r="BF27" s="219"/>
      <c r="BG27" s="4"/>
    </row>
    <row r="28" spans="2:59" s="112" customFormat="1" ht="14.4" customHeight="1">
      <c r="B28" s="218"/>
      <c r="C28" s="5"/>
      <c r="D28" s="5"/>
      <c r="E28" s="5"/>
      <c r="F28" s="89"/>
      <c r="G28" s="543"/>
      <c r="H28" s="543"/>
      <c r="I28" s="543"/>
      <c r="J28" s="5"/>
      <c r="K28" s="5"/>
      <c r="L28" s="5"/>
      <c r="M28" s="5"/>
      <c r="N28" s="5"/>
      <c r="O28" s="219"/>
      <c r="P28" s="218"/>
      <c r="Q28" s="5"/>
      <c r="R28" s="5"/>
      <c r="S28" s="5"/>
      <c r="T28" s="89"/>
      <c r="U28" s="543"/>
      <c r="V28" s="543"/>
      <c r="W28" s="543"/>
      <c r="X28" s="5"/>
      <c r="Y28" s="5"/>
      <c r="Z28" s="5"/>
      <c r="AA28" s="5"/>
      <c r="AB28" s="5"/>
      <c r="AC28" s="5"/>
      <c r="AD28" s="219"/>
      <c r="AE28" s="218"/>
      <c r="AF28" s="5"/>
      <c r="AG28" s="5"/>
      <c r="AH28" s="5"/>
      <c r="AI28" s="89"/>
      <c r="AJ28" s="543"/>
      <c r="AK28" s="543"/>
      <c r="AL28" s="543"/>
      <c r="AM28" s="5"/>
      <c r="AN28" s="5"/>
      <c r="AO28" s="5"/>
      <c r="AP28" s="5"/>
      <c r="AQ28" s="5"/>
      <c r="AR28" s="219"/>
      <c r="AS28" s="218"/>
      <c r="AT28" s="85"/>
      <c r="AU28" s="5"/>
      <c r="AV28" s="5"/>
      <c r="AW28" s="85"/>
      <c r="AX28" s="85"/>
      <c r="AY28" s="85"/>
      <c r="AZ28" s="5"/>
      <c r="BA28" s="5"/>
      <c r="BB28" s="5"/>
      <c r="BC28" s="5"/>
      <c r="BD28" s="5"/>
      <c r="BE28" s="5"/>
      <c r="BF28" s="219"/>
      <c r="BG28" s="4"/>
    </row>
    <row r="29" spans="2:59" s="112" customFormat="1" ht="14.4" customHeight="1">
      <c r="B29" s="218"/>
      <c r="C29" s="5"/>
      <c r="D29" s="5"/>
      <c r="E29" s="5"/>
      <c r="F29" s="89"/>
      <c r="G29" s="89"/>
      <c r="H29" s="89"/>
      <c r="I29" s="5"/>
      <c r="J29" s="5"/>
      <c r="K29" s="5"/>
      <c r="L29" s="5"/>
      <c r="M29" s="5"/>
      <c r="N29" s="5"/>
      <c r="O29" s="219"/>
      <c r="P29" s="218"/>
      <c r="Q29" s="5"/>
      <c r="R29" s="5"/>
      <c r="S29" s="5"/>
      <c r="T29" s="89"/>
      <c r="U29" s="89"/>
      <c r="V29" s="89"/>
      <c r="W29" s="5"/>
      <c r="X29" s="5"/>
      <c r="Y29" s="5"/>
      <c r="Z29" s="5"/>
      <c r="AA29" s="5"/>
      <c r="AB29" s="5"/>
      <c r="AC29" s="5"/>
      <c r="AD29" s="219"/>
      <c r="AE29" s="218"/>
      <c r="AF29" s="5"/>
      <c r="AG29" s="5"/>
      <c r="AH29" s="5"/>
      <c r="AI29" s="89"/>
      <c r="AJ29" s="89"/>
      <c r="AK29" s="89"/>
      <c r="AL29" s="5"/>
      <c r="AM29" s="5"/>
      <c r="AN29" s="5"/>
      <c r="AO29" s="5"/>
      <c r="AP29" s="5"/>
      <c r="AQ29" s="5"/>
      <c r="AR29" s="219"/>
      <c r="AS29" s="218"/>
      <c r="AT29" s="85"/>
      <c r="AU29" s="5"/>
      <c r="AV29" s="5"/>
      <c r="AW29" s="85"/>
      <c r="AX29" s="85"/>
      <c r="AY29" s="85"/>
      <c r="AZ29" s="5"/>
      <c r="BA29" s="5"/>
      <c r="BB29" s="5"/>
      <c r="BC29" s="5"/>
      <c r="BD29" s="5"/>
      <c r="BE29" s="5"/>
      <c r="BF29" s="219"/>
      <c r="BG29" s="4"/>
    </row>
    <row r="30" spans="2:59" s="112" customFormat="1" ht="14.4" customHeight="1">
      <c r="B30" s="218"/>
      <c r="C30" s="5" t="str">
        <f>verze!E147</f>
        <v>min.vestavná výška [mm] :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19"/>
      <c r="P30" s="218"/>
      <c r="Q30" s="5" t="str">
        <f>verze!E147</f>
        <v>min.vestavná výška [mm] :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19"/>
      <c r="AE30" s="218"/>
      <c r="AF30" s="5" t="str">
        <f>verze!E147</f>
        <v>min.vestavná výška [mm] :</v>
      </c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219"/>
      <c r="AS30" s="218"/>
      <c r="AT30" s="85"/>
      <c r="AU30" s="5"/>
      <c r="AV30" s="5"/>
      <c r="AW30" s="85"/>
      <c r="AX30" s="85"/>
      <c r="AY30" s="85"/>
      <c r="AZ30" s="5"/>
      <c r="BA30" s="5"/>
      <c r="BB30" s="5"/>
      <c r="BC30" s="5"/>
      <c r="BD30" s="5"/>
      <c r="BE30" s="5"/>
      <c r="BF30" s="219"/>
      <c r="BG30" s="4"/>
    </row>
    <row r="31" spans="2:59" s="112" customFormat="1" ht="14.4" customHeight="1">
      <c r="B31" s="218"/>
      <c r="C31" s="544" t="str">
        <f>verze!E148</f>
        <v>jenom SiSy</v>
      </c>
      <c r="D31" s="544"/>
      <c r="E31" s="545"/>
      <c r="F31" s="546" t="s">
        <v>449</v>
      </c>
      <c r="G31" s="544"/>
      <c r="H31" s="544"/>
      <c r="I31" s="5"/>
      <c r="J31" s="56"/>
      <c r="K31" s="56"/>
      <c r="L31" s="56"/>
      <c r="M31" s="541">
        <f>SUM('AVT101(vn-A)'!O19:AF22)+SUM('AVT101(vn-A)'!O27:AD30)</f>
        <v>0</v>
      </c>
      <c r="N31" s="541"/>
      <c r="O31" s="542"/>
      <c r="P31" s="218"/>
      <c r="Q31" s="544" t="str">
        <f>verze!E148</f>
        <v>jenom SiSy</v>
      </c>
      <c r="R31" s="544"/>
      <c r="S31" s="545"/>
      <c r="T31" s="546" t="s">
        <v>449</v>
      </c>
      <c r="U31" s="544"/>
      <c r="V31" s="544"/>
      <c r="W31" s="5"/>
      <c r="X31" s="56"/>
      <c r="Y31" s="56"/>
      <c r="Z31" s="56"/>
      <c r="AA31" s="56"/>
      <c r="AB31" s="541">
        <f>SUM('AVT139(vn-A)'!O19:AF22)+SUM('AVT139(vn-A)'!O27:AD30)</f>
        <v>0</v>
      </c>
      <c r="AC31" s="541"/>
      <c r="AD31" s="542"/>
      <c r="AE31" s="218"/>
      <c r="AF31" s="544" t="str">
        <f>verze!E148</f>
        <v>jenom SiSy</v>
      </c>
      <c r="AG31" s="544"/>
      <c r="AH31" s="545"/>
      <c r="AI31" s="546" t="s">
        <v>449</v>
      </c>
      <c r="AJ31" s="544"/>
      <c r="AK31" s="544"/>
      <c r="AL31" s="5"/>
      <c r="AM31" s="56"/>
      <c r="AN31" s="56"/>
      <c r="AO31" s="56"/>
      <c r="AP31" s="541">
        <f>SUM('AVT187(vn-A)'!O19:AF22)+SUM('AVT187(vn-A)'!O27:AD30)</f>
        <v>0</v>
      </c>
      <c r="AQ31" s="541"/>
      <c r="AR31" s="542"/>
      <c r="AS31" s="220"/>
      <c r="AT31" s="85"/>
      <c r="AU31" s="85"/>
      <c r="AV31" s="85"/>
      <c r="AW31" s="85"/>
      <c r="AX31" s="85"/>
      <c r="AY31" s="85"/>
      <c r="AZ31" s="56"/>
      <c r="BA31" s="56"/>
      <c r="BB31" s="56"/>
      <c r="BC31" s="56"/>
      <c r="BD31" s="85"/>
      <c r="BE31" s="85"/>
      <c r="BF31" s="236"/>
      <c r="BG31" s="4"/>
    </row>
    <row r="32" spans="2:59" s="112" customFormat="1" ht="14.4" customHeight="1">
      <c r="B32" s="218"/>
      <c r="C32" s="547">
        <v>105</v>
      </c>
      <c r="D32" s="547"/>
      <c r="E32" s="548"/>
      <c r="F32" s="547">
        <v>107</v>
      </c>
      <c r="G32" s="547"/>
      <c r="H32" s="547"/>
      <c r="I32" s="56"/>
      <c r="J32" s="56"/>
      <c r="K32" s="56"/>
      <c r="L32" s="56"/>
      <c r="M32" s="541"/>
      <c r="N32" s="541"/>
      <c r="O32" s="542"/>
      <c r="P32" s="218"/>
      <c r="Q32" s="547">
        <v>143</v>
      </c>
      <c r="R32" s="547"/>
      <c r="S32" s="548"/>
      <c r="T32" s="547">
        <v>145</v>
      </c>
      <c r="U32" s="547"/>
      <c r="V32" s="547"/>
      <c r="W32" s="56"/>
      <c r="X32" s="56"/>
      <c r="Y32" s="56"/>
      <c r="Z32" s="56"/>
      <c r="AA32" s="56"/>
      <c r="AB32" s="541"/>
      <c r="AC32" s="541"/>
      <c r="AD32" s="542"/>
      <c r="AE32" s="218"/>
      <c r="AF32" s="547">
        <v>192</v>
      </c>
      <c r="AG32" s="547"/>
      <c r="AH32" s="548"/>
      <c r="AI32" s="547">
        <v>194</v>
      </c>
      <c r="AJ32" s="547"/>
      <c r="AK32" s="547"/>
      <c r="AL32" s="56"/>
      <c r="AM32" s="56"/>
      <c r="AN32" s="56"/>
      <c r="AO32" s="56"/>
      <c r="AP32" s="541"/>
      <c r="AQ32" s="541"/>
      <c r="AR32" s="542"/>
      <c r="AS32" s="220"/>
      <c r="AT32" s="85"/>
      <c r="AU32" s="85"/>
      <c r="AV32" s="85"/>
      <c r="AW32" s="85"/>
      <c r="AX32" s="85"/>
      <c r="AY32" s="85"/>
      <c r="AZ32" s="56"/>
      <c r="BA32" s="56"/>
      <c r="BB32" s="56"/>
      <c r="BC32" s="56"/>
      <c r="BD32" s="85"/>
      <c r="BE32" s="85"/>
      <c r="BF32" s="236"/>
      <c r="BG32" s="5"/>
    </row>
    <row r="33" spans="2:59" s="112" customFormat="1" ht="14.4" customHeight="1" thickBot="1">
      <c r="B33" s="221"/>
      <c r="C33" s="222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89" t="str">
        <f>IF(AND(M31=0,SUM('AVT101(vn-A)'!O84:AJ84)&lt;&gt;0),verze!E118&amp;"  ","")</f>
        <v/>
      </c>
      <c r="P33" s="235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89" t="str">
        <f>IF(AND(AB31=0,SUM('AVT139(vn-A)'!O84:AJ84)&lt;&gt;0),verze!E118&amp;"  ","")</f>
        <v/>
      </c>
      <c r="AE33" s="235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89" t="str">
        <f>IF(AND(AP31=0,SUM('AVT187(vn-A)'!O84:AJ84)&lt;&gt;0),verze!E118&amp;"  ","")</f>
        <v/>
      </c>
      <c r="AS33" s="235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4"/>
      <c r="BG33" s="5"/>
    </row>
    <row r="34" spans="2:59" s="112" customFormat="1" ht="14.4" customHeight="1" thickTop="1">
      <c r="B34" s="213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7"/>
      <c r="P34" s="213"/>
      <c r="Q34" s="214"/>
      <c r="R34" s="215"/>
      <c r="S34" s="215"/>
      <c r="T34" s="215"/>
      <c r="U34" s="215"/>
      <c r="V34" s="215"/>
      <c r="W34" s="216"/>
      <c r="X34" s="216"/>
      <c r="Y34" s="216"/>
      <c r="Z34" s="216"/>
      <c r="AA34" s="216"/>
      <c r="AB34" s="216"/>
      <c r="AC34" s="216"/>
      <c r="AD34" s="217"/>
      <c r="AE34" s="213"/>
      <c r="AF34" s="214" t="str">
        <f>verze!E120</f>
        <v>zásuvka ze skleněnou bočnicí</v>
      </c>
      <c r="AG34" s="215"/>
      <c r="AH34" s="215"/>
      <c r="AI34" s="215"/>
      <c r="AJ34" s="215"/>
      <c r="AK34" s="215"/>
      <c r="AL34" s="216"/>
      <c r="AM34" s="216"/>
      <c r="AN34" s="216"/>
      <c r="AO34" s="216"/>
      <c r="AP34" s="216"/>
      <c r="AQ34" s="216"/>
      <c r="AR34" s="217"/>
      <c r="AS34" s="213"/>
      <c r="AT34" s="216"/>
      <c r="AU34" s="215"/>
      <c r="AV34" s="215"/>
      <c r="AW34" s="215"/>
      <c r="AX34" s="215"/>
      <c r="AY34" s="215"/>
      <c r="AZ34" s="216"/>
      <c r="BA34" s="216"/>
      <c r="BB34" s="216"/>
      <c r="BC34" s="216"/>
      <c r="BD34" s="216"/>
      <c r="BE34" s="216"/>
      <c r="BF34" s="217"/>
      <c r="BG34" s="4"/>
    </row>
    <row r="35" spans="2:59" s="112" customFormat="1" ht="14.4" customHeight="1">
      <c r="B35" s="218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219"/>
      <c r="P35" s="218"/>
      <c r="Q35" s="5"/>
      <c r="R35" s="5"/>
      <c r="S35" s="5"/>
      <c r="T35" s="89"/>
      <c r="U35" s="7"/>
      <c r="V35" s="7"/>
      <c r="W35" s="7"/>
      <c r="X35" s="5"/>
      <c r="Y35" s="5"/>
      <c r="Z35" s="5"/>
      <c r="AA35" s="5"/>
      <c r="AB35" s="5"/>
      <c r="AC35" s="5"/>
      <c r="AD35" s="219"/>
      <c r="AE35" s="218"/>
      <c r="AF35" s="5" t="str">
        <f>verze!E145</f>
        <v>výška bočnice :</v>
      </c>
      <c r="AG35" s="5"/>
      <c r="AH35" s="5"/>
      <c r="AI35" s="89"/>
      <c r="AJ35" s="543" t="s">
        <v>446</v>
      </c>
      <c r="AK35" s="543"/>
      <c r="AL35" s="543"/>
      <c r="AM35" s="5"/>
      <c r="AN35" s="5"/>
      <c r="AO35" s="5"/>
      <c r="AP35" s="5"/>
      <c r="AQ35" s="5"/>
      <c r="AR35" s="219"/>
      <c r="AS35" s="218"/>
      <c r="AT35" s="85"/>
      <c r="AU35" s="5"/>
      <c r="AV35" s="5"/>
      <c r="AW35" s="85"/>
      <c r="AX35" s="85"/>
      <c r="AY35" s="85"/>
      <c r="AZ35" s="5"/>
      <c r="BA35" s="5"/>
      <c r="BB35" s="5"/>
      <c r="BC35" s="5"/>
      <c r="BD35" s="5"/>
      <c r="BE35" s="5"/>
      <c r="BF35" s="219"/>
      <c r="BG35" s="4"/>
    </row>
    <row r="36" spans="2:59" s="112" customFormat="1" ht="14.4" customHeight="1">
      <c r="B36" s="2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219"/>
      <c r="P36" s="218"/>
      <c r="Q36" s="5"/>
      <c r="R36" s="5"/>
      <c r="S36" s="5"/>
      <c r="T36" s="89"/>
      <c r="U36" s="7"/>
      <c r="V36" s="7"/>
      <c r="W36" s="7"/>
      <c r="X36" s="5"/>
      <c r="Y36" s="5"/>
      <c r="Z36" s="5"/>
      <c r="AA36" s="5"/>
      <c r="AB36" s="5"/>
      <c r="AC36" s="5"/>
      <c r="AD36" s="219"/>
      <c r="AE36" s="218"/>
      <c r="AF36" s="5"/>
      <c r="AG36" s="5"/>
      <c r="AH36" s="5"/>
      <c r="AI36" s="89"/>
      <c r="AJ36" s="543"/>
      <c r="AK36" s="543"/>
      <c r="AL36" s="543"/>
      <c r="AM36" s="5"/>
      <c r="AN36" s="5"/>
      <c r="AO36" s="5"/>
      <c r="AP36" s="5"/>
      <c r="AQ36" s="5"/>
      <c r="AR36" s="219"/>
      <c r="AS36" s="218"/>
      <c r="AT36" s="85"/>
      <c r="AU36" s="5"/>
      <c r="AV36" s="5"/>
      <c r="AW36" s="85"/>
      <c r="AX36" s="85"/>
      <c r="AY36" s="85"/>
      <c r="AZ36" s="5"/>
      <c r="BA36" s="5"/>
      <c r="BB36" s="5"/>
      <c r="BC36" s="5"/>
      <c r="BD36" s="5"/>
      <c r="BE36" s="5"/>
      <c r="BF36" s="219"/>
      <c r="BG36" s="4"/>
    </row>
    <row r="37" spans="2:59" s="112" customFormat="1" ht="14.4" customHeight="1">
      <c r="B37" s="2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219"/>
      <c r="P37" s="218"/>
      <c r="Q37" s="5"/>
      <c r="R37" s="5"/>
      <c r="S37" s="5"/>
      <c r="T37" s="89"/>
      <c r="U37" s="7"/>
      <c r="V37" s="7"/>
      <c r="W37" s="7"/>
      <c r="X37" s="5"/>
      <c r="Y37" s="5"/>
      <c r="Z37" s="5"/>
      <c r="AA37" s="5"/>
      <c r="AB37" s="5"/>
      <c r="AC37" s="5"/>
      <c r="AD37" s="219"/>
      <c r="AE37" s="218"/>
      <c r="AF37" s="5"/>
      <c r="AG37" s="5"/>
      <c r="AH37" s="5"/>
      <c r="AI37" s="89"/>
      <c r="AJ37" s="89"/>
      <c r="AK37" s="89"/>
      <c r="AL37" s="5"/>
      <c r="AM37" s="5"/>
      <c r="AN37" s="5"/>
      <c r="AO37" s="5"/>
      <c r="AP37" s="5"/>
      <c r="AQ37" s="5"/>
      <c r="AR37" s="219"/>
      <c r="AS37" s="218"/>
      <c r="AT37" s="85"/>
      <c r="AU37" s="5"/>
      <c r="AV37" s="5"/>
      <c r="AW37" s="85"/>
      <c r="AX37" s="85"/>
      <c r="AY37" s="85"/>
      <c r="AZ37" s="5"/>
      <c r="BA37" s="5"/>
      <c r="BB37" s="5"/>
      <c r="BC37" s="5"/>
      <c r="BD37" s="5"/>
      <c r="BE37" s="5"/>
      <c r="BF37" s="219"/>
      <c r="BG37" s="4"/>
    </row>
    <row r="38" spans="2:59" s="112" customFormat="1" ht="14.4" customHeight="1">
      <c r="B38" s="2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219"/>
      <c r="P38" s="218"/>
      <c r="Q38" s="5"/>
      <c r="R38" s="5"/>
      <c r="S38" s="5"/>
      <c r="T38" s="89"/>
      <c r="U38" s="7"/>
      <c r="V38" s="7"/>
      <c r="W38" s="7"/>
      <c r="X38" s="5"/>
      <c r="Y38" s="5"/>
      <c r="Z38" s="5"/>
      <c r="AA38" s="5"/>
      <c r="AB38" s="5"/>
      <c r="AC38" s="5"/>
      <c r="AD38" s="219"/>
      <c r="AE38" s="218"/>
      <c r="AF38" s="5" t="str">
        <f>verze!E147</f>
        <v>min.vestavná výška [mm] :</v>
      </c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219"/>
      <c r="AS38" s="218"/>
      <c r="AT38" s="85"/>
      <c r="AU38" s="5"/>
      <c r="AV38" s="5"/>
      <c r="AW38" s="85"/>
      <c r="AX38" s="85"/>
      <c r="AY38" s="85"/>
      <c r="AZ38" s="5"/>
      <c r="BA38" s="5"/>
      <c r="BB38" s="5"/>
      <c r="BC38" s="5"/>
      <c r="BD38" s="5"/>
      <c r="BE38" s="5"/>
      <c r="BF38" s="219"/>
      <c r="BG38" s="4"/>
    </row>
    <row r="39" spans="2:59" s="112" customFormat="1" ht="14.4" customHeight="1">
      <c r="B39" s="2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219"/>
      <c r="P39" s="218"/>
      <c r="Q39" s="5"/>
      <c r="R39" s="5"/>
      <c r="S39" s="5"/>
      <c r="T39" s="89"/>
      <c r="U39" s="7"/>
      <c r="V39" s="7"/>
      <c r="W39" s="7"/>
      <c r="X39" s="5"/>
      <c r="Y39" s="5"/>
      <c r="Z39" s="5"/>
      <c r="AA39" s="5"/>
      <c r="AB39" s="5"/>
      <c r="AC39" s="5"/>
      <c r="AD39" s="219"/>
      <c r="AE39" s="218"/>
      <c r="AF39" s="544" t="str">
        <f>verze!E148</f>
        <v>jenom SiSy</v>
      </c>
      <c r="AG39" s="544"/>
      <c r="AH39" s="545"/>
      <c r="AI39" s="546" t="s">
        <v>449</v>
      </c>
      <c r="AJ39" s="544"/>
      <c r="AK39" s="544"/>
      <c r="AL39" s="5"/>
      <c r="AM39" s="56"/>
      <c r="AN39" s="56"/>
      <c r="AO39" s="56"/>
      <c r="AP39" s="541">
        <f>SUM('AVT187In(vn-A)'!O19:AF22)+SUM('AVT187In(vn-A)'!O27:AD30)</f>
        <v>0</v>
      </c>
      <c r="AQ39" s="541"/>
      <c r="AR39" s="542"/>
      <c r="AS39" s="220"/>
      <c r="AT39" s="85"/>
      <c r="AU39" s="85"/>
      <c r="AV39" s="85"/>
      <c r="AW39" s="85"/>
      <c r="AX39" s="85"/>
      <c r="AY39" s="85"/>
      <c r="AZ39" s="56"/>
      <c r="BA39" s="56"/>
      <c r="BB39" s="56"/>
      <c r="BC39" s="56"/>
      <c r="BD39" s="85"/>
      <c r="BE39" s="85"/>
      <c r="BF39" s="236"/>
      <c r="BG39" s="4"/>
    </row>
    <row r="40" spans="2:59" s="112" customFormat="1" ht="14.4" customHeight="1">
      <c r="B40" s="21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"/>
      <c r="N40" s="5"/>
      <c r="O40" s="219"/>
      <c r="P40" s="218"/>
      <c r="Q40" s="5"/>
      <c r="R40" s="5"/>
      <c r="S40" s="5"/>
      <c r="T40" s="89"/>
      <c r="U40" s="7"/>
      <c r="V40" s="7"/>
      <c r="W40" s="7"/>
      <c r="X40" s="5"/>
      <c r="Y40" s="5"/>
      <c r="Z40" s="5"/>
      <c r="AA40" s="5"/>
      <c r="AB40" s="5"/>
      <c r="AC40" s="5"/>
      <c r="AD40" s="219"/>
      <c r="AE40" s="218"/>
      <c r="AF40" s="547">
        <v>188</v>
      </c>
      <c r="AG40" s="547"/>
      <c r="AH40" s="548"/>
      <c r="AI40" s="547">
        <v>190</v>
      </c>
      <c r="AJ40" s="547"/>
      <c r="AK40" s="547"/>
      <c r="AL40" s="56"/>
      <c r="AM40" s="56"/>
      <c r="AN40" s="56"/>
      <c r="AO40" s="56"/>
      <c r="AP40" s="541"/>
      <c r="AQ40" s="541"/>
      <c r="AR40" s="542"/>
      <c r="AS40" s="220"/>
      <c r="AT40" s="85"/>
      <c r="AU40" s="85"/>
      <c r="AV40" s="85"/>
      <c r="AW40" s="85"/>
      <c r="AX40" s="85"/>
      <c r="AY40" s="85"/>
      <c r="AZ40" s="56"/>
      <c r="BA40" s="56"/>
      <c r="BB40" s="56"/>
      <c r="BC40" s="56"/>
      <c r="BD40" s="85"/>
      <c r="BE40" s="85"/>
      <c r="BF40" s="236"/>
      <c r="BG40" s="5"/>
    </row>
    <row r="41" spans="2:59" s="112" customFormat="1" ht="14.4" customHeight="1" thickBot="1">
      <c r="B41" s="221"/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3"/>
      <c r="N41" s="223"/>
      <c r="O41" s="224"/>
      <c r="P41" s="221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3"/>
      <c r="AB41" s="223"/>
      <c r="AC41" s="223"/>
      <c r="AD41" s="224"/>
      <c r="AE41" s="235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89" t="str">
        <f>IF(AND(AP39=0,SUM('AVT187In(vn-A)'!O84:AJ84)&lt;&gt;0),verze!E118&amp;"  ","")</f>
        <v/>
      </c>
      <c r="AS41" s="235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4"/>
      <c r="BG41" s="5"/>
    </row>
    <row r="42" spans="2:59" s="112" customFormat="1" ht="14.4" customHeight="1" thickTop="1"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7"/>
      <c r="P42" s="4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  <c r="AD42" s="7"/>
      <c r="AE42" s="4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6"/>
      <c r="AS42" s="4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6"/>
      <c r="BG42" s="4"/>
    </row>
    <row r="43" spans="2:59" s="112" customFormat="1" ht="14.4" customHeight="1" thickBot="1">
      <c r="B43" s="4"/>
      <c r="C43" s="8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239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39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39" t="str">
        <f>verze!E128</f>
        <v>Vnitřní zásuvka - 187 mm se skleněným čelem</v>
      </c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39"/>
      <c r="BG43" s="4"/>
    </row>
    <row r="44" spans="2:59" s="112" customFormat="1" ht="14.4" customHeight="1" thickTop="1">
      <c r="B44" s="213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7"/>
      <c r="P44" s="213"/>
      <c r="Q44" s="214"/>
      <c r="R44" s="215"/>
      <c r="S44" s="215"/>
      <c r="T44" s="215"/>
      <c r="U44" s="215"/>
      <c r="V44" s="215"/>
      <c r="W44" s="216"/>
      <c r="X44" s="216"/>
      <c r="Y44" s="216"/>
      <c r="Z44" s="216"/>
      <c r="AA44" s="216"/>
      <c r="AB44" s="216"/>
      <c r="AC44" s="216"/>
      <c r="AD44" s="217"/>
      <c r="AE44" s="213"/>
      <c r="AF44" s="214" t="str">
        <f>verze!E119</f>
        <v>zásuvka základní</v>
      </c>
      <c r="AG44" s="215"/>
      <c r="AH44" s="215"/>
      <c r="AI44" s="215"/>
      <c r="AJ44" s="215"/>
      <c r="AK44" s="215"/>
      <c r="AL44" s="216"/>
      <c r="AM44" s="216"/>
      <c r="AN44" s="216"/>
      <c r="AO44" s="216"/>
      <c r="AP44" s="216"/>
      <c r="AQ44" s="216"/>
      <c r="AR44" s="217"/>
      <c r="AS44" s="213"/>
      <c r="AT44" s="216"/>
      <c r="AU44" s="215"/>
      <c r="AV44" s="215"/>
      <c r="AW44" s="215"/>
      <c r="AX44" s="215"/>
      <c r="AY44" s="215"/>
      <c r="AZ44" s="216"/>
      <c r="BA44" s="216"/>
      <c r="BB44" s="216"/>
      <c r="BC44" s="216"/>
      <c r="BD44" s="216"/>
      <c r="BE44" s="216"/>
      <c r="BF44" s="217"/>
      <c r="BG44" s="4"/>
    </row>
    <row r="45" spans="2:59" s="112" customFormat="1" ht="14.4" customHeight="1">
      <c r="B45" s="21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219"/>
      <c r="P45" s="218"/>
      <c r="Q45" s="5"/>
      <c r="R45" s="5"/>
      <c r="S45" s="5"/>
      <c r="T45" s="89"/>
      <c r="U45" s="7"/>
      <c r="V45" s="7"/>
      <c r="W45" s="7"/>
      <c r="X45" s="5"/>
      <c r="Y45" s="5"/>
      <c r="Z45" s="5"/>
      <c r="AA45" s="5"/>
      <c r="AB45" s="5"/>
      <c r="AC45" s="5"/>
      <c r="AD45" s="219"/>
      <c r="AE45" s="218"/>
      <c r="AF45" s="5" t="str">
        <f>verze!E145</f>
        <v>výška bočnice :</v>
      </c>
      <c r="AG45" s="5"/>
      <c r="AH45" s="5"/>
      <c r="AI45" s="89"/>
      <c r="AJ45" s="543" t="s">
        <v>446</v>
      </c>
      <c r="AK45" s="543"/>
      <c r="AL45" s="543"/>
      <c r="AM45" s="5"/>
      <c r="AN45" s="5"/>
      <c r="AO45" s="5"/>
      <c r="AP45" s="5"/>
      <c r="AQ45" s="5"/>
      <c r="AR45" s="219"/>
      <c r="AS45" s="218"/>
      <c r="AT45" s="85"/>
      <c r="AU45" s="5"/>
      <c r="AV45" s="5"/>
      <c r="AW45" s="85"/>
      <c r="AX45" s="85"/>
      <c r="AY45" s="85"/>
      <c r="AZ45" s="5"/>
      <c r="BA45" s="5"/>
      <c r="BB45" s="5"/>
      <c r="BC45" s="5"/>
      <c r="BD45" s="5"/>
      <c r="BE45" s="5"/>
      <c r="BF45" s="219"/>
      <c r="BG45" s="4"/>
    </row>
    <row r="46" spans="2:59" s="112" customFormat="1" ht="14.4" customHeight="1">
      <c r="B46" s="21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219"/>
      <c r="P46" s="218"/>
      <c r="Q46" s="5"/>
      <c r="R46" s="5"/>
      <c r="S46" s="5"/>
      <c r="T46" s="89"/>
      <c r="U46" s="7"/>
      <c r="V46" s="7"/>
      <c r="W46" s="7"/>
      <c r="X46" s="5"/>
      <c r="Y46" s="5"/>
      <c r="Z46" s="5"/>
      <c r="AA46" s="5"/>
      <c r="AB46" s="5"/>
      <c r="AC46" s="5"/>
      <c r="AD46" s="219"/>
      <c r="AE46" s="218"/>
      <c r="AF46" s="5"/>
      <c r="AG46" s="5"/>
      <c r="AH46" s="5"/>
      <c r="AI46" s="89"/>
      <c r="AJ46" s="543"/>
      <c r="AK46" s="543"/>
      <c r="AL46" s="543"/>
      <c r="AM46" s="5"/>
      <c r="AN46" s="5"/>
      <c r="AO46" s="5"/>
      <c r="AP46" s="5"/>
      <c r="AQ46" s="5"/>
      <c r="AR46" s="219"/>
      <c r="AS46" s="218"/>
      <c r="AT46" s="85"/>
      <c r="AU46" s="5"/>
      <c r="AV46" s="5"/>
      <c r="AW46" s="85"/>
      <c r="AX46" s="85"/>
      <c r="AY46" s="85"/>
      <c r="AZ46" s="5"/>
      <c r="BA46" s="5"/>
      <c r="BB46" s="5"/>
      <c r="BC46" s="5"/>
      <c r="BD46" s="5"/>
      <c r="BE46" s="5"/>
      <c r="BF46" s="219"/>
      <c r="BG46" s="4"/>
    </row>
    <row r="47" spans="2:59" s="112" customFormat="1" ht="14.4" customHeight="1">
      <c r="B47" s="21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219"/>
      <c r="P47" s="218"/>
      <c r="Q47" s="5"/>
      <c r="R47" s="5"/>
      <c r="S47" s="5"/>
      <c r="T47" s="89"/>
      <c r="U47" s="7"/>
      <c r="V47" s="7"/>
      <c r="W47" s="7"/>
      <c r="X47" s="5"/>
      <c r="Y47" s="5"/>
      <c r="Z47" s="5"/>
      <c r="AA47" s="5"/>
      <c r="AB47" s="5"/>
      <c r="AC47" s="5"/>
      <c r="AD47" s="219"/>
      <c r="AE47" s="218"/>
      <c r="AF47" s="5"/>
      <c r="AG47" s="5"/>
      <c r="AH47" s="5"/>
      <c r="AI47" s="89"/>
      <c r="AJ47" s="89"/>
      <c r="AK47" s="89"/>
      <c r="AL47" s="5"/>
      <c r="AM47" s="5"/>
      <c r="AN47" s="5"/>
      <c r="AO47" s="5"/>
      <c r="AP47" s="5"/>
      <c r="AQ47" s="5"/>
      <c r="AR47" s="219"/>
      <c r="AS47" s="218"/>
      <c r="AT47" s="85"/>
      <c r="AU47" s="5"/>
      <c r="AV47" s="5"/>
      <c r="AW47" s="85"/>
      <c r="AX47" s="85"/>
      <c r="AY47" s="85"/>
      <c r="AZ47" s="5"/>
      <c r="BA47" s="5"/>
      <c r="BB47" s="5"/>
      <c r="BC47" s="5"/>
      <c r="BD47" s="5"/>
      <c r="BE47" s="5"/>
      <c r="BF47" s="219"/>
      <c r="BG47" s="4"/>
    </row>
    <row r="48" spans="2:59" s="112" customFormat="1" ht="14.4" customHeight="1">
      <c r="B48" s="2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219"/>
      <c r="P48" s="218"/>
      <c r="Q48" s="5"/>
      <c r="R48" s="5"/>
      <c r="S48" s="5"/>
      <c r="T48" s="89"/>
      <c r="U48" s="7"/>
      <c r="V48" s="7"/>
      <c r="W48" s="7"/>
      <c r="X48" s="5"/>
      <c r="Y48" s="5"/>
      <c r="Z48" s="5"/>
      <c r="AA48" s="5"/>
      <c r="AB48" s="5"/>
      <c r="AC48" s="5"/>
      <c r="AD48" s="219"/>
      <c r="AE48" s="218"/>
      <c r="AF48" s="5" t="str">
        <f>verze!E147</f>
        <v>min.vestavná výška [mm] :</v>
      </c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219"/>
      <c r="AS48" s="218"/>
      <c r="AT48" s="85"/>
      <c r="AU48" s="5"/>
      <c r="AV48" s="5"/>
      <c r="AW48" s="85"/>
      <c r="AX48" s="85"/>
      <c r="AY48" s="85"/>
      <c r="AZ48" s="5"/>
      <c r="BA48" s="5"/>
      <c r="BB48" s="5"/>
      <c r="BC48" s="5"/>
      <c r="BD48" s="5"/>
      <c r="BE48" s="5"/>
      <c r="BF48" s="219"/>
      <c r="BG48" s="4"/>
    </row>
    <row r="49" spans="1:59" s="112" customFormat="1" ht="14.4" customHeight="1">
      <c r="B49" s="2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219"/>
      <c r="P49" s="218"/>
      <c r="Q49" s="5"/>
      <c r="R49" s="5"/>
      <c r="S49" s="5"/>
      <c r="T49" s="89"/>
      <c r="U49" s="7"/>
      <c r="V49" s="7"/>
      <c r="W49" s="7"/>
      <c r="X49" s="5"/>
      <c r="Y49" s="5"/>
      <c r="Z49" s="5"/>
      <c r="AA49" s="5"/>
      <c r="AB49" s="5"/>
      <c r="AC49" s="5"/>
      <c r="AD49" s="219"/>
      <c r="AE49" s="218"/>
      <c r="AF49" s="544" t="str">
        <f>verze!E148</f>
        <v>jenom SiSy</v>
      </c>
      <c r="AG49" s="544"/>
      <c r="AH49" s="545"/>
      <c r="AI49" s="546" t="s">
        <v>449</v>
      </c>
      <c r="AJ49" s="544"/>
      <c r="AK49" s="544"/>
      <c r="AL49" s="5"/>
      <c r="AM49" s="56"/>
      <c r="AN49" s="56"/>
      <c r="AO49" s="56"/>
      <c r="AP49" s="541">
        <f>SUM('AVT187(vn-S)'!O19:AF22)+SUM('AVT187(vn-S)'!O27:AD30)</f>
        <v>0</v>
      </c>
      <c r="AQ49" s="541"/>
      <c r="AR49" s="542"/>
      <c r="AS49" s="220"/>
      <c r="AT49" s="85"/>
      <c r="AU49" s="85"/>
      <c r="AV49" s="85"/>
      <c r="AW49" s="85"/>
      <c r="AX49" s="85"/>
      <c r="AY49" s="85"/>
      <c r="AZ49" s="56"/>
      <c r="BA49" s="56"/>
      <c r="BB49" s="56"/>
      <c r="BC49" s="56"/>
      <c r="BD49" s="85"/>
      <c r="BE49" s="85"/>
      <c r="BF49" s="236"/>
      <c r="BG49" s="4"/>
    </row>
    <row r="50" spans="1:59" s="112" customFormat="1" ht="14.4" customHeight="1">
      <c r="B50" s="21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"/>
      <c r="N50" s="5"/>
      <c r="O50" s="219"/>
      <c r="P50" s="218"/>
      <c r="Q50" s="5"/>
      <c r="R50" s="5"/>
      <c r="S50" s="5"/>
      <c r="T50" s="89"/>
      <c r="U50" s="7"/>
      <c r="V50" s="7"/>
      <c r="W50" s="7"/>
      <c r="X50" s="5"/>
      <c r="Y50" s="5"/>
      <c r="Z50" s="5"/>
      <c r="AA50" s="5"/>
      <c r="AB50" s="5"/>
      <c r="AC50" s="5"/>
      <c r="AD50" s="219"/>
      <c r="AE50" s="218"/>
      <c r="AF50" s="547">
        <v>194</v>
      </c>
      <c r="AG50" s="547"/>
      <c r="AH50" s="548"/>
      <c r="AI50" s="547">
        <v>196</v>
      </c>
      <c r="AJ50" s="547"/>
      <c r="AK50" s="547"/>
      <c r="AL50" s="56"/>
      <c r="AM50" s="56"/>
      <c r="AN50" s="56"/>
      <c r="AO50" s="56"/>
      <c r="AP50" s="541"/>
      <c r="AQ50" s="541"/>
      <c r="AR50" s="542"/>
      <c r="AS50" s="220"/>
      <c r="AT50" s="85"/>
      <c r="AU50" s="85"/>
      <c r="AV50" s="85"/>
      <c r="AW50" s="85"/>
      <c r="AX50" s="85"/>
      <c r="AY50" s="85"/>
      <c r="AZ50" s="56"/>
      <c r="BA50" s="56"/>
      <c r="BB50" s="56"/>
      <c r="BC50" s="56"/>
      <c r="BD50" s="85"/>
      <c r="BE50" s="85"/>
      <c r="BF50" s="236"/>
      <c r="BG50" s="5"/>
    </row>
    <row r="51" spans="1:59" s="112" customFormat="1" ht="14.4" customHeight="1" thickBot="1">
      <c r="B51" s="221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3"/>
      <c r="N51" s="223"/>
      <c r="O51" s="224"/>
      <c r="P51" s="221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3"/>
      <c r="AB51" s="223"/>
      <c r="AC51" s="223"/>
      <c r="AD51" s="224"/>
      <c r="AE51" s="235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89" t="str">
        <f>IF(AND(AP49=0,SUM('AVT187(vn-S)'!O84:AJ84)&lt;&gt;0),verze!E118&amp;"  ","")</f>
        <v/>
      </c>
      <c r="AS51" s="235"/>
      <c r="AT51" s="233"/>
      <c r="AU51" s="23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3"/>
      <c r="BF51" s="234"/>
      <c r="BG51" s="5"/>
    </row>
    <row r="52" spans="1:59" s="112" customFormat="1" ht="14.4" customHeight="1" thickTop="1">
      <c r="B52" s="213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7"/>
      <c r="P52" s="213"/>
      <c r="Q52" s="214"/>
      <c r="R52" s="215"/>
      <c r="S52" s="215"/>
      <c r="T52" s="215"/>
      <c r="U52" s="215"/>
      <c r="V52" s="215"/>
      <c r="W52" s="216"/>
      <c r="X52" s="216"/>
      <c r="Y52" s="216"/>
      <c r="Z52" s="216"/>
      <c r="AA52" s="216"/>
      <c r="AB52" s="216"/>
      <c r="AC52" s="216"/>
      <c r="AD52" s="217"/>
      <c r="AE52" s="213"/>
      <c r="AF52" s="214" t="str">
        <f>verze!E120</f>
        <v>zásuvka ze skleněnou bočnicí</v>
      </c>
      <c r="AG52" s="215"/>
      <c r="AH52" s="215"/>
      <c r="AI52" s="215"/>
      <c r="AJ52" s="215"/>
      <c r="AK52" s="215"/>
      <c r="AL52" s="216"/>
      <c r="AM52" s="216"/>
      <c r="AN52" s="216"/>
      <c r="AO52" s="216"/>
      <c r="AP52" s="216"/>
      <c r="AQ52" s="216"/>
      <c r="AR52" s="217"/>
      <c r="AS52" s="216"/>
      <c r="AT52" s="215"/>
      <c r="AU52" s="215"/>
      <c r="AV52" s="215"/>
      <c r="AW52" s="215"/>
      <c r="AX52" s="215"/>
      <c r="AY52" s="215"/>
      <c r="AZ52" s="216"/>
      <c r="BA52" s="216"/>
      <c r="BB52" s="216"/>
      <c r="BC52" s="216"/>
      <c r="BD52" s="216"/>
      <c r="BE52" s="216"/>
      <c r="BF52" s="217"/>
      <c r="BG52" s="4"/>
    </row>
    <row r="53" spans="1:59" s="112" customFormat="1" ht="14.4" customHeight="1">
      <c r="B53" s="21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19"/>
      <c r="P53" s="218"/>
      <c r="Q53" s="5"/>
      <c r="R53" s="5"/>
      <c r="S53" s="5"/>
      <c r="T53" s="89"/>
      <c r="U53" s="7"/>
      <c r="V53" s="7"/>
      <c r="W53" s="7"/>
      <c r="X53" s="5"/>
      <c r="Y53" s="5"/>
      <c r="Z53" s="5"/>
      <c r="AA53" s="5"/>
      <c r="AB53" s="5"/>
      <c r="AC53" s="5"/>
      <c r="AD53" s="219"/>
      <c r="AE53" s="218"/>
      <c r="AF53" s="5" t="str">
        <f>verze!E145</f>
        <v>výška bočnice :</v>
      </c>
      <c r="AG53" s="5"/>
      <c r="AH53" s="5"/>
      <c r="AI53" s="89"/>
      <c r="AJ53" s="543" t="s">
        <v>446</v>
      </c>
      <c r="AK53" s="543"/>
      <c r="AL53" s="543"/>
      <c r="AM53" s="5"/>
      <c r="AN53" s="5"/>
      <c r="AO53" s="5"/>
      <c r="AP53" s="5"/>
      <c r="AQ53" s="5"/>
      <c r="AR53" s="219"/>
      <c r="AS53" s="85"/>
      <c r="AT53" s="5"/>
      <c r="AU53" s="5"/>
      <c r="AV53" s="5"/>
      <c r="AW53" s="85"/>
      <c r="AX53" s="85"/>
      <c r="AY53" s="85"/>
      <c r="AZ53" s="5"/>
      <c r="BA53" s="5"/>
      <c r="BB53" s="5"/>
      <c r="BC53" s="5"/>
      <c r="BD53" s="5"/>
      <c r="BE53" s="5"/>
      <c r="BF53" s="219"/>
      <c r="BG53" s="4"/>
    </row>
    <row r="54" spans="1:59" s="112" customFormat="1" ht="14.4" customHeight="1">
      <c r="B54" s="21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19"/>
      <c r="P54" s="218"/>
      <c r="Q54" s="5"/>
      <c r="R54" s="5"/>
      <c r="S54" s="5"/>
      <c r="T54" s="89"/>
      <c r="U54" s="7"/>
      <c r="V54" s="7"/>
      <c r="W54" s="7"/>
      <c r="X54" s="5"/>
      <c r="Y54" s="5"/>
      <c r="Z54" s="5"/>
      <c r="AA54" s="5"/>
      <c r="AB54" s="5"/>
      <c r="AC54" s="5"/>
      <c r="AD54" s="219"/>
      <c r="AE54" s="218"/>
      <c r="AF54" s="5"/>
      <c r="AG54" s="5"/>
      <c r="AH54" s="5"/>
      <c r="AI54" s="89"/>
      <c r="AJ54" s="543"/>
      <c r="AK54" s="543"/>
      <c r="AL54" s="543"/>
      <c r="AM54" s="5"/>
      <c r="AN54" s="5"/>
      <c r="AO54" s="5"/>
      <c r="AP54" s="5"/>
      <c r="AQ54" s="5"/>
      <c r="AR54" s="219"/>
      <c r="AS54" s="85"/>
      <c r="AT54" s="5"/>
      <c r="AU54" s="5"/>
      <c r="AV54" s="5"/>
      <c r="AW54" s="85"/>
      <c r="AX54" s="85"/>
      <c r="AY54" s="85"/>
      <c r="AZ54" s="5"/>
      <c r="BA54" s="5"/>
      <c r="BB54" s="5"/>
      <c r="BC54" s="5"/>
      <c r="BD54" s="5"/>
      <c r="BE54" s="5"/>
      <c r="BF54" s="219"/>
      <c r="BG54" s="4"/>
    </row>
    <row r="55" spans="1:59" s="112" customFormat="1" ht="14.4" customHeight="1">
      <c r="B55" s="2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219"/>
      <c r="P55" s="218"/>
      <c r="Q55" s="5"/>
      <c r="R55" s="5"/>
      <c r="S55" s="5"/>
      <c r="T55" s="89"/>
      <c r="U55" s="7"/>
      <c r="V55" s="7"/>
      <c r="W55" s="7"/>
      <c r="X55" s="5"/>
      <c r="Y55" s="5"/>
      <c r="Z55" s="5"/>
      <c r="AA55" s="5"/>
      <c r="AB55" s="5"/>
      <c r="AC55" s="5"/>
      <c r="AD55" s="219"/>
      <c r="AE55" s="218"/>
      <c r="AF55" s="5"/>
      <c r="AG55" s="5"/>
      <c r="AH55" s="5"/>
      <c r="AI55" s="89"/>
      <c r="AJ55" s="89"/>
      <c r="AK55" s="89"/>
      <c r="AL55" s="5"/>
      <c r="AM55" s="5"/>
      <c r="AN55" s="5"/>
      <c r="AO55" s="5"/>
      <c r="AP55" s="5"/>
      <c r="AQ55" s="5"/>
      <c r="AR55" s="219"/>
      <c r="AS55" s="85"/>
      <c r="AT55" s="5"/>
      <c r="AU55" s="5"/>
      <c r="AV55" s="5"/>
      <c r="AW55" s="85"/>
      <c r="AX55" s="85"/>
      <c r="AY55" s="85"/>
      <c r="AZ55" s="5"/>
      <c r="BA55" s="5"/>
      <c r="BB55" s="5"/>
      <c r="BC55" s="5"/>
      <c r="BD55" s="5"/>
      <c r="BE55" s="5"/>
      <c r="BF55" s="219"/>
      <c r="BG55" s="4"/>
    </row>
    <row r="56" spans="1:59" s="112" customFormat="1" ht="14.4" customHeight="1">
      <c r="B56" s="21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219"/>
      <c r="P56" s="218"/>
      <c r="Q56" s="5"/>
      <c r="R56" s="5"/>
      <c r="S56" s="5"/>
      <c r="T56" s="89"/>
      <c r="U56" s="7"/>
      <c r="V56" s="7"/>
      <c r="W56" s="7"/>
      <c r="X56" s="5"/>
      <c r="Y56" s="5"/>
      <c r="Z56" s="5"/>
      <c r="AA56" s="5"/>
      <c r="AB56" s="5"/>
      <c r="AC56" s="5"/>
      <c r="AD56" s="219"/>
      <c r="AE56" s="218"/>
      <c r="AF56" s="5" t="str">
        <f>verze!E147</f>
        <v>min.vestavná výška [mm] :</v>
      </c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219"/>
      <c r="AS56" s="85"/>
      <c r="AT56" s="5"/>
      <c r="AU56" s="5"/>
      <c r="AV56" s="5"/>
      <c r="AW56" s="85"/>
      <c r="AX56" s="85"/>
      <c r="AY56" s="85"/>
      <c r="AZ56" s="5"/>
      <c r="BA56" s="5"/>
      <c r="BB56" s="5"/>
      <c r="BC56" s="5"/>
      <c r="BD56" s="5"/>
      <c r="BE56" s="5"/>
      <c r="BF56" s="219"/>
      <c r="BG56" s="4"/>
    </row>
    <row r="57" spans="1:59" s="112" customFormat="1" ht="14.4" customHeight="1">
      <c r="B57" s="21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219"/>
      <c r="P57" s="218"/>
      <c r="Q57" s="5"/>
      <c r="R57" s="5"/>
      <c r="S57" s="5"/>
      <c r="T57" s="89"/>
      <c r="U57" s="7"/>
      <c r="V57" s="7"/>
      <c r="W57" s="7"/>
      <c r="X57" s="5"/>
      <c r="Y57" s="5"/>
      <c r="Z57" s="5"/>
      <c r="AA57" s="5"/>
      <c r="AB57" s="5"/>
      <c r="AC57" s="5"/>
      <c r="AD57" s="219"/>
      <c r="AE57" s="218"/>
      <c r="AF57" s="544" t="str">
        <f>verze!E148</f>
        <v>jenom SiSy</v>
      </c>
      <c r="AG57" s="544"/>
      <c r="AH57" s="545"/>
      <c r="AI57" s="546" t="s">
        <v>449</v>
      </c>
      <c r="AJ57" s="544"/>
      <c r="AK57" s="544"/>
      <c r="AL57" s="5"/>
      <c r="AM57" s="56"/>
      <c r="AN57" s="56"/>
      <c r="AO57" s="56"/>
      <c r="AP57" s="541">
        <f>SUM('AVT187In(vn-S)'!O19:AF22)+SUM('AVT187In(vn-S)'!O27:AD30)</f>
        <v>0</v>
      </c>
      <c r="AQ57" s="541"/>
      <c r="AR57" s="542"/>
      <c r="AS57" s="85"/>
      <c r="AT57" s="85"/>
      <c r="AU57" s="85"/>
      <c r="AV57" s="85"/>
      <c r="AW57" s="85"/>
      <c r="AX57" s="85"/>
      <c r="AY57" s="85"/>
      <c r="AZ57" s="56"/>
      <c r="BA57" s="56"/>
      <c r="BB57" s="56"/>
      <c r="BC57" s="56"/>
      <c r="BD57" s="85"/>
      <c r="BE57" s="85"/>
      <c r="BF57" s="236"/>
      <c r="BG57" s="4"/>
    </row>
    <row r="58" spans="1:59" s="112" customFormat="1" ht="14.4" customHeight="1">
      <c r="B58" s="21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"/>
      <c r="N58" s="5"/>
      <c r="O58" s="219"/>
      <c r="P58" s="218"/>
      <c r="Q58" s="5"/>
      <c r="R58" s="5"/>
      <c r="S58" s="5"/>
      <c r="T58" s="89"/>
      <c r="U58" s="7"/>
      <c r="V58" s="7"/>
      <c r="W58" s="7"/>
      <c r="X58" s="5"/>
      <c r="Y58" s="5"/>
      <c r="Z58" s="5"/>
      <c r="AA58" s="5"/>
      <c r="AB58" s="5"/>
      <c r="AC58" s="5"/>
      <c r="AD58" s="219"/>
      <c r="AE58" s="218"/>
      <c r="AF58" s="547">
        <v>194</v>
      </c>
      <c r="AG58" s="547"/>
      <c r="AH58" s="548"/>
      <c r="AI58" s="547">
        <v>196</v>
      </c>
      <c r="AJ58" s="547"/>
      <c r="AK58" s="547"/>
      <c r="AL58" s="56"/>
      <c r="AM58" s="56"/>
      <c r="AN58" s="56"/>
      <c r="AO58" s="56"/>
      <c r="AP58" s="541"/>
      <c r="AQ58" s="541"/>
      <c r="AR58" s="542"/>
      <c r="AS58" s="85"/>
      <c r="AT58" s="85"/>
      <c r="AU58" s="85"/>
      <c r="AV58" s="85"/>
      <c r="AW58" s="85"/>
      <c r="AX58" s="85"/>
      <c r="AY58" s="85"/>
      <c r="AZ58" s="56"/>
      <c r="BA58" s="56"/>
      <c r="BB58" s="56"/>
      <c r="BC58" s="56"/>
      <c r="BD58" s="85"/>
      <c r="BE58" s="85"/>
      <c r="BF58" s="236"/>
      <c r="BG58" s="5"/>
    </row>
    <row r="59" spans="1:59" s="112" customFormat="1" ht="14.4" customHeight="1" thickBot="1">
      <c r="B59" s="221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3"/>
      <c r="N59" s="223"/>
      <c r="O59" s="224"/>
      <c r="P59" s="221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3"/>
      <c r="AB59" s="223"/>
      <c r="AC59" s="223"/>
      <c r="AD59" s="224"/>
      <c r="AE59" s="235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89" t="str">
        <f>IF(AND(AP57=0,SUM('AVT187In(vn-S)'!O84:AJ84)&lt;&gt;0),verze!E118&amp;"  ","")</f>
        <v/>
      </c>
      <c r="AS59" s="237"/>
      <c r="AT59" s="237"/>
      <c r="AU59" s="237"/>
      <c r="AV59" s="237"/>
      <c r="AW59" s="237"/>
      <c r="AX59" s="237"/>
      <c r="AY59" s="237"/>
      <c r="AZ59" s="226"/>
      <c r="BA59" s="226"/>
      <c r="BB59" s="226"/>
      <c r="BC59" s="226"/>
      <c r="BD59" s="237"/>
      <c r="BE59" s="237"/>
      <c r="BF59" s="238"/>
      <c r="BG59" s="5"/>
    </row>
    <row r="60" spans="1:59" s="112" customFormat="1" ht="14.4" customHeight="1" thickTop="1">
      <c r="B60" s="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"/>
      <c r="N60" s="5"/>
      <c r="O60" s="5"/>
      <c r="P60" s="5"/>
      <c r="Q60" s="204"/>
      <c r="R60" s="204"/>
      <c r="S60" s="204"/>
      <c r="T60" s="204"/>
      <c r="U60" s="204"/>
      <c r="V60" s="204"/>
      <c r="W60" s="56"/>
      <c r="X60" s="56"/>
      <c r="Y60" s="56"/>
      <c r="Z60" s="56"/>
      <c r="AA60" s="56"/>
      <c r="AB60" s="184"/>
      <c r="AC60" s="184"/>
      <c r="AD60" s="184"/>
      <c r="AE60" s="56"/>
      <c r="AF60" s="85"/>
      <c r="AG60" s="85"/>
      <c r="AH60" s="85"/>
      <c r="AI60" s="85"/>
      <c r="AJ60" s="85"/>
      <c r="AK60" s="85"/>
      <c r="AL60" s="27"/>
      <c r="AM60" s="27"/>
      <c r="AN60" s="27"/>
      <c r="AO60" s="27"/>
      <c r="AP60" s="85"/>
      <c r="AQ60" s="85"/>
      <c r="AR60" s="86"/>
      <c r="AS60" s="56"/>
      <c r="AT60" s="85"/>
      <c r="AU60" s="85"/>
      <c r="AV60" s="85"/>
      <c r="AW60" s="85"/>
      <c r="AX60" s="85"/>
      <c r="AY60" s="85"/>
      <c r="AZ60" s="27"/>
      <c r="BA60" s="27"/>
      <c r="BB60" s="27"/>
      <c r="BC60" s="27"/>
      <c r="BD60" s="85"/>
      <c r="BE60" s="85"/>
      <c r="BF60" s="86"/>
      <c r="BG60" s="5"/>
    </row>
    <row r="61" spans="1:59" s="112" customFormat="1" ht="23.1" customHeight="1">
      <c r="A61" s="205"/>
      <c r="B61" s="212" t="str">
        <f>verze!E141</f>
        <v>Speciální zásuvky a speciální řešení</v>
      </c>
      <c r="C61" s="212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7"/>
      <c r="O61" s="208"/>
      <c r="P61" s="209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09"/>
      <c r="AB61" s="209"/>
      <c r="AC61" s="211"/>
      <c r="AD61" s="208"/>
      <c r="AE61" s="209"/>
      <c r="AF61" s="210"/>
      <c r="AG61" s="210"/>
      <c r="AH61" s="210"/>
      <c r="AI61" s="210"/>
      <c r="AJ61" s="210"/>
      <c r="AK61" s="210"/>
      <c r="AL61" s="210"/>
      <c r="AM61" s="210"/>
      <c r="AN61" s="210"/>
      <c r="AO61" s="209"/>
      <c r="AP61" s="209"/>
      <c r="AQ61" s="210"/>
      <c r="AR61" s="208"/>
      <c r="AS61" s="209"/>
      <c r="AT61" s="210"/>
      <c r="AU61" s="210"/>
      <c r="AV61" s="210"/>
      <c r="AW61" s="210"/>
      <c r="AX61" s="210"/>
      <c r="AY61" s="210"/>
      <c r="AZ61" s="210"/>
      <c r="BA61" s="210"/>
      <c r="BB61" s="210"/>
      <c r="BC61" s="209"/>
      <c r="BD61" s="209"/>
      <c r="BE61" s="210"/>
      <c r="BF61" s="208"/>
      <c r="BG61" s="4"/>
    </row>
    <row r="62" spans="1:59" s="112" customFormat="1" ht="14.4" customHeight="1" thickBot="1">
      <c r="B62" s="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"/>
      <c r="N62" s="5"/>
      <c r="O62" s="5"/>
      <c r="P62" s="5"/>
      <c r="Q62" s="204"/>
      <c r="R62" s="204"/>
      <c r="S62" s="204"/>
      <c r="T62" s="204"/>
      <c r="U62" s="204"/>
      <c r="V62" s="204"/>
      <c r="W62" s="56"/>
      <c r="X62" s="56"/>
      <c r="Y62" s="56"/>
      <c r="Z62" s="56"/>
      <c r="AA62" s="56"/>
      <c r="AB62" s="184"/>
      <c r="AC62" s="184"/>
      <c r="AD62" s="184"/>
      <c r="AE62" s="56"/>
      <c r="AF62" s="85"/>
      <c r="AG62" s="85"/>
      <c r="AH62" s="85"/>
      <c r="AI62" s="85"/>
      <c r="AJ62" s="85"/>
      <c r="AK62" s="85"/>
      <c r="AL62" s="56"/>
      <c r="AM62" s="56"/>
      <c r="AN62" s="56"/>
      <c r="AO62" s="56"/>
      <c r="AP62" s="85"/>
      <c r="AQ62" s="85"/>
      <c r="AR62" s="86"/>
      <c r="AS62" s="56"/>
      <c r="AT62" s="85"/>
      <c r="AU62" s="85"/>
      <c r="AV62" s="85"/>
      <c r="AW62" s="85"/>
      <c r="AX62" s="85"/>
      <c r="AY62" s="85"/>
      <c r="AZ62" s="56"/>
      <c r="BA62" s="56"/>
      <c r="BB62" s="56"/>
      <c r="BC62" s="56"/>
      <c r="BD62" s="85"/>
      <c r="BE62" s="85"/>
      <c r="BF62" s="86"/>
      <c r="BG62" s="5"/>
    </row>
    <row r="63" spans="1:59" s="112" customFormat="1" ht="14.4" customHeight="1" thickTop="1">
      <c r="B63" s="213"/>
      <c r="C63" s="214" t="str">
        <f>verze!E119</f>
        <v>zásuvka základní</v>
      </c>
      <c r="D63" s="215"/>
      <c r="E63" s="215"/>
      <c r="F63" s="215"/>
      <c r="G63" s="215"/>
      <c r="H63" s="215"/>
      <c r="I63" s="215"/>
      <c r="J63" s="216"/>
      <c r="K63" s="216"/>
      <c r="L63" s="216"/>
      <c r="M63" s="216"/>
      <c r="N63" s="216"/>
      <c r="O63" s="217"/>
      <c r="P63" s="452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4"/>
      <c r="AE63" s="452"/>
      <c r="AF63" s="453"/>
      <c r="AG63" s="453"/>
      <c r="AH63" s="453"/>
      <c r="AI63" s="453"/>
      <c r="AJ63" s="453"/>
      <c r="AK63" s="453"/>
      <c r="AL63" s="453"/>
      <c r="AM63" s="453"/>
      <c r="AN63" s="453"/>
      <c r="AO63" s="453"/>
      <c r="AP63" s="453"/>
      <c r="AQ63" s="453"/>
      <c r="AR63" s="454"/>
      <c r="AS63" s="216"/>
      <c r="AT63" s="215"/>
      <c r="AU63" s="215"/>
      <c r="AV63" s="215"/>
      <c r="AW63" s="215"/>
      <c r="AX63" s="215"/>
      <c r="AY63" s="215"/>
      <c r="AZ63" s="216"/>
      <c r="BA63" s="216"/>
      <c r="BB63" s="216"/>
      <c r="BC63" s="216"/>
      <c r="BD63" s="216"/>
      <c r="BE63" s="216"/>
      <c r="BF63" s="217"/>
      <c r="BG63" s="4"/>
    </row>
    <row r="64" spans="1:59" s="112" customFormat="1" ht="14.4" customHeight="1">
      <c r="B64" s="218"/>
      <c r="C64" s="5" t="str">
        <f>verze!E145</f>
        <v>výška bočnice :</v>
      </c>
      <c r="D64" s="5"/>
      <c r="E64" s="5"/>
      <c r="F64" s="89"/>
      <c r="G64" s="543" t="s">
        <v>486</v>
      </c>
      <c r="H64" s="543"/>
      <c r="I64" s="543"/>
      <c r="J64" s="5"/>
      <c r="K64" s="5"/>
      <c r="L64" s="5"/>
      <c r="M64" s="5"/>
      <c r="N64" s="5"/>
      <c r="O64" s="219"/>
      <c r="P64" s="455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456"/>
      <c r="AE64" s="455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456"/>
      <c r="AS64" s="85"/>
      <c r="AT64" s="5"/>
      <c r="AU64" s="5"/>
      <c r="AV64" s="5"/>
      <c r="AW64" s="85"/>
      <c r="AX64" s="85"/>
      <c r="AY64" s="85"/>
      <c r="AZ64" s="5"/>
      <c r="BA64" s="5"/>
      <c r="BB64" s="5"/>
      <c r="BC64" s="5"/>
      <c r="BD64" s="5"/>
      <c r="BE64" s="5"/>
      <c r="BF64" s="219"/>
      <c r="BG64" s="4"/>
    </row>
    <row r="65" spans="1:59" s="112" customFormat="1" ht="14.4" customHeight="1">
      <c r="B65" s="218"/>
      <c r="C65" s="5"/>
      <c r="D65" s="5"/>
      <c r="E65" s="5"/>
      <c r="F65" s="89"/>
      <c r="G65" s="543"/>
      <c r="H65" s="543"/>
      <c r="I65" s="543"/>
      <c r="J65" s="5"/>
      <c r="K65" s="5"/>
      <c r="L65" s="5"/>
      <c r="M65" s="5"/>
      <c r="N65" s="5"/>
      <c r="O65" s="219"/>
      <c r="P65" s="455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456"/>
      <c r="AE65" s="455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456"/>
      <c r="AS65" s="85"/>
      <c r="AT65" s="5"/>
      <c r="AU65" s="5"/>
      <c r="AV65" s="5"/>
      <c r="AW65" s="85"/>
      <c r="AX65" s="85"/>
      <c r="AY65" s="85"/>
      <c r="AZ65" s="5"/>
      <c r="BA65" s="5"/>
      <c r="BB65" s="5"/>
      <c r="BC65" s="5"/>
      <c r="BD65" s="5"/>
      <c r="BE65" s="5"/>
      <c r="BF65" s="219"/>
      <c r="BG65" s="4"/>
    </row>
    <row r="66" spans="1:59" s="112" customFormat="1" ht="14.4" customHeight="1">
      <c r="B66" s="218"/>
      <c r="C66" s="5"/>
      <c r="D66" s="5"/>
      <c r="E66" s="5"/>
      <c r="F66" s="89"/>
      <c r="G66" s="89"/>
      <c r="H66" s="89"/>
      <c r="I66" s="5"/>
      <c r="J66" s="5"/>
      <c r="K66" s="5"/>
      <c r="L66" s="5"/>
      <c r="M66" s="5"/>
      <c r="N66" s="5"/>
      <c r="O66" s="219"/>
      <c r="P66" s="455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456"/>
      <c r="AE66" s="455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456"/>
      <c r="AS66" s="85"/>
      <c r="AT66" s="5"/>
      <c r="AU66" s="5"/>
      <c r="AV66" s="5"/>
      <c r="AW66" s="85"/>
      <c r="AX66" s="85"/>
      <c r="AY66" s="85"/>
      <c r="AZ66" s="5"/>
      <c r="BA66" s="5"/>
      <c r="BB66" s="5"/>
      <c r="BC66" s="5"/>
      <c r="BD66" s="5"/>
      <c r="BE66" s="5"/>
      <c r="BF66" s="219"/>
      <c r="BG66" s="4"/>
    </row>
    <row r="67" spans="1:59" s="112" customFormat="1" ht="14.4" customHeight="1">
      <c r="B67" s="218"/>
      <c r="C67" s="5" t="str">
        <f>verze!E147</f>
        <v>min.vestavná výška [mm] :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219"/>
      <c r="P67" s="455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456"/>
      <c r="AE67" s="455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456"/>
      <c r="AS67" s="85"/>
      <c r="AT67" s="5"/>
      <c r="AU67" s="5"/>
      <c r="AV67" s="5"/>
      <c r="AW67" s="85"/>
      <c r="AX67" s="85"/>
      <c r="AY67" s="85"/>
      <c r="AZ67" s="5"/>
      <c r="BA67" s="5"/>
      <c r="BB67" s="5"/>
      <c r="BC67" s="5"/>
      <c r="BD67" s="5"/>
      <c r="BE67" s="5"/>
      <c r="BF67" s="219"/>
      <c r="BG67" s="4"/>
    </row>
    <row r="68" spans="1:59" s="111" customFormat="1" ht="14.4" customHeight="1">
      <c r="B68" s="220"/>
      <c r="C68" s="544" t="str">
        <f>verze!E148</f>
        <v>jenom SiSy</v>
      </c>
      <c r="D68" s="544"/>
      <c r="E68" s="545"/>
      <c r="F68" s="546" t="s">
        <v>449</v>
      </c>
      <c r="G68" s="544"/>
      <c r="H68" s="544"/>
      <c r="I68" s="5"/>
      <c r="J68" s="56"/>
      <c r="K68" s="56"/>
      <c r="L68" s="56"/>
      <c r="M68" s="541">
        <f>SUM('AVT77'!O19:AF22)+SUM('AVT77'!O27:AD30)</f>
        <v>0</v>
      </c>
      <c r="N68" s="541"/>
      <c r="O68" s="542"/>
      <c r="P68" s="455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456"/>
      <c r="AE68" s="455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456"/>
      <c r="AS68" s="85"/>
      <c r="AT68" s="85"/>
      <c r="AU68" s="85"/>
      <c r="AV68" s="85"/>
      <c r="AW68" s="85"/>
      <c r="AX68" s="85"/>
      <c r="AY68" s="85"/>
      <c r="AZ68" s="56"/>
      <c r="BA68" s="56"/>
      <c r="BB68" s="56"/>
      <c r="BC68" s="56"/>
      <c r="BD68" s="85"/>
      <c r="BE68" s="85"/>
      <c r="BF68" s="236"/>
      <c r="BG68" s="27"/>
    </row>
    <row r="69" spans="1:59" s="111" customFormat="1" ht="14.4" customHeight="1">
      <c r="B69" s="220"/>
      <c r="C69" s="547">
        <v>78</v>
      </c>
      <c r="D69" s="547"/>
      <c r="E69" s="548"/>
      <c r="F69" s="547">
        <v>80</v>
      </c>
      <c r="G69" s="547"/>
      <c r="H69" s="547"/>
      <c r="I69" s="56"/>
      <c r="J69" s="56"/>
      <c r="K69" s="56"/>
      <c r="L69" s="56"/>
      <c r="M69" s="541"/>
      <c r="N69" s="541"/>
      <c r="O69" s="542"/>
      <c r="P69" s="455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456"/>
      <c r="AE69" s="455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456"/>
      <c r="AS69" s="85"/>
      <c r="AT69" s="85"/>
      <c r="AU69" s="85"/>
      <c r="AV69" s="85"/>
      <c r="AW69" s="85"/>
      <c r="AX69" s="85"/>
      <c r="AY69" s="85"/>
      <c r="AZ69" s="56"/>
      <c r="BA69" s="56"/>
      <c r="BB69" s="56"/>
      <c r="BC69" s="56"/>
      <c r="BD69" s="85"/>
      <c r="BE69" s="85"/>
      <c r="BF69" s="236"/>
      <c r="BG69" s="27"/>
    </row>
    <row r="70" spans="1:59" s="112" customFormat="1" ht="14.4" customHeight="1" thickBot="1">
      <c r="B70" s="221"/>
      <c r="C70" s="222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475"/>
      <c r="O70" s="224"/>
      <c r="P70" s="457"/>
      <c r="Q70" s="458"/>
      <c r="R70" s="458"/>
      <c r="S70" s="458"/>
      <c r="T70" s="458"/>
      <c r="U70" s="458"/>
      <c r="V70" s="458"/>
      <c r="W70" s="458"/>
      <c r="X70" s="458"/>
      <c r="Y70" s="458"/>
      <c r="Z70" s="458"/>
      <c r="AA70" s="458"/>
      <c r="AB70" s="458"/>
      <c r="AC70" s="458"/>
      <c r="AD70" s="459"/>
      <c r="AE70" s="457"/>
      <c r="AF70" s="458"/>
      <c r="AG70" s="458"/>
      <c r="AH70" s="458"/>
      <c r="AI70" s="458"/>
      <c r="AJ70" s="458"/>
      <c r="AK70" s="458"/>
      <c r="AL70" s="458"/>
      <c r="AM70" s="458"/>
      <c r="AN70" s="458"/>
      <c r="AO70" s="458"/>
      <c r="AP70" s="458"/>
      <c r="AQ70" s="458"/>
      <c r="AR70" s="459"/>
      <c r="AS70" s="237"/>
      <c r="AT70" s="237"/>
      <c r="AU70" s="237"/>
      <c r="AV70" s="237"/>
      <c r="AW70" s="237"/>
      <c r="AX70" s="237"/>
      <c r="AY70" s="237"/>
      <c r="AZ70" s="226"/>
      <c r="BA70" s="226"/>
      <c r="BB70" s="226"/>
      <c r="BC70" s="226"/>
      <c r="BD70" s="237"/>
      <c r="BE70" s="237"/>
      <c r="BF70" s="238"/>
      <c r="BG70" s="4"/>
    </row>
    <row r="71" spans="1:59" s="112" customFormat="1" ht="14.4" customHeight="1" thickTop="1">
      <c r="B71" s="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"/>
      <c r="N71" s="5"/>
      <c r="O71" s="5"/>
      <c r="P71" s="5"/>
      <c r="Q71" s="204"/>
      <c r="R71" s="204"/>
      <c r="S71" s="204"/>
      <c r="T71" s="204"/>
      <c r="U71" s="204"/>
      <c r="V71" s="204"/>
      <c r="W71" s="56"/>
      <c r="X71" s="56"/>
      <c r="Y71" s="56"/>
      <c r="Z71" s="56"/>
      <c r="AA71" s="56"/>
      <c r="AB71" s="279"/>
      <c r="AC71" s="279"/>
      <c r="AD71" s="279"/>
      <c r="AE71" s="56"/>
      <c r="AF71" s="85"/>
      <c r="AG71" s="85"/>
      <c r="AH71" s="85"/>
      <c r="AI71" s="85"/>
      <c r="AJ71" s="85"/>
      <c r="AK71" s="85"/>
      <c r="AL71" s="27"/>
      <c r="AM71" s="27"/>
      <c r="AN71" s="27"/>
      <c r="AO71" s="27"/>
      <c r="AP71" s="85"/>
      <c r="AQ71" s="85"/>
      <c r="AR71" s="86"/>
      <c r="AS71" s="56"/>
      <c r="AT71" s="85"/>
      <c r="AU71" s="85"/>
      <c r="AV71" s="85"/>
      <c r="AW71" s="85"/>
      <c r="AX71" s="85"/>
      <c r="AY71" s="85"/>
      <c r="AZ71" s="27"/>
      <c r="BA71" s="27"/>
      <c r="BB71" s="27"/>
      <c r="BC71" s="27"/>
      <c r="BD71" s="85"/>
      <c r="BE71" s="85"/>
      <c r="BF71" s="86"/>
      <c r="BG71" s="5"/>
    </row>
    <row r="72" spans="1:59" s="112" customFormat="1" ht="23.1" customHeight="1">
      <c r="A72" s="205"/>
      <c r="B72" s="212" t="str">
        <f>verze!E142</f>
        <v>Zásuvky úzké</v>
      </c>
      <c r="C72" s="212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7"/>
      <c r="O72" s="208"/>
      <c r="P72" s="209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09"/>
      <c r="AB72" s="209"/>
      <c r="AC72" s="211"/>
      <c r="AD72" s="208"/>
      <c r="AE72" s="209"/>
      <c r="AF72" s="210"/>
      <c r="AG72" s="210"/>
      <c r="AH72" s="210"/>
      <c r="AI72" s="210"/>
      <c r="AJ72" s="210"/>
      <c r="AK72" s="210"/>
      <c r="AL72" s="210"/>
      <c r="AM72" s="210"/>
      <c r="AN72" s="210"/>
      <c r="AO72" s="209"/>
      <c r="AP72" s="209"/>
      <c r="AQ72" s="210"/>
      <c r="AR72" s="208"/>
      <c r="AS72" s="209"/>
      <c r="AT72" s="210"/>
      <c r="AU72" s="210"/>
      <c r="AV72" s="210"/>
      <c r="AW72" s="210"/>
      <c r="AX72" s="210"/>
      <c r="AY72" s="210"/>
      <c r="AZ72" s="210"/>
      <c r="BA72" s="210"/>
      <c r="BB72" s="210"/>
      <c r="BC72" s="209"/>
      <c r="BD72" s="209"/>
      <c r="BE72" s="210"/>
      <c r="BF72" s="208"/>
      <c r="BG72" s="4"/>
    </row>
    <row r="73" spans="1:59" s="112" customFormat="1" ht="14.4" customHeight="1" thickBot="1">
      <c r="B73" s="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"/>
      <c r="N73" s="5"/>
      <c r="O73" s="5"/>
      <c r="P73" s="5"/>
      <c r="Q73" s="204"/>
      <c r="R73" s="204"/>
      <c r="S73" s="204"/>
      <c r="T73" s="204"/>
      <c r="U73" s="204"/>
      <c r="V73" s="204"/>
      <c r="W73" s="56"/>
      <c r="X73" s="56"/>
      <c r="Y73" s="56"/>
      <c r="Z73" s="56"/>
      <c r="AA73" s="56"/>
      <c r="AB73" s="279"/>
      <c r="AC73" s="279"/>
      <c r="AD73" s="279"/>
      <c r="AE73" s="56"/>
      <c r="AF73" s="85"/>
      <c r="AG73" s="85"/>
      <c r="AH73" s="85"/>
      <c r="AI73" s="85"/>
      <c r="AJ73" s="85"/>
      <c r="AK73" s="85"/>
      <c r="AL73" s="56"/>
      <c r="AM73" s="56"/>
      <c r="AN73" s="56"/>
      <c r="AO73" s="56"/>
      <c r="AP73" s="85"/>
      <c r="AQ73" s="85"/>
      <c r="AR73" s="86"/>
      <c r="AS73" s="56"/>
      <c r="AT73" s="85"/>
      <c r="AU73" s="85"/>
      <c r="AV73" s="85"/>
      <c r="AW73" s="85"/>
      <c r="AX73" s="85"/>
      <c r="AY73" s="85"/>
      <c r="AZ73" s="56"/>
      <c r="BA73" s="56"/>
      <c r="BB73" s="56"/>
      <c r="BC73" s="56"/>
      <c r="BD73" s="85"/>
      <c r="BE73" s="85"/>
      <c r="BF73" s="86"/>
      <c r="BG73" s="5"/>
    </row>
    <row r="74" spans="1:59" s="112" customFormat="1" ht="14.4" customHeight="1" thickTop="1">
      <c r="B74" s="213"/>
      <c r="C74" s="214" t="str">
        <f>verze!E136</f>
        <v>zásuvka úzká spodní 101/187</v>
      </c>
      <c r="D74" s="215"/>
      <c r="E74" s="215"/>
      <c r="F74" s="215"/>
      <c r="G74" s="215"/>
      <c r="H74" s="215"/>
      <c r="I74" s="215"/>
      <c r="J74" s="216"/>
      <c r="K74" s="216"/>
      <c r="L74" s="216"/>
      <c r="M74" s="216"/>
      <c r="N74" s="216"/>
      <c r="O74" s="217"/>
      <c r="P74" s="213"/>
      <c r="Q74" s="214" t="str">
        <f>verze!E137</f>
        <v>zásuvka úzká spodní 139/187</v>
      </c>
      <c r="R74" s="215"/>
      <c r="S74" s="215"/>
      <c r="T74" s="215"/>
      <c r="U74" s="215"/>
      <c r="V74" s="215"/>
      <c r="W74" s="215"/>
      <c r="X74" s="216"/>
      <c r="Y74" s="216"/>
      <c r="Z74" s="216"/>
      <c r="AA74" s="216"/>
      <c r="AB74" s="216"/>
      <c r="AC74" s="216"/>
      <c r="AD74" s="217"/>
      <c r="AE74" s="213"/>
      <c r="AF74" s="214" t="str">
        <f>verze!E138</f>
        <v>zásuvka úzká spodní 2x187</v>
      </c>
      <c r="AG74" s="215"/>
      <c r="AH74" s="215"/>
      <c r="AI74" s="215"/>
      <c r="AJ74" s="215"/>
      <c r="AK74" s="215"/>
      <c r="AL74" s="215"/>
      <c r="AM74" s="216"/>
      <c r="AN74" s="216"/>
      <c r="AO74" s="216"/>
      <c r="AP74" s="216"/>
      <c r="AQ74" s="216"/>
      <c r="AR74" s="217"/>
      <c r="AS74" s="213"/>
      <c r="AT74" s="214" t="str">
        <f>verze!E138</f>
        <v>zásuvka úzká spodní 2x187</v>
      </c>
      <c r="AU74" s="215"/>
      <c r="AV74" s="215"/>
      <c r="AW74" s="215"/>
      <c r="AX74" s="215"/>
      <c r="AY74" s="215"/>
      <c r="AZ74" s="215"/>
      <c r="BA74" s="216"/>
      <c r="BB74" s="216"/>
      <c r="BC74" s="216"/>
      <c r="BD74" s="216"/>
      <c r="BE74" s="216"/>
      <c r="BF74" s="217"/>
      <c r="BG74" s="4"/>
    </row>
    <row r="75" spans="1:59" s="112" customFormat="1" ht="14.4" customHeight="1">
      <c r="B75" s="218"/>
      <c r="C75" s="83" t="str">
        <f>verze!E119</f>
        <v>zásuvka základní</v>
      </c>
      <c r="D75" s="5"/>
      <c r="E75" s="5"/>
      <c r="F75" s="89"/>
      <c r="G75" s="89"/>
      <c r="H75" s="89"/>
      <c r="I75" s="5"/>
      <c r="J75" s="5"/>
      <c r="K75" s="5"/>
      <c r="L75" s="5"/>
      <c r="M75" s="5"/>
      <c r="N75" s="5"/>
      <c r="O75" s="219"/>
      <c r="P75" s="218"/>
      <c r="Q75" s="83" t="str">
        <f>verze!E119</f>
        <v>zásuvka základní</v>
      </c>
      <c r="R75" s="5"/>
      <c r="S75" s="5"/>
      <c r="T75" s="89"/>
      <c r="U75" s="89"/>
      <c r="V75" s="89"/>
      <c r="W75" s="5"/>
      <c r="X75" s="5"/>
      <c r="Y75" s="5"/>
      <c r="Z75" s="5"/>
      <c r="AA75" s="5"/>
      <c r="AB75" s="5"/>
      <c r="AC75" s="5"/>
      <c r="AD75" s="219"/>
      <c r="AE75" s="218"/>
      <c r="AF75" s="83" t="str">
        <f>verze!E119</f>
        <v>zásuvka základní</v>
      </c>
      <c r="AG75" s="5"/>
      <c r="AH75" s="5"/>
      <c r="AI75" s="89"/>
      <c r="AJ75" s="89"/>
      <c r="AK75" s="89"/>
      <c r="AL75" s="5"/>
      <c r="AM75" s="5"/>
      <c r="AN75" s="5"/>
      <c r="AO75" s="5"/>
      <c r="AP75" s="5"/>
      <c r="AQ75" s="5"/>
      <c r="AR75" s="219"/>
      <c r="AS75" s="218"/>
      <c r="AT75" s="83" t="str">
        <f>verze!E120</f>
        <v>zásuvka ze skleněnou bočnicí</v>
      </c>
      <c r="AU75" s="5"/>
      <c r="AV75" s="5"/>
      <c r="AW75" s="89"/>
      <c r="AX75" s="89"/>
      <c r="AY75" s="89"/>
      <c r="AZ75" s="5"/>
      <c r="BA75" s="5"/>
      <c r="BB75" s="5"/>
      <c r="BC75" s="5"/>
      <c r="BD75" s="5"/>
      <c r="BE75" s="5"/>
      <c r="BF75" s="219"/>
      <c r="BG75" s="4"/>
    </row>
    <row r="76" spans="1:59" s="112" customFormat="1" ht="14.4" customHeight="1">
      <c r="B76" s="218"/>
      <c r="C76" s="5" t="str">
        <f>verze!E145</f>
        <v>výška bočnice :</v>
      </c>
      <c r="D76" s="5"/>
      <c r="E76" s="5"/>
      <c r="F76" s="89"/>
      <c r="G76" s="89" t="s">
        <v>495</v>
      </c>
      <c r="H76" s="89"/>
      <c r="I76" s="89"/>
      <c r="J76" s="5"/>
      <c r="K76" s="5"/>
      <c r="L76" s="5"/>
      <c r="M76" s="5"/>
      <c r="N76" s="5"/>
      <c r="O76" s="219"/>
      <c r="P76" s="218"/>
      <c r="Q76" s="5" t="str">
        <f>verze!E145</f>
        <v>výška bočnice :</v>
      </c>
      <c r="R76" s="5"/>
      <c r="S76" s="5"/>
      <c r="T76" s="89"/>
      <c r="U76" s="89" t="s">
        <v>496</v>
      </c>
      <c r="V76" s="89"/>
      <c r="W76" s="89"/>
      <c r="X76" s="5"/>
      <c r="Y76" s="5"/>
      <c r="Z76" s="5"/>
      <c r="AA76" s="5"/>
      <c r="AB76" s="5"/>
      <c r="AC76" s="5"/>
      <c r="AD76" s="219"/>
      <c r="AE76" s="218"/>
      <c r="AF76" s="5" t="str">
        <f>verze!E145</f>
        <v>výška bočnice :</v>
      </c>
      <c r="AG76" s="5"/>
      <c r="AH76" s="5"/>
      <c r="AI76" s="89"/>
      <c r="AJ76" s="89" t="s">
        <v>446</v>
      </c>
      <c r="AK76" s="89"/>
      <c r="AL76" s="89"/>
      <c r="AM76" s="5"/>
      <c r="AN76" s="5"/>
      <c r="AO76" s="5"/>
      <c r="AP76" s="5"/>
      <c r="AQ76" s="5"/>
      <c r="AR76" s="219"/>
      <c r="AS76" s="218"/>
      <c r="AT76" s="5" t="str">
        <f>verze!E145</f>
        <v>výška bočnice :</v>
      </c>
      <c r="AU76" s="5"/>
      <c r="AV76" s="5"/>
      <c r="AW76" s="89"/>
      <c r="AX76" s="89" t="s">
        <v>446</v>
      </c>
      <c r="AY76" s="89"/>
      <c r="AZ76" s="89"/>
      <c r="BA76" s="5"/>
      <c r="BB76" s="5"/>
      <c r="BC76" s="5"/>
      <c r="BD76" s="5"/>
      <c r="BE76" s="5"/>
      <c r="BF76" s="219"/>
      <c r="BG76" s="4"/>
    </row>
    <row r="77" spans="1:59" s="112" customFormat="1" ht="14.4" customHeight="1">
      <c r="B77" s="218"/>
      <c r="C77" s="5"/>
      <c r="D77" s="5"/>
      <c r="E77" s="5"/>
      <c r="F77" s="89"/>
      <c r="G77" s="543"/>
      <c r="H77" s="543"/>
      <c r="I77" s="543"/>
      <c r="J77" s="5"/>
      <c r="K77" s="5"/>
      <c r="L77" s="5"/>
      <c r="M77" s="5"/>
      <c r="N77" s="5"/>
      <c r="O77" s="219"/>
      <c r="P77" s="218"/>
      <c r="Q77" s="5"/>
      <c r="R77" s="5"/>
      <c r="S77" s="5"/>
      <c r="T77" s="89"/>
      <c r="U77" s="543"/>
      <c r="V77" s="543"/>
      <c r="W77" s="543"/>
      <c r="X77" s="5"/>
      <c r="Y77" s="5"/>
      <c r="Z77" s="5"/>
      <c r="AA77" s="5"/>
      <c r="AB77" s="5"/>
      <c r="AC77" s="5"/>
      <c r="AD77" s="219"/>
      <c r="AE77" s="218"/>
      <c r="AF77" s="5"/>
      <c r="AG77" s="5"/>
      <c r="AH77" s="5"/>
      <c r="AI77" s="89"/>
      <c r="AJ77" s="543"/>
      <c r="AK77" s="543"/>
      <c r="AL77" s="543"/>
      <c r="AM77" s="5"/>
      <c r="AN77" s="5"/>
      <c r="AO77" s="5"/>
      <c r="AP77" s="5"/>
      <c r="AQ77" s="5"/>
      <c r="AR77" s="219"/>
      <c r="AS77" s="218"/>
      <c r="AT77" s="5"/>
      <c r="AU77" s="5"/>
      <c r="AV77" s="5"/>
      <c r="AW77" s="89"/>
      <c r="AX77" s="543"/>
      <c r="AY77" s="543"/>
      <c r="AZ77" s="543"/>
      <c r="BA77" s="5"/>
      <c r="BB77" s="5"/>
      <c r="BC77" s="5"/>
      <c r="BD77" s="5"/>
      <c r="BE77" s="5"/>
      <c r="BF77" s="219"/>
      <c r="BG77" s="4"/>
    </row>
    <row r="78" spans="1:59" s="112" customFormat="1" ht="14.4" customHeight="1">
      <c r="B78" s="218"/>
      <c r="C78" s="5"/>
      <c r="D78" s="5"/>
      <c r="E78" s="5"/>
      <c r="F78" s="89"/>
      <c r="G78" s="89"/>
      <c r="H78" s="89"/>
      <c r="I78" s="5"/>
      <c r="J78" s="5"/>
      <c r="K78" s="5"/>
      <c r="L78" s="5"/>
      <c r="M78" s="5"/>
      <c r="N78" s="5"/>
      <c r="O78" s="219"/>
      <c r="P78" s="218"/>
      <c r="Q78" s="5"/>
      <c r="R78" s="5"/>
      <c r="S78" s="5"/>
      <c r="T78" s="89"/>
      <c r="U78" s="89"/>
      <c r="V78" s="89"/>
      <c r="W78" s="5"/>
      <c r="X78" s="5"/>
      <c r="Y78" s="5"/>
      <c r="Z78" s="5"/>
      <c r="AA78" s="5"/>
      <c r="AB78" s="5"/>
      <c r="AC78" s="5"/>
      <c r="AD78" s="219"/>
      <c r="AE78" s="218"/>
      <c r="AF78" s="5"/>
      <c r="AG78" s="5"/>
      <c r="AH78" s="5"/>
      <c r="AI78" s="89"/>
      <c r="AJ78" s="89"/>
      <c r="AK78" s="89"/>
      <c r="AL78" s="5"/>
      <c r="AM78" s="5"/>
      <c r="AN78" s="5"/>
      <c r="AO78" s="5"/>
      <c r="AP78" s="5"/>
      <c r="AQ78" s="5"/>
      <c r="AR78" s="219"/>
      <c r="AS78" s="218"/>
      <c r="AT78" s="5"/>
      <c r="AU78" s="5"/>
      <c r="AV78" s="5"/>
      <c r="AW78" s="89"/>
      <c r="AX78" s="89"/>
      <c r="AY78" s="89"/>
      <c r="AZ78" s="5"/>
      <c r="BA78" s="5"/>
      <c r="BB78" s="5"/>
      <c r="BC78" s="5"/>
      <c r="BD78" s="5"/>
      <c r="BE78" s="5"/>
      <c r="BF78" s="219"/>
      <c r="BG78" s="4"/>
    </row>
    <row r="79" spans="1:59" s="112" customFormat="1" ht="14.4" customHeight="1">
      <c r="B79" s="220"/>
      <c r="C79" s="5"/>
      <c r="D79" s="5"/>
      <c r="E79" s="5"/>
      <c r="F79" s="89"/>
      <c r="G79" s="89"/>
      <c r="H79" s="89"/>
      <c r="I79" s="56"/>
      <c r="J79" s="56"/>
      <c r="K79" s="56"/>
      <c r="L79" s="56"/>
      <c r="M79" s="541">
        <f>SUM('AVT-celny-101+187'!O19:AD19)+SUM('AVT-celny-101+187'!W20:AF20)+SUM('AVT-celny-101+187'!O25:AD25)</f>
        <v>0</v>
      </c>
      <c r="N79" s="541"/>
      <c r="O79" s="542"/>
      <c r="P79" s="220"/>
      <c r="Q79" s="5"/>
      <c r="R79" s="5"/>
      <c r="S79" s="5"/>
      <c r="T79" s="89"/>
      <c r="U79" s="89"/>
      <c r="V79" s="89"/>
      <c r="W79" s="56"/>
      <c r="X79" s="56"/>
      <c r="Y79" s="56"/>
      <c r="Z79" s="56"/>
      <c r="AA79" s="56"/>
      <c r="AB79" s="541">
        <f>SUM('AVT-celny-139+187'!O19:AD19)+SUM('AVT-celny-139+187'!W20:AF20)+SUM('AVT-celny-139+187'!O25:AD25)</f>
        <v>0</v>
      </c>
      <c r="AC79" s="541"/>
      <c r="AD79" s="542"/>
      <c r="AE79" s="220"/>
      <c r="AF79" s="5"/>
      <c r="AG79" s="5"/>
      <c r="AH79" s="5"/>
      <c r="AI79" s="89"/>
      <c r="AJ79" s="89"/>
      <c r="AK79" s="89"/>
      <c r="AL79" s="56"/>
      <c r="AM79" s="56"/>
      <c r="AN79" s="56"/>
      <c r="AO79" s="56"/>
      <c r="AP79" s="541">
        <f>SUM('AVT-celny-2x187'!O19:AD19)+SUM('AVT-celny-2x187'!W20:AF20)+SUM('AVT-celny-2x187'!O25:AD25)</f>
        <v>0</v>
      </c>
      <c r="AQ79" s="541"/>
      <c r="AR79" s="542"/>
      <c r="AS79" s="220"/>
      <c r="AT79" s="5"/>
      <c r="AU79" s="5"/>
      <c r="AV79" s="5"/>
      <c r="AW79" s="89"/>
      <c r="AX79" s="89"/>
      <c r="AY79" s="89"/>
      <c r="AZ79" s="56"/>
      <c r="BA79" s="56"/>
      <c r="BB79" s="56"/>
      <c r="BC79" s="56"/>
      <c r="BD79" s="541">
        <f>SUM('AVT-celny-2x187In'!S19:AD19)+SUM('AVT-celny-2x187In'!W20:AF20)+SUM('AVT-celny-2x187In'!S25:AD25)</f>
        <v>0</v>
      </c>
      <c r="BE79" s="541"/>
      <c r="BF79" s="542"/>
      <c r="BG79" s="27"/>
    </row>
    <row r="80" spans="1:59" s="112" customFormat="1" ht="14.4" customHeight="1">
      <c r="B80" s="220"/>
      <c r="C80" s="5"/>
      <c r="D80" s="5"/>
      <c r="E80" s="5"/>
      <c r="F80" s="89"/>
      <c r="G80" s="89"/>
      <c r="H80" s="89"/>
      <c r="I80" s="56"/>
      <c r="J80" s="56"/>
      <c r="K80" s="56"/>
      <c r="L80" s="56"/>
      <c r="M80" s="541"/>
      <c r="N80" s="541"/>
      <c r="O80" s="542"/>
      <c r="P80" s="220"/>
      <c r="Q80" s="5"/>
      <c r="R80" s="5"/>
      <c r="S80" s="5"/>
      <c r="T80" s="89"/>
      <c r="U80" s="89"/>
      <c r="V80" s="89"/>
      <c r="W80" s="56"/>
      <c r="X80" s="56"/>
      <c r="Y80" s="56"/>
      <c r="Z80" s="56"/>
      <c r="AA80" s="56"/>
      <c r="AB80" s="541"/>
      <c r="AC80" s="541"/>
      <c r="AD80" s="542"/>
      <c r="AE80" s="220"/>
      <c r="AF80" s="5"/>
      <c r="AG80" s="5"/>
      <c r="AH80" s="5"/>
      <c r="AI80" s="89"/>
      <c r="AJ80" s="89"/>
      <c r="AK80" s="89"/>
      <c r="AL80" s="56"/>
      <c r="AM80" s="56"/>
      <c r="AN80" s="56"/>
      <c r="AO80" s="56"/>
      <c r="AP80" s="541"/>
      <c r="AQ80" s="541"/>
      <c r="AR80" s="542"/>
      <c r="AS80" s="220"/>
      <c r="AT80" s="5"/>
      <c r="AU80" s="5"/>
      <c r="AV80" s="5"/>
      <c r="AW80" s="89"/>
      <c r="AX80" s="89"/>
      <c r="AY80" s="89"/>
      <c r="AZ80" s="56"/>
      <c r="BA80" s="56"/>
      <c r="BB80" s="56"/>
      <c r="BC80" s="56"/>
      <c r="BD80" s="541"/>
      <c r="BE80" s="541"/>
      <c r="BF80" s="542"/>
      <c r="BG80" s="27"/>
    </row>
    <row r="81" spans="1:59" s="112" customFormat="1" ht="14.4" customHeight="1" thickBot="1">
      <c r="A81" s="4"/>
      <c r="B81" s="225"/>
      <c r="C81" s="226"/>
      <c r="D81" s="226"/>
      <c r="E81" s="226"/>
      <c r="F81" s="226"/>
      <c r="G81" s="226"/>
      <c r="H81" s="226"/>
      <c r="I81" s="226"/>
      <c r="J81" s="226"/>
      <c r="K81" s="226"/>
      <c r="L81" s="223"/>
      <c r="M81" s="223"/>
      <c r="N81" s="223"/>
      <c r="O81" s="224"/>
      <c r="P81" s="225"/>
      <c r="Q81" s="226"/>
      <c r="R81" s="226"/>
      <c r="S81" s="226"/>
      <c r="T81" s="226"/>
      <c r="U81" s="226"/>
      <c r="V81" s="226"/>
      <c r="W81" s="226"/>
      <c r="X81" s="226"/>
      <c r="Y81" s="223"/>
      <c r="Z81" s="226"/>
      <c r="AA81" s="223"/>
      <c r="AB81" s="223"/>
      <c r="AC81" s="223"/>
      <c r="AD81" s="224"/>
      <c r="AE81" s="225"/>
      <c r="AF81" s="226"/>
      <c r="AG81" s="226"/>
      <c r="AH81" s="226"/>
      <c r="AI81" s="226"/>
      <c r="AJ81" s="226"/>
      <c r="AK81" s="226"/>
      <c r="AL81" s="226"/>
      <c r="AM81" s="226"/>
      <c r="AN81" s="226"/>
      <c r="AO81" s="223"/>
      <c r="AP81" s="223"/>
      <c r="AQ81" s="223"/>
      <c r="AR81" s="224"/>
      <c r="AS81" s="225"/>
      <c r="AT81" s="226"/>
      <c r="AU81" s="226"/>
      <c r="AV81" s="226"/>
      <c r="AW81" s="226"/>
      <c r="AX81" s="226"/>
      <c r="AY81" s="226"/>
      <c r="AZ81" s="226"/>
      <c r="BA81" s="226"/>
      <c r="BB81" s="226"/>
      <c r="BC81" s="223"/>
      <c r="BD81" s="223"/>
      <c r="BE81" s="223"/>
      <c r="BF81" s="224"/>
    </row>
    <row r="82" spans="1:59" s="112" customFormat="1" ht="14.4" customHeight="1" thickTop="1">
      <c r="B82" s="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"/>
      <c r="N82" s="5"/>
      <c r="O82" s="5"/>
      <c r="P82" s="5"/>
      <c r="Q82" s="204"/>
      <c r="R82" s="204"/>
      <c r="S82" s="204"/>
      <c r="T82" s="204"/>
      <c r="U82" s="204"/>
      <c r="V82" s="204"/>
      <c r="W82" s="56"/>
      <c r="X82" s="56"/>
      <c r="Y82" s="56"/>
      <c r="Z82" s="56"/>
      <c r="AA82" s="56"/>
      <c r="AB82" s="279"/>
      <c r="AC82" s="279"/>
      <c r="AD82" s="279"/>
      <c r="AE82" s="56"/>
      <c r="AF82" s="85"/>
      <c r="AG82" s="85"/>
      <c r="AH82" s="85"/>
      <c r="AI82" s="85"/>
      <c r="AJ82" s="85"/>
      <c r="AK82" s="85"/>
      <c r="AL82" s="27"/>
      <c r="AM82" s="27"/>
      <c r="AN82" s="27"/>
      <c r="AO82" s="27"/>
      <c r="AP82" s="85"/>
      <c r="AQ82" s="85"/>
      <c r="AR82" s="86"/>
      <c r="AS82" s="56"/>
      <c r="AT82" s="85"/>
      <c r="AU82" s="85"/>
      <c r="AV82" s="85"/>
      <c r="AW82" s="85"/>
      <c r="AX82" s="85"/>
      <c r="AY82" s="85"/>
      <c r="AZ82" s="27"/>
      <c r="BA82" s="27"/>
      <c r="BB82" s="27"/>
      <c r="BC82" s="27"/>
      <c r="BD82" s="85"/>
      <c r="BE82" s="85"/>
      <c r="BF82" s="86"/>
      <c r="BG82" s="5"/>
    </row>
    <row r="83" spans="1:59" s="112" customFormat="1" ht="23.1" customHeight="1">
      <c r="A83" s="205"/>
      <c r="B83" s="212" t="str">
        <f>verze!E143</f>
        <v>Vysoké potravinové skříně</v>
      </c>
      <c r="C83" s="212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7"/>
      <c r="O83" s="208"/>
      <c r="P83" s="209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09"/>
      <c r="AB83" s="209"/>
      <c r="AC83" s="211"/>
      <c r="AD83" s="208"/>
      <c r="AE83" s="209"/>
      <c r="AF83" s="210"/>
      <c r="AG83" s="210"/>
      <c r="AH83" s="210"/>
      <c r="AI83" s="210"/>
      <c r="AJ83" s="210"/>
      <c r="AK83" s="210"/>
      <c r="AL83" s="210"/>
      <c r="AM83" s="210"/>
      <c r="AN83" s="210"/>
      <c r="AO83" s="209"/>
      <c r="AP83" s="209"/>
      <c r="AQ83" s="210"/>
      <c r="AR83" s="208"/>
      <c r="AS83" s="209"/>
      <c r="AT83" s="210"/>
      <c r="AU83" s="210"/>
      <c r="AV83" s="210"/>
      <c r="AW83" s="210"/>
      <c r="AX83" s="210"/>
      <c r="AY83" s="210"/>
      <c r="AZ83" s="210"/>
      <c r="BA83" s="210"/>
      <c r="BB83" s="210"/>
      <c r="BC83" s="209"/>
      <c r="BD83" s="209"/>
      <c r="BE83" s="210"/>
      <c r="BF83" s="208"/>
      <c r="BG83" s="4"/>
    </row>
    <row r="84" spans="1:59" s="112" customFormat="1" ht="14.4" customHeight="1" thickBot="1">
      <c r="B84" s="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"/>
      <c r="N84" s="5"/>
      <c r="O84" s="5"/>
      <c r="P84" s="5"/>
      <c r="Q84" s="204"/>
      <c r="R84" s="204"/>
      <c r="S84" s="204"/>
      <c r="T84" s="204"/>
      <c r="U84" s="204"/>
      <c r="V84" s="204"/>
      <c r="W84" s="56"/>
      <c r="X84" s="56"/>
      <c r="Y84" s="56"/>
      <c r="Z84" s="56"/>
      <c r="AA84" s="56"/>
      <c r="AB84" s="279"/>
      <c r="AC84" s="279"/>
      <c r="AD84" s="279"/>
      <c r="AE84" s="56"/>
      <c r="AF84" s="85"/>
      <c r="AG84" s="85"/>
      <c r="AH84" s="85"/>
      <c r="AI84" s="85"/>
      <c r="AJ84" s="85"/>
      <c r="AK84" s="85"/>
      <c r="AL84" s="56"/>
      <c r="AM84" s="56"/>
      <c r="AN84" s="56"/>
      <c r="AO84" s="56"/>
      <c r="AP84" s="85"/>
      <c r="AQ84" s="85"/>
      <c r="AR84" s="86"/>
      <c r="AS84" s="56"/>
      <c r="AT84" s="85"/>
      <c r="AU84" s="85"/>
      <c r="AV84" s="85"/>
      <c r="AW84" s="85"/>
      <c r="AX84" s="85"/>
      <c r="AY84" s="85"/>
      <c r="AZ84" s="56"/>
      <c r="BA84" s="56"/>
      <c r="BB84" s="56"/>
      <c r="BC84" s="56"/>
      <c r="BD84" s="85"/>
      <c r="BE84" s="85"/>
      <c r="BF84" s="86"/>
      <c r="BG84" s="5"/>
    </row>
    <row r="85" spans="1:59" s="112" customFormat="1" ht="14.4" customHeight="1" thickTop="1">
      <c r="B85" s="213"/>
      <c r="C85" s="214" t="str">
        <f>verze!E139</f>
        <v>potravinová skříň vysoká výsuvná</v>
      </c>
      <c r="D85" s="215"/>
      <c r="E85" s="215"/>
      <c r="F85" s="215"/>
      <c r="G85" s="215"/>
      <c r="H85" s="215"/>
      <c r="I85" s="215"/>
      <c r="J85" s="216"/>
      <c r="K85" s="216"/>
      <c r="L85" s="216"/>
      <c r="M85" s="216"/>
      <c r="N85" s="216"/>
      <c r="O85" s="217"/>
      <c r="P85" s="213"/>
      <c r="Q85" s="214" t="str">
        <f>verze!E139</f>
        <v>potravinová skříň vysoká výsuvná</v>
      </c>
      <c r="R85" s="215"/>
      <c r="S85" s="215"/>
      <c r="T85" s="215"/>
      <c r="U85" s="215"/>
      <c r="V85" s="215"/>
      <c r="W85" s="215"/>
      <c r="X85" s="216"/>
      <c r="Y85" s="216"/>
      <c r="Z85" s="216"/>
      <c r="AA85" s="216"/>
      <c r="AB85" s="216"/>
      <c r="AC85" s="216"/>
      <c r="AD85" s="217"/>
      <c r="AE85" s="479" t="str">
        <f>IF(AND(AP90=0,SUM('potr-v-DS'!O84:AH84)&lt;&gt;0),verze!E118&amp;"  ","")</f>
        <v/>
      </c>
      <c r="AF85" s="480"/>
      <c r="AG85" s="480"/>
      <c r="AH85" s="480"/>
      <c r="AI85" s="480"/>
      <c r="AJ85" s="480"/>
      <c r="AK85" s="480"/>
      <c r="AL85" s="480"/>
      <c r="AM85" s="480"/>
      <c r="AN85" s="480"/>
      <c r="AO85" s="480"/>
      <c r="AP85" s="480"/>
      <c r="AQ85" s="480"/>
      <c r="AR85" s="481"/>
      <c r="AS85" s="452"/>
      <c r="AT85" s="453"/>
      <c r="AU85" s="453"/>
      <c r="AV85" s="453"/>
      <c r="AW85" s="453"/>
      <c r="AX85" s="453"/>
      <c r="AY85" s="453"/>
      <c r="AZ85" s="453"/>
      <c r="BA85" s="453"/>
      <c r="BB85" s="453"/>
      <c r="BC85" s="453"/>
      <c r="BD85" s="453"/>
      <c r="BE85" s="453"/>
      <c r="BF85" s="454"/>
      <c r="BG85" s="4"/>
    </row>
    <row r="86" spans="1:59" s="112" customFormat="1" ht="14.4" customHeight="1">
      <c r="B86" s="218"/>
      <c r="C86" s="83" t="str">
        <f>verze!E119</f>
        <v>zásuvka základní</v>
      </c>
      <c r="D86" s="5"/>
      <c r="E86" s="5"/>
      <c r="F86" s="89"/>
      <c r="G86" s="89"/>
      <c r="H86" s="89"/>
      <c r="I86" s="5"/>
      <c r="J86" s="5"/>
      <c r="K86" s="5"/>
      <c r="L86" s="5"/>
      <c r="M86" s="5"/>
      <c r="N86" s="5"/>
      <c r="O86" s="219"/>
      <c r="P86" s="218"/>
      <c r="Q86" s="83" t="str">
        <f>verze!E120</f>
        <v>zásuvka ze skleněnou bočnicí</v>
      </c>
      <c r="R86" s="5"/>
      <c r="S86" s="5"/>
      <c r="T86" s="89"/>
      <c r="U86" s="89"/>
      <c r="V86" s="89"/>
      <c r="W86" s="5"/>
      <c r="X86" s="5"/>
      <c r="Y86" s="5"/>
      <c r="Z86" s="5"/>
      <c r="AA86" s="5"/>
      <c r="AB86" s="5"/>
      <c r="AC86" s="5"/>
      <c r="AD86" s="219"/>
      <c r="AE86" s="482"/>
      <c r="AF86" s="483"/>
      <c r="AG86" s="483"/>
      <c r="AH86" s="483"/>
      <c r="AI86" s="483"/>
      <c r="AJ86" s="483"/>
      <c r="AK86" s="483"/>
      <c r="AL86" s="483"/>
      <c r="AM86" s="483"/>
      <c r="AN86" s="483"/>
      <c r="AO86" s="483"/>
      <c r="AP86" s="483"/>
      <c r="AQ86" s="483"/>
      <c r="AR86" s="484"/>
      <c r="AS86" s="455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456"/>
      <c r="BG86" s="4"/>
    </row>
    <row r="87" spans="1:59" s="112" customFormat="1" ht="14.4" customHeight="1">
      <c r="B87" s="218"/>
      <c r="C87" s="5"/>
      <c r="D87" s="5"/>
      <c r="E87" s="5"/>
      <c r="F87" s="89"/>
      <c r="G87" s="89"/>
      <c r="H87" s="89"/>
      <c r="I87" s="5"/>
      <c r="J87" s="5"/>
      <c r="K87" s="5"/>
      <c r="L87" s="5"/>
      <c r="M87" s="5"/>
      <c r="N87" s="5"/>
      <c r="O87" s="219"/>
      <c r="P87" s="218"/>
      <c r="Q87" s="5"/>
      <c r="R87" s="5"/>
      <c r="S87" s="5"/>
      <c r="T87" s="89"/>
      <c r="U87" s="89"/>
      <c r="V87" s="89"/>
      <c r="W87" s="89"/>
      <c r="X87" s="5"/>
      <c r="Y87" s="5"/>
      <c r="Z87" s="5"/>
      <c r="AA87" s="5"/>
      <c r="AB87" s="5"/>
      <c r="AC87" s="5"/>
      <c r="AD87" s="219"/>
      <c r="AE87" s="482"/>
      <c r="AF87" s="483"/>
      <c r="AG87" s="483"/>
      <c r="AH87" s="483"/>
      <c r="AI87" s="483"/>
      <c r="AJ87" s="483"/>
      <c r="AK87" s="483"/>
      <c r="AL87" s="483"/>
      <c r="AM87" s="483"/>
      <c r="AN87" s="483"/>
      <c r="AO87" s="483"/>
      <c r="AP87" s="483"/>
      <c r="AQ87" s="483"/>
      <c r="AR87" s="484"/>
      <c r="AS87" s="455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456"/>
      <c r="BG87" s="4"/>
    </row>
    <row r="88" spans="1:59" s="112" customFormat="1" ht="14.4" customHeight="1">
      <c r="B88" s="218"/>
      <c r="C88" s="5"/>
      <c r="D88" s="5"/>
      <c r="E88" s="5"/>
      <c r="F88" s="89"/>
      <c r="G88" s="89"/>
      <c r="H88" s="89"/>
      <c r="I88" s="5"/>
      <c r="J88" s="5"/>
      <c r="K88" s="5"/>
      <c r="L88" s="5"/>
      <c r="M88" s="5"/>
      <c r="N88" s="5"/>
      <c r="O88" s="219"/>
      <c r="P88" s="218"/>
      <c r="Q88" s="5"/>
      <c r="R88" s="5"/>
      <c r="S88" s="5"/>
      <c r="T88" s="89"/>
      <c r="U88" s="543"/>
      <c r="V88" s="543"/>
      <c r="W88" s="543"/>
      <c r="X88" s="5"/>
      <c r="Y88" s="5"/>
      <c r="Z88" s="5"/>
      <c r="AA88" s="5"/>
      <c r="AB88" s="5"/>
      <c r="AC88" s="5"/>
      <c r="AD88" s="219"/>
      <c r="AE88" s="482"/>
      <c r="AF88" s="483"/>
      <c r="AG88" s="483"/>
      <c r="AH88" s="483"/>
      <c r="AI88" s="483"/>
      <c r="AJ88" s="483"/>
      <c r="AK88" s="483"/>
      <c r="AL88" s="483"/>
      <c r="AM88" s="483"/>
      <c r="AN88" s="483"/>
      <c r="AO88" s="483"/>
      <c r="AP88" s="483"/>
      <c r="AQ88" s="483"/>
      <c r="AR88" s="484"/>
      <c r="AS88" s="455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456"/>
      <c r="BG88" s="4"/>
    </row>
    <row r="89" spans="1:59" s="112" customFormat="1" ht="14.4" customHeight="1">
      <c r="B89" s="218"/>
      <c r="C89" s="5"/>
      <c r="D89" s="5"/>
      <c r="E89" s="5"/>
      <c r="F89" s="89"/>
      <c r="G89" s="89"/>
      <c r="H89" s="89"/>
      <c r="I89" s="5"/>
      <c r="J89" s="5"/>
      <c r="K89" s="5"/>
      <c r="L89" s="5"/>
      <c r="M89" s="5"/>
      <c r="N89" s="5"/>
      <c r="O89" s="219"/>
      <c r="P89" s="218"/>
      <c r="Q89" s="5"/>
      <c r="R89" s="5"/>
      <c r="S89" s="5"/>
      <c r="T89" s="89"/>
      <c r="U89" s="89"/>
      <c r="V89" s="89"/>
      <c r="W89" s="5"/>
      <c r="X89" s="5"/>
      <c r="Y89" s="5"/>
      <c r="Z89" s="5"/>
      <c r="AA89" s="5"/>
      <c r="AB89" s="5"/>
      <c r="AC89" s="5"/>
      <c r="AD89" s="219"/>
      <c r="AE89" s="482"/>
      <c r="AF89" s="483"/>
      <c r="AG89" s="483"/>
      <c r="AH89" s="483"/>
      <c r="AI89" s="483"/>
      <c r="AJ89" s="483"/>
      <c r="AK89" s="483"/>
      <c r="AL89" s="483"/>
      <c r="AM89" s="483"/>
      <c r="AN89" s="483"/>
      <c r="AO89" s="483"/>
      <c r="AP89" s="483"/>
      <c r="AQ89" s="483"/>
      <c r="AR89" s="484"/>
      <c r="AS89" s="455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456"/>
      <c r="BG89" s="4"/>
    </row>
    <row r="90" spans="1:59" s="112" customFormat="1" ht="14.4" customHeight="1">
      <c r="B90" s="220"/>
      <c r="C90" s="5"/>
      <c r="D90" s="5"/>
      <c r="E90" s="5"/>
      <c r="F90" s="89"/>
      <c r="G90" s="89"/>
      <c r="H90" s="89"/>
      <c r="I90" s="56"/>
      <c r="J90" s="56"/>
      <c r="K90" s="56"/>
      <c r="L90" s="56"/>
      <c r="M90" s="541">
        <f>SUM('potr-v-R'!O19:AR21)+SUM('potr-v-R'!O26:AR27)</f>
        <v>0</v>
      </c>
      <c r="N90" s="541"/>
      <c r="O90" s="542"/>
      <c r="P90" s="220"/>
      <c r="Q90" s="5"/>
      <c r="R90" s="5"/>
      <c r="S90" s="5"/>
      <c r="T90" s="89"/>
      <c r="U90" s="89"/>
      <c r="V90" s="89"/>
      <c r="W90" s="56"/>
      <c r="X90" s="56"/>
      <c r="Y90" s="56"/>
      <c r="Z90" s="56"/>
      <c r="AA90" s="56"/>
      <c r="AB90" s="541">
        <v>0</v>
      </c>
      <c r="AC90" s="541"/>
      <c r="AD90" s="542"/>
      <c r="AE90" s="482"/>
      <c r="AF90" s="483"/>
      <c r="AG90" s="483"/>
      <c r="AH90" s="483"/>
      <c r="AI90" s="483"/>
      <c r="AJ90" s="483"/>
      <c r="AK90" s="483"/>
      <c r="AL90" s="483"/>
      <c r="AM90" s="483"/>
      <c r="AN90" s="483"/>
      <c r="AO90" s="483"/>
      <c r="AP90" s="483"/>
      <c r="AQ90" s="483"/>
      <c r="AR90" s="484"/>
      <c r="AS90" s="455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456"/>
      <c r="BG90" s="27"/>
    </row>
    <row r="91" spans="1:59" s="112" customFormat="1" ht="14.4" customHeight="1">
      <c r="B91" s="220"/>
      <c r="C91" s="5"/>
      <c r="D91" s="5"/>
      <c r="E91" s="5"/>
      <c r="F91" s="89"/>
      <c r="G91" s="89"/>
      <c r="H91" s="89"/>
      <c r="I91" s="56"/>
      <c r="J91" s="56"/>
      <c r="K91" s="56"/>
      <c r="L91" s="56"/>
      <c r="M91" s="541"/>
      <c r="N91" s="541"/>
      <c r="O91" s="542"/>
      <c r="P91" s="220"/>
      <c r="Q91" s="5"/>
      <c r="R91" s="5"/>
      <c r="S91" s="5"/>
      <c r="T91" s="89"/>
      <c r="U91" s="89"/>
      <c r="V91" s="89"/>
      <c r="W91" s="56"/>
      <c r="X91" s="56"/>
      <c r="Y91" s="56"/>
      <c r="Z91" s="56"/>
      <c r="AA91" s="56"/>
      <c r="AB91" s="541"/>
      <c r="AC91" s="541"/>
      <c r="AD91" s="542"/>
      <c r="AE91" s="482"/>
      <c r="AF91" s="483"/>
      <c r="AG91" s="483"/>
      <c r="AH91" s="483"/>
      <c r="AI91" s="483"/>
      <c r="AJ91" s="483"/>
      <c r="AK91" s="483"/>
      <c r="AL91" s="483"/>
      <c r="AM91" s="483"/>
      <c r="AN91" s="483"/>
      <c r="AO91" s="483"/>
      <c r="AP91" s="483"/>
      <c r="AQ91" s="483"/>
      <c r="AR91" s="484"/>
      <c r="AS91" s="455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456"/>
      <c r="BG91" s="27"/>
    </row>
    <row r="92" spans="1:59" s="112" customFormat="1" ht="14.4" customHeight="1" thickBot="1">
      <c r="A92" s="4"/>
      <c r="B92" s="225"/>
      <c r="C92" s="226"/>
      <c r="D92" s="226"/>
      <c r="E92" s="226"/>
      <c r="F92" s="226"/>
      <c r="G92" s="226"/>
      <c r="H92" s="226"/>
      <c r="I92" s="226"/>
      <c r="J92" s="226"/>
      <c r="K92" s="226"/>
      <c r="L92" s="223"/>
      <c r="M92" s="223"/>
      <c r="N92" s="223"/>
      <c r="O92" s="289" t="str">
        <f>IF(AND(M90=0,SUM('potr-v-R'!O84:AH84)&lt;&gt;0),verze!E118&amp;"  ","")</f>
        <v/>
      </c>
      <c r="P92" s="225"/>
      <c r="Q92" s="226"/>
      <c r="R92" s="226"/>
      <c r="S92" s="226"/>
      <c r="T92" s="226"/>
      <c r="U92" s="226"/>
      <c r="V92" s="226"/>
      <c r="W92" s="226"/>
      <c r="X92" s="226"/>
      <c r="Y92" s="223"/>
      <c r="Z92" s="226"/>
      <c r="AA92" s="223"/>
      <c r="AB92" s="223"/>
      <c r="AC92" s="223"/>
      <c r="AD92" s="224"/>
      <c r="AE92" s="485"/>
      <c r="AF92" s="486"/>
      <c r="AG92" s="486"/>
      <c r="AH92" s="486"/>
      <c r="AI92" s="486"/>
      <c r="AJ92" s="486"/>
      <c r="AK92" s="486"/>
      <c r="AL92" s="486"/>
      <c r="AM92" s="486"/>
      <c r="AN92" s="486"/>
      <c r="AO92" s="486"/>
      <c r="AP92" s="486"/>
      <c r="AQ92" s="486"/>
      <c r="AR92" s="487"/>
      <c r="AS92" s="457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9"/>
    </row>
    <row r="93" spans="1:59" s="112" customFormat="1" ht="14.4" customHeight="1" thickTop="1" thickBo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  <c r="O93" s="7"/>
      <c r="P93" s="4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6"/>
      <c r="AD93" s="7"/>
      <c r="AE93" s="4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6"/>
      <c r="AS93" s="4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6"/>
      <c r="BG93" s="4"/>
    </row>
    <row r="94" spans="1:59" s="112" customFormat="1" ht="14.4" customHeight="1" thickTop="1">
      <c r="A94" s="4"/>
      <c r="B94" s="213"/>
      <c r="C94" s="214" t="str">
        <f>verze!E140</f>
        <v>potravinová skříň vysoká otvíravá</v>
      </c>
      <c r="D94" s="215"/>
      <c r="E94" s="215"/>
      <c r="F94" s="215"/>
      <c r="G94" s="215"/>
      <c r="H94" s="215"/>
      <c r="I94" s="215"/>
      <c r="J94" s="216"/>
      <c r="K94" s="216"/>
      <c r="L94" s="216"/>
      <c r="M94" s="216"/>
      <c r="N94" s="216"/>
      <c r="O94" s="217"/>
      <c r="P94" s="213"/>
      <c r="Q94" s="214" t="str">
        <f>verze!E140</f>
        <v>potravinová skříň vysoká otvíravá</v>
      </c>
      <c r="R94" s="215"/>
      <c r="S94" s="215"/>
      <c r="T94" s="215"/>
      <c r="U94" s="215"/>
      <c r="V94" s="215"/>
      <c r="W94" s="215"/>
      <c r="X94" s="216"/>
      <c r="Y94" s="216"/>
      <c r="Z94" s="216"/>
      <c r="AA94" s="216"/>
      <c r="AB94" s="216"/>
      <c r="AC94" s="216"/>
      <c r="AD94" s="217"/>
      <c r="AE94" s="452"/>
      <c r="AF94" s="453"/>
      <c r="AG94" s="453"/>
      <c r="AH94" s="453"/>
      <c r="AI94" s="453"/>
      <c r="AJ94" s="453"/>
      <c r="AK94" s="453"/>
      <c r="AL94" s="453"/>
      <c r="AM94" s="453"/>
      <c r="AN94" s="453"/>
      <c r="AO94" s="453"/>
      <c r="AP94" s="453"/>
      <c r="AQ94" s="453"/>
      <c r="AR94" s="454"/>
      <c r="AS94" s="213"/>
      <c r="AT94" s="214" t="str">
        <f>verze!E140</f>
        <v>potravinová skříň vysoká otvíravá</v>
      </c>
      <c r="AU94" s="285"/>
      <c r="AV94" s="285"/>
      <c r="AW94" s="285"/>
      <c r="AX94" s="285"/>
      <c r="AY94" s="285"/>
      <c r="AZ94" s="285"/>
      <c r="BA94" s="216"/>
      <c r="BB94" s="216"/>
      <c r="BC94" s="216"/>
      <c r="BD94" s="216"/>
      <c r="BE94" s="216"/>
      <c r="BF94" s="217"/>
      <c r="BG94" s="4"/>
    </row>
    <row r="95" spans="1:59" s="112" customFormat="1" ht="14.4" customHeight="1">
      <c r="A95" s="4"/>
      <c r="B95" s="218"/>
      <c r="C95" s="83" t="str">
        <f>verze!E119</f>
        <v>zásuvka základní</v>
      </c>
      <c r="D95" s="5"/>
      <c r="E95" s="5"/>
      <c r="F95" s="89"/>
      <c r="G95" s="84"/>
      <c r="H95" s="84"/>
      <c r="I95" s="84"/>
      <c r="J95" s="5"/>
      <c r="K95" s="5"/>
      <c r="L95" s="5"/>
      <c r="M95" s="5"/>
      <c r="N95" s="5"/>
      <c r="O95" s="219"/>
      <c r="P95" s="218"/>
      <c r="Q95" s="83" t="str">
        <f>verze!E120</f>
        <v>zásuvka ze skleněnou bočnicí</v>
      </c>
      <c r="R95" s="5"/>
      <c r="S95" s="5"/>
      <c r="T95" s="89"/>
      <c r="U95" s="89"/>
      <c r="V95" s="89"/>
      <c r="W95" s="5"/>
      <c r="X95" s="5"/>
      <c r="Y95" s="5"/>
      <c r="Z95" s="5"/>
      <c r="AA95" s="5"/>
      <c r="AB95" s="5"/>
      <c r="AC95" s="5"/>
      <c r="AD95" s="219"/>
      <c r="AE95" s="455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456"/>
      <c r="AS95" s="218"/>
      <c r="AT95" s="83" t="str">
        <f>verze!E120</f>
        <v>zásuvka ze skleněnou bočnicí</v>
      </c>
      <c r="AU95" s="286"/>
      <c r="AV95" s="286"/>
      <c r="AW95" s="286"/>
      <c r="AX95" s="286"/>
      <c r="AY95" s="286"/>
      <c r="AZ95" s="286"/>
      <c r="BA95" s="5"/>
      <c r="BB95" s="5"/>
      <c r="BC95" s="5"/>
      <c r="BD95" s="5"/>
      <c r="BE95" s="5"/>
      <c r="BF95" s="219"/>
      <c r="BG95" s="4"/>
    </row>
    <row r="96" spans="1:59" s="112" customFormat="1" ht="14.4" customHeight="1">
      <c r="A96" s="4"/>
      <c r="B96" s="218"/>
      <c r="C96" s="83"/>
      <c r="D96" s="5"/>
      <c r="E96" s="5"/>
      <c r="F96" s="89"/>
      <c r="G96" s="543"/>
      <c r="H96" s="543"/>
      <c r="I96" s="543"/>
      <c r="J96" s="5"/>
      <c r="K96" s="5"/>
      <c r="L96" s="5"/>
      <c r="M96" s="5"/>
      <c r="N96" s="5"/>
      <c r="O96" s="219"/>
      <c r="P96" s="218"/>
      <c r="Q96" s="5"/>
      <c r="R96" s="5"/>
      <c r="S96" s="5"/>
      <c r="T96" s="89"/>
      <c r="U96" s="89"/>
      <c r="V96" s="89"/>
      <c r="W96" s="89"/>
      <c r="X96" s="5"/>
      <c r="Y96" s="5"/>
      <c r="Z96" s="5"/>
      <c r="AA96" s="5"/>
      <c r="AB96" s="5"/>
      <c r="AC96" s="5"/>
      <c r="AD96" s="219"/>
      <c r="AE96" s="455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456"/>
      <c r="AS96" s="218"/>
      <c r="AT96" s="5"/>
      <c r="AU96" s="5"/>
      <c r="AV96" s="5"/>
      <c r="AW96" s="89"/>
      <c r="AX96" s="89"/>
      <c r="AY96" s="89"/>
      <c r="AZ96" s="5"/>
      <c r="BA96" s="5"/>
      <c r="BB96" s="5"/>
      <c r="BC96" s="5"/>
      <c r="BD96" s="5"/>
      <c r="BE96" s="5"/>
      <c r="BF96" s="219"/>
      <c r="BG96" s="4"/>
    </row>
    <row r="97" spans="1:59" s="112" customFormat="1" ht="14.4" customHeight="1">
      <c r="A97" s="4"/>
      <c r="B97" s="218"/>
      <c r="C97" s="5"/>
      <c r="D97" s="5"/>
      <c r="E97" s="5"/>
      <c r="F97" s="89"/>
      <c r="G97" s="89"/>
      <c r="H97" s="89"/>
      <c r="I97" s="5"/>
      <c r="J97" s="5"/>
      <c r="K97" s="5"/>
      <c r="L97" s="5"/>
      <c r="M97" s="5"/>
      <c r="N97" s="5"/>
      <c r="O97" s="219"/>
      <c r="P97" s="218"/>
      <c r="Q97" s="5"/>
      <c r="R97" s="5"/>
      <c r="S97" s="5"/>
      <c r="T97" s="89"/>
      <c r="U97" s="543"/>
      <c r="V97" s="543"/>
      <c r="W97" s="543"/>
      <c r="X97" s="5"/>
      <c r="Y97" s="5"/>
      <c r="Z97" s="5"/>
      <c r="AA97" s="5"/>
      <c r="AB97" s="5"/>
      <c r="AC97" s="5"/>
      <c r="AD97" s="219"/>
      <c r="AE97" s="455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456"/>
      <c r="AS97" s="218"/>
      <c r="AT97" s="5"/>
      <c r="AU97" s="5"/>
      <c r="AV97" s="5"/>
      <c r="AW97" s="89"/>
      <c r="AX97" s="89"/>
      <c r="AY97" s="89"/>
      <c r="AZ97" s="5"/>
      <c r="BA97" s="5"/>
      <c r="BB97" s="5"/>
      <c r="BC97" s="5"/>
      <c r="BD97" s="5"/>
      <c r="BE97" s="5"/>
      <c r="BF97" s="219"/>
      <c r="BG97" s="4"/>
    </row>
    <row r="98" spans="1:59" s="112" customFormat="1" ht="14.4" customHeight="1">
      <c r="A98" s="4"/>
      <c r="B98" s="218"/>
      <c r="C98" s="5"/>
      <c r="D98" s="5"/>
      <c r="E98" s="5"/>
      <c r="F98" s="89"/>
      <c r="G98" s="89"/>
      <c r="H98" s="89"/>
      <c r="I98" s="5"/>
      <c r="J98" s="5"/>
      <c r="K98" s="5"/>
      <c r="L98" s="5"/>
      <c r="M98" s="5"/>
      <c r="N98" s="5"/>
      <c r="O98" s="219"/>
      <c r="P98" s="218"/>
      <c r="Q98" s="5"/>
      <c r="R98" s="5"/>
      <c r="S98" s="5"/>
      <c r="T98" s="89"/>
      <c r="U98" s="89"/>
      <c r="V98" s="89"/>
      <c r="W98" s="5"/>
      <c r="X98" s="5"/>
      <c r="Y98" s="5"/>
      <c r="Z98" s="5"/>
      <c r="AA98" s="5"/>
      <c r="AB98" s="5"/>
      <c r="AC98" s="5"/>
      <c r="AD98" s="219"/>
      <c r="AE98" s="455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456"/>
      <c r="AS98" s="218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219"/>
      <c r="BG98" s="4"/>
    </row>
    <row r="99" spans="1:59" s="112" customFormat="1" ht="14.4" customHeight="1">
      <c r="A99" s="4"/>
      <c r="B99" s="220"/>
      <c r="C99" s="5"/>
      <c r="D99" s="5"/>
      <c r="E99" s="5"/>
      <c r="F99" s="89"/>
      <c r="G99" s="89"/>
      <c r="H99" s="89"/>
      <c r="I99" s="56"/>
      <c r="J99" s="56"/>
      <c r="K99" s="56"/>
      <c r="L99" s="56"/>
      <c r="M99" s="541">
        <f>SUM('potr-ot-R'!O19:AR21)+SUM('potr-ot-R'!O26:AR27)</f>
        <v>0</v>
      </c>
      <c r="N99" s="541"/>
      <c r="O99" s="542"/>
      <c r="P99" s="220"/>
      <c r="Q99" s="5"/>
      <c r="R99" s="5"/>
      <c r="S99" s="5"/>
      <c r="T99" s="89"/>
      <c r="U99" s="89"/>
      <c r="V99" s="89"/>
      <c r="W99" s="56"/>
      <c r="X99" s="56"/>
      <c r="Y99" s="56"/>
      <c r="Z99" s="56"/>
      <c r="AA99" s="56"/>
      <c r="AB99" s="541">
        <v>0</v>
      </c>
      <c r="AC99" s="541"/>
      <c r="AD99" s="542"/>
      <c r="AE99" s="455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456"/>
      <c r="AS99" s="220"/>
      <c r="AT99" s="5"/>
      <c r="AU99" s="5"/>
      <c r="AV99" s="5"/>
      <c r="AW99" s="5"/>
      <c r="AX99" s="5"/>
      <c r="AY99" s="5"/>
      <c r="AZ99" s="56"/>
      <c r="BA99" s="56"/>
      <c r="BB99" s="56"/>
      <c r="BC99" s="56"/>
      <c r="BD99" s="541">
        <f>SUM('potr-ot-DS'!O19:AR21)+SUM('potr-ot-DS'!O26:AR27)</f>
        <v>0</v>
      </c>
      <c r="BE99" s="541"/>
      <c r="BF99" s="542"/>
      <c r="BG99" s="4"/>
    </row>
    <row r="100" spans="1:59" s="112" customFormat="1" ht="14.4" customHeight="1">
      <c r="A100" s="4"/>
      <c r="B100" s="220"/>
      <c r="C100" s="5"/>
      <c r="D100" s="5"/>
      <c r="E100" s="5"/>
      <c r="F100" s="89"/>
      <c r="G100" s="89"/>
      <c r="H100" s="89"/>
      <c r="I100" s="56"/>
      <c r="J100" s="56"/>
      <c r="K100" s="56"/>
      <c r="L100" s="56"/>
      <c r="M100" s="541"/>
      <c r="N100" s="541"/>
      <c r="O100" s="542"/>
      <c r="P100" s="220"/>
      <c r="Q100" s="5"/>
      <c r="R100" s="5"/>
      <c r="S100" s="5"/>
      <c r="T100" s="89"/>
      <c r="U100" s="89"/>
      <c r="V100" s="89"/>
      <c r="W100" s="56"/>
      <c r="X100" s="56"/>
      <c r="Y100" s="56"/>
      <c r="Z100" s="56"/>
      <c r="AA100" s="56"/>
      <c r="AB100" s="541"/>
      <c r="AC100" s="541"/>
      <c r="AD100" s="542"/>
      <c r="AE100" s="455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456"/>
      <c r="AS100" s="220"/>
      <c r="AT100" s="5"/>
      <c r="AU100" s="5"/>
      <c r="AV100" s="5"/>
      <c r="AW100" s="5"/>
      <c r="AX100" s="5"/>
      <c r="AY100" s="5"/>
      <c r="AZ100" s="56"/>
      <c r="BA100" s="56"/>
      <c r="BB100" s="56"/>
      <c r="BC100" s="56"/>
      <c r="BD100" s="541"/>
      <c r="BE100" s="541"/>
      <c r="BF100" s="542"/>
      <c r="BG100" s="4"/>
    </row>
    <row r="101" spans="1:59" s="112" customFormat="1" ht="14.4" customHeight="1" thickBot="1">
      <c r="A101" s="4"/>
      <c r="B101" s="225"/>
      <c r="C101" s="226"/>
      <c r="D101" s="226"/>
      <c r="E101" s="226"/>
      <c r="F101" s="226"/>
      <c r="G101" s="226"/>
      <c r="H101" s="226"/>
      <c r="I101" s="226"/>
      <c r="J101" s="226"/>
      <c r="K101" s="226"/>
      <c r="L101" s="223"/>
      <c r="M101" s="223"/>
      <c r="N101" s="223"/>
      <c r="O101" s="289" t="str">
        <f>IF(AND(M99=0,SUM('potr-ot-R'!O84:AH84)&lt;&gt;0),verze!E118&amp;"  ","")</f>
        <v/>
      </c>
      <c r="P101" s="225"/>
      <c r="Q101" s="226"/>
      <c r="R101" s="226"/>
      <c r="S101" s="226"/>
      <c r="T101" s="226"/>
      <c r="U101" s="226"/>
      <c r="V101" s="226"/>
      <c r="W101" s="226"/>
      <c r="X101" s="226"/>
      <c r="Y101" s="223"/>
      <c r="Z101" s="226"/>
      <c r="AA101" s="223"/>
      <c r="AB101" s="223"/>
      <c r="AC101" s="223"/>
      <c r="AD101" s="224"/>
      <c r="AE101" s="457"/>
      <c r="AF101" s="458"/>
      <c r="AG101" s="458"/>
      <c r="AH101" s="458"/>
      <c r="AI101" s="458"/>
      <c r="AJ101" s="458"/>
      <c r="AK101" s="458"/>
      <c r="AL101" s="458"/>
      <c r="AM101" s="458"/>
      <c r="AN101" s="458"/>
      <c r="AO101" s="458"/>
      <c r="AP101" s="458"/>
      <c r="AQ101" s="458"/>
      <c r="AR101" s="459"/>
      <c r="AS101" s="244"/>
      <c r="AT101" s="237"/>
      <c r="AU101" s="237"/>
      <c r="AV101" s="237"/>
      <c r="AW101" s="237"/>
      <c r="AX101" s="237"/>
      <c r="AY101" s="226"/>
      <c r="AZ101" s="226"/>
      <c r="BA101" s="226"/>
      <c r="BB101" s="226"/>
      <c r="BC101" s="237"/>
      <c r="BD101" s="237"/>
      <c r="BE101" s="245"/>
      <c r="BF101" s="289" t="str">
        <f>IF(AND(AP99=0,SUM('potr-ot-DS'!O84:AH84)&lt;&gt;0),verze!E118&amp;"  ","")</f>
        <v/>
      </c>
      <c r="BG101" s="4"/>
    </row>
    <row r="102" spans="1:59" s="112" customFormat="1" ht="14.4" customHeight="1" thickTop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  <c r="O102" s="7"/>
      <c r="P102" s="4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6"/>
      <c r="AD102" s="7"/>
      <c r="AE102" s="4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6"/>
      <c r="AS102" s="4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6"/>
      <c r="BG102" s="4"/>
    </row>
    <row r="103" spans="1:59" s="112" customFormat="1" ht="14.4" customHeight="1">
      <c r="A103" s="4"/>
      <c r="B103" s="5"/>
      <c r="C103" s="504" t="str">
        <f>verze!E201</f>
        <v>SiSy = tlumení Silent System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  <c r="O103" s="7"/>
      <c r="P103" s="4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6"/>
      <c r="AD103" s="7"/>
      <c r="AE103" s="4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6"/>
      <c r="AS103" s="4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6"/>
      <c r="BG103" s="4"/>
    </row>
    <row r="104" spans="1:59" s="112" customFormat="1" ht="14.4" customHeight="1">
      <c r="A104" s="4"/>
      <c r="B104" s="5"/>
      <c r="C104" s="504" t="str">
        <f>verze!E202</f>
        <v>P2O/SiSy = tlumení s otvíráním bez úchytky Push to open Silent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7"/>
      <c r="P104" s="4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6"/>
      <c r="AD104" s="7"/>
      <c r="AE104" s="4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6"/>
      <c r="AS104" s="4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6"/>
      <c r="BG104" s="4"/>
    </row>
    <row r="105" spans="1:59" s="112" customFormat="1" ht="14.4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  <c r="O105" s="7"/>
      <c r="P105" s="4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6"/>
      <c r="AD105" s="7"/>
      <c r="AE105" s="4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6"/>
      <c r="AS105" s="4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6"/>
      <c r="BG105" s="4"/>
    </row>
    <row r="106" spans="1:59" s="112" customFormat="1" ht="14.4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  <c r="O106" s="7"/>
      <c r="P106" s="4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6"/>
      <c r="AD106" s="7"/>
      <c r="AE106" s="4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6"/>
      <c r="AS106" s="4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6"/>
      <c r="BG106" s="4"/>
    </row>
    <row r="107" spans="1:59" s="112" customFormat="1" ht="14.4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  <c r="O107" s="7"/>
      <c r="P107" s="4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6"/>
      <c r="AD107" s="7"/>
      <c r="AE107" s="4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6"/>
      <c r="AS107" s="4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6"/>
      <c r="BG107" s="4"/>
    </row>
    <row r="108" spans="1:59" s="112" customFormat="1" ht="14.4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  <c r="O108" s="7"/>
      <c r="P108" s="4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  <c r="AD108" s="7"/>
      <c r="AE108" s="4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6"/>
      <c r="AS108" s="4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6"/>
      <c r="BG108" s="4"/>
    </row>
    <row r="109" spans="1:59" s="112" customFormat="1" ht="14.4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  <c r="O109" s="7"/>
      <c r="P109" s="4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6"/>
      <c r="AD109" s="7"/>
      <c r="AE109" s="4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6"/>
      <c r="AS109" s="4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6"/>
      <c r="BG109" s="4"/>
    </row>
    <row r="110" spans="1:59" s="112" customFormat="1" ht="14.4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6"/>
      <c r="O110" s="7"/>
      <c r="P110" s="4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  <c r="AD110" s="7"/>
      <c r="AE110" s="4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6"/>
      <c r="AS110" s="4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6"/>
      <c r="BG110" s="4"/>
    </row>
    <row r="111" spans="1:59" s="112" customFormat="1" ht="14.4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/>
      <c r="O111" s="7"/>
      <c r="P111" s="4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/>
      <c r="AD111" s="7"/>
      <c r="AE111" s="4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6"/>
      <c r="AS111" s="4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6"/>
      <c r="BG111" s="4"/>
    </row>
  </sheetData>
  <sheetProtection password="DD97" sheet="1"/>
  <mergeCells count="108">
    <mergeCell ref="U77:W77"/>
    <mergeCell ref="G77:I77"/>
    <mergeCell ref="G96:I96"/>
    <mergeCell ref="AB90:AD91"/>
    <mergeCell ref="AW14:AY14"/>
    <mergeCell ref="AP79:AR80"/>
    <mergeCell ref="AF49:AH49"/>
    <mergeCell ref="AB31:AD32"/>
    <mergeCell ref="AI40:AK40"/>
    <mergeCell ref="AJ36:AL36"/>
    <mergeCell ref="AJ45:AL45"/>
    <mergeCell ref="M31:O32"/>
    <mergeCell ref="AJ27:AL27"/>
    <mergeCell ref="AJ28:AL28"/>
    <mergeCell ref="T31:V31"/>
    <mergeCell ref="Q32:S32"/>
    <mergeCell ref="AI32:AK32"/>
    <mergeCell ref="T32:V32"/>
    <mergeCell ref="AP21:AR22"/>
    <mergeCell ref="AP49:AR50"/>
    <mergeCell ref="AF50:AH50"/>
    <mergeCell ref="AI50:AK50"/>
    <mergeCell ref="AI58:AK58"/>
    <mergeCell ref="AI39:AK39"/>
    <mergeCell ref="AX77:AZ77"/>
    <mergeCell ref="AJ77:AL77"/>
    <mergeCell ref="AF58:AH58"/>
    <mergeCell ref="AX9:AZ9"/>
    <mergeCell ref="AX10:AZ10"/>
    <mergeCell ref="AF31:AH31"/>
    <mergeCell ref="AI31:AK31"/>
    <mergeCell ref="AT13:AV13"/>
    <mergeCell ref="AF57:AH57"/>
    <mergeCell ref="AI57:AK57"/>
    <mergeCell ref="AI49:AK49"/>
    <mergeCell ref="AJ53:AL53"/>
    <mergeCell ref="AJ54:AL54"/>
    <mergeCell ref="BD13:BF14"/>
    <mergeCell ref="AT14:AV14"/>
    <mergeCell ref="AP39:AR40"/>
    <mergeCell ref="AF40:AH40"/>
    <mergeCell ref="AF13:AH13"/>
    <mergeCell ref="AI13:AK13"/>
    <mergeCell ref="AI14:AK14"/>
    <mergeCell ref="AF22:AH22"/>
    <mergeCell ref="AI22:AK22"/>
    <mergeCell ref="AJ18:AL18"/>
    <mergeCell ref="AW13:AY13"/>
    <mergeCell ref="AF39:AH39"/>
    <mergeCell ref="AF32:AH32"/>
    <mergeCell ref="AJ35:AL35"/>
    <mergeCell ref="AT20:BE22"/>
    <mergeCell ref="C13:E13"/>
    <mergeCell ref="AA2:AE2"/>
    <mergeCell ref="M13:O14"/>
    <mergeCell ref="U9:W9"/>
    <mergeCell ref="G9:I9"/>
    <mergeCell ref="G10:I10"/>
    <mergeCell ref="F13:H13"/>
    <mergeCell ref="Q13:S13"/>
    <mergeCell ref="T13:V13"/>
    <mergeCell ref="U10:W10"/>
    <mergeCell ref="B2:E2"/>
    <mergeCell ref="G2:K2"/>
    <mergeCell ref="O2:S2"/>
    <mergeCell ref="U2:Y2"/>
    <mergeCell ref="AB13:AD14"/>
    <mergeCell ref="C14:E14"/>
    <mergeCell ref="F14:H14"/>
    <mergeCell ref="Q14:S14"/>
    <mergeCell ref="T14:V14"/>
    <mergeCell ref="BD99:BF100"/>
    <mergeCell ref="AP57:AR58"/>
    <mergeCell ref="G28:I28"/>
    <mergeCell ref="G27:I27"/>
    <mergeCell ref="BD79:BF80"/>
    <mergeCell ref="AB99:AD100"/>
    <mergeCell ref="C68:E68"/>
    <mergeCell ref="F68:H68"/>
    <mergeCell ref="C69:E69"/>
    <mergeCell ref="F69:H69"/>
    <mergeCell ref="U88:W88"/>
    <mergeCell ref="AB79:AD80"/>
    <mergeCell ref="U97:W97"/>
    <mergeCell ref="M99:O100"/>
    <mergeCell ref="M90:O91"/>
    <mergeCell ref="C31:E31"/>
    <mergeCell ref="F31:H31"/>
    <mergeCell ref="C32:E32"/>
    <mergeCell ref="F32:H32"/>
    <mergeCell ref="G65:I65"/>
    <mergeCell ref="Q31:S31"/>
    <mergeCell ref="G64:I64"/>
    <mergeCell ref="M79:O80"/>
    <mergeCell ref="AJ46:AL46"/>
    <mergeCell ref="AO2:AR2"/>
    <mergeCell ref="M68:O69"/>
    <mergeCell ref="AI2:AM2"/>
    <mergeCell ref="AP13:AR14"/>
    <mergeCell ref="AJ9:AL9"/>
    <mergeCell ref="AJ10:AL10"/>
    <mergeCell ref="U27:W27"/>
    <mergeCell ref="U28:W28"/>
    <mergeCell ref="AP31:AR32"/>
    <mergeCell ref="AJ17:AL17"/>
    <mergeCell ref="AF21:AH21"/>
    <mergeCell ref="AI21:AK21"/>
    <mergeCell ref="AF14:AH14"/>
  </mergeCells>
  <conditionalFormatting sqref="M13:O14 AB13:AD14 AP13:AR14 AP21:AR22 M31:O32 AB31:AD32 M99:O100 M79:O80 AB62:AD62 M90:O91 AA82:AD84 AB57:AC58 AB60:AD60 AB71:AD73">
    <cfRule type="cellIs" dxfId="736" priority="262" stopIfTrue="1" operator="greaterThan">
      <formula>0</formula>
    </cfRule>
  </conditionalFormatting>
  <conditionalFormatting sqref="BD13:BF14">
    <cfRule type="cellIs" dxfId="735" priority="84" stopIfTrue="1" operator="greaterThan">
      <formula>0</formula>
    </cfRule>
  </conditionalFormatting>
  <conditionalFormatting sqref="AP31:AR32">
    <cfRule type="cellIs" dxfId="734" priority="17" stopIfTrue="1" operator="greaterThan">
      <formula>0</formula>
    </cfRule>
  </conditionalFormatting>
  <conditionalFormatting sqref="AB49:AC50">
    <cfRule type="cellIs" dxfId="733" priority="14" stopIfTrue="1" operator="greaterThan">
      <formula>0</formula>
    </cfRule>
  </conditionalFormatting>
  <conditionalFormatting sqref="AP49:AR50">
    <cfRule type="cellIs" dxfId="732" priority="16" stopIfTrue="1" operator="greaterThan">
      <formula>0</formula>
    </cfRule>
  </conditionalFormatting>
  <conditionalFormatting sqref="AP57:AR58">
    <cfRule type="cellIs" dxfId="731" priority="15" stopIfTrue="1" operator="greaterThan">
      <formula>0</formula>
    </cfRule>
  </conditionalFormatting>
  <conditionalFormatting sqref="AP39:AR40">
    <cfRule type="cellIs" dxfId="730" priority="12" stopIfTrue="1" operator="greaterThan">
      <formula>0</formula>
    </cfRule>
  </conditionalFormatting>
  <conditionalFormatting sqref="AB39:AC40">
    <cfRule type="cellIs" dxfId="729" priority="11" stopIfTrue="1" operator="greaterThan">
      <formula>0</formula>
    </cfRule>
  </conditionalFormatting>
  <conditionalFormatting sqref="M68:O69">
    <cfRule type="cellIs" dxfId="728" priority="10" stopIfTrue="1" operator="greaterThan">
      <formula>0</formula>
    </cfRule>
  </conditionalFormatting>
  <conditionalFormatting sqref="AP79:AR80">
    <cfRule type="cellIs" dxfId="727" priority="7" stopIfTrue="1" operator="greaterThan">
      <formula>0</formula>
    </cfRule>
  </conditionalFormatting>
  <conditionalFormatting sqref="BD79:BF80">
    <cfRule type="cellIs" dxfId="726" priority="6" stopIfTrue="1" operator="greaterThan">
      <formula>0</formula>
    </cfRule>
  </conditionalFormatting>
  <conditionalFormatting sqref="AB79:AD80">
    <cfRule type="cellIs" dxfId="725" priority="5" stopIfTrue="1" operator="greaterThan">
      <formula>0</formula>
    </cfRule>
  </conditionalFormatting>
  <conditionalFormatting sqref="Y82">
    <cfRule type="cellIs" dxfId="724" priority="4" stopIfTrue="1" operator="greaterThan">
      <formula>0</formula>
    </cfRule>
  </conditionalFormatting>
  <conditionalFormatting sqref="AB90:AD91">
    <cfRule type="cellIs" dxfId="723" priority="3" stopIfTrue="1" operator="greaterThan">
      <formula>0</formula>
    </cfRule>
  </conditionalFormatting>
  <conditionalFormatting sqref="AB99:AD100">
    <cfRule type="cellIs" dxfId="722" priority="2" stopIfTrue="1" operator="greaterThan">
      <formula>0</formula>
    </cfRule>
  </conditionalFormatting>
  <conditionalFormatting sqref="BD99:BF100">
    <cfRule type="cellIs" dxfId="721" priority="1" stopIfTrue="1" operator="greaterThan">
      <formula>0</formula>
    </cfRule>
  </conditionalFormatting>
  <hyperlinks>
    <hyperlink ref="G2:K2" location="FORM!A1" display="FORM!A1"/>
    <hyperlink ref="B2:E2" location="FORM!A1" display="&lt;&lt;&lt;"/>
    <hyperlink ref="AI2:AM2" location="OBJ!A1" display="OBJ!A1"/>
    <hyperlink ref="U2:Y2" location="'MENU-2'!A5" display="'MENU-2'!A5"/>
    <hyperlink ref="AO2:AR2" location="OBJ!A1" display="OBJ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5562" r:id="rId4" name="Button 147034">
              <controlPr defaultSize="0" print="0" autoFill="0" autoPict="0" macro="[0]!RESETTE">
                <anchor moveWithCells="1" sizeWithCells="1">
                  <from>
                    <xdr:col>48</xdr:col>
                    <xdr:colOff>106680</xdr:colOff>
                    <xdr:row>16</xdr:row>
                    <xdr:rowOff>99060</xdr:rowOff>
                  </from>
                  <to>
                    <xdr:col>54</xdr:col>
                    <xdr:colOff>106680</xdr:colOff>
                    <xdr:row>18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O1044"/>
  <sheetViews>
    <sheetView showGridLines="0" showRowColHeaders="0" zoomScaleNormal="100" workbookViewId="0">
      <selection activeCell="J2" sqref="J2"/>
    </sheetView>
  </sheetViews>
  <sheetFormatPr defaultColWidth="9" defaultRowHeight="13.8"/>
  <cols>
    <col min="1" max="1" width="2" style="97" customWidth="1"/>
    <col min="2" max="2" width="11.21875" style="97" bestFit="1" customWidth="1"/>
    <col min="3" max="3" width="60.88671875" style="97" customWidth="1"/>
    <col min="4" max="4" width="5.109375" style="97" bestFit="1" customWidth="1"/>
    <col min="5" max="5" width="2.33203125" style="97" customWidth="1"/>
    <col min="6" max="6" width="2.21875" style="97" customWidth="1"/>
    <col min="7" max="7" width="12" style="97" customWidth="1"/>
    <col min="8" max="8" width="5.44140625" style="97" customWidth="1"/>
    <col min="9" max="10" width="12" style="97" customWidth="1"/>
    <col min="11" max="11" width="9" style="97"/>
    <col min="12" max="12" width="0" style="97" hidden="1" customWidth="1"/>
    <col min="13" max="13" width="21.6640625" style="97" customWidth="1"/>
    <col min="14" max="14" width="9" style="97"/>
    <col min="15" max="15" width="20.33203125" style="97" bestFit="1" customWidth="1"/>
    <col min="16" max="16384" width="9" style="97"/>
  </cols>
  <sheetData>
    <row r="1" spans="1:15" ht="14.4" thickBot="1">
      <c r="B1" s="4"/>
      <c r="C1" s="4"/>
      <c r="D1" s="4"/>
      <c r="E1" s="26"/>
      <c r="F1" s="4"/>
      <c r="G1" s="144"/>
      <c r="H1" s="144"/>
      <c r="I1" s="4"/>
      <c r="J1" s="26"/>
    </row>
    <row r="2" spans="1:15" ht="14.4" thickBot="1">
      <c r="B2" s="4"/>
      <c r="C2" s="4" t="str">
        <f>verze!E29</f>
        <v>Prodejce:</v>
      </c>
      <c r="D2" s="4"/>
      <c r="E2" s="26"/>
      <c r="F2" s="4"/>
      <c r="G2" s="144"/>
      <c r="H2" s="144"/>
      <c r="I2" s="4"/>
      <c r="J2" s="143" t="s">
        <v>10</v>
      </c>
    </row>
    <row r="3" spans="1:15" ht="14.4" thickBot="1">
      <c r="B3" s="4"/>
      <c r="C3" s="314" t="s">
        <v>1232</v>
      </c>
      <c r="D3" s="4"/>
      <c r="E3" s="26"/>
      <c r="F3" s="4"/>
      <c r="G3" s="144"/>
      <c r="H3" s="144"/>
      <c r="I3" s="4"/>
      <c r="J3" s="10"/>
    </row>
    <row r="4" spans="1:15" ht="14.4" thickBot="1">
      <c r="B4" s="4"/>
      <c r="C4" s="315" t="s">
        <v>1233</v>
      </c>
      <c r="D4" s="4"/>
      <c r="E4" s="26"/>
      <c r="F4" s="4"/>
      <c r="G4" s="144"/>
      <c r="H4" s="144"/>
    </row>
    <row r="5" spans="1:15" ht="14.4" thickBot="1">
      <c r="B5" s="4"/>
      <c r="C5" s="315" t="s">
        <v>1234</v>
      </c>
      <c r="D5" s="4"/>
      <c r="E5" s="26"/>
      <c r="F5" s="4"/>
      <c r="G5" s="144"/>
      <c r="H5" s="144"/>
      <c r="I5" s="4"/>
    </row>
    <row r="6" spans="1:15" ht="14.4" thickBot="1">
      <c r="B6" s="4"/>
      <c r="C6" s="315" t="s">
        <v>1235</v>
      </c>
      <c r="D6" s="4"/>
      <c r="E6" s="26"/>
      <c r="F6" s="4"/>
      <c r="G6" s="144"/>
      <c r="H6" s="144"/>
      <c r="I6" s="11" t="str">
        <f>verze!E51&amp;" : "</f>
        <v xml:space="preserve">Verze  : </v>
      </c>
      <c r="J6" s="12" t="str">
        <f>verze!E52</f>
        <v>1.0.0</v>
      </c>
    </row>
    <row r="7" spans="1:15" ht="14.4" thickBot="1">
      <c r="B7" s="4"/>
      <c r="C7" s="315"/>
      <c r="D7" s="4"/>
      <c r="E7" s="26"/>
      <c r="F7" s="4"/>
      <c r="G7" s="144"/>
      <c r="H7" s="144"/>
      <c r="I7" s="5"/>
      <c r="J7" s="4"/>
    </row>
    <row r="8" spans="1:15" ht="14.4" thickBot="1">
      <c r="B8" s="4"/>
      <c r="C8" s="503" t="s">
        <v>1236</v>
      </c>
      <c r="D8" s="4"/>
      <c r="E8" s="26"/>
      <c r="F8" s="4"/>
      <c r="G8" s="144"/>
      <c r="H8" s="144"/>
      <c r="I8" s="11" t="str">
        <f>verze!E53&amp;" : "</f>
        <v xml:space="preserve">Platnost cenníka od : </v>
      </c>
      <c r="J8" s="12">
        <v>44196</v>
      </c>
    </row>
    <row r="9" spans="1:15" ht="14.4" thickBot="1">
      <c r="B9" s="5"/>
      <c r="C9" s="5"/>
      <c r="D9" s="5"/>
      <c r="E9" s="7"/>
      <c r="F9" s="5"/>
      <c r="G9" s="145"/>
      <c r="H9" s="145"/>
      <c r="I9" s="5"/>
      <c r="J9" s="5"/>
    </row>
    <row r="10" spans="1:15" ht="24.6" thickBot="1">
      <c r="B10" s="18" t="str">
        <f>verze!E41</f>
        <v>Číslo artiklu</v>
      </c>
      <c r="C10" s="374" t="str">
        <f>verze!E42</f>
        <v>Název</v>
      </c>
      <c r="D10" s="13" t="str">
        <f>verze!E43</f>
        <v>balení</v>
      </c>
      <c r="E10" s="375" t="str">
        <f>verze!E44</f>
        <v>Sklad</v>
      </c>
      <c r="F10" s="13"/>
      <c r="G10" s="376" t="str">
        <f>verze!E46</f>
        <v>Jednotková cena</v>
      </c>
      <c r="H10" s="19" t="str">
        <f>IF(verze!E1="CZK","CZK","EUR")</f>
        <v>CZK</v>
      </c>
      <c r="I10" s="377" t="str">
        <f>verze!E49</f>
        <v>Volné pole</v>
      </c>
      <c r="J10" s="378" t="str">
        <f>verze!E50</f>
        <v>Kód prodejce</v>
      </c>
      <c r="M10" s="316" t="str">
        <f>verze!E107</f>
        <v>nákupní ceny, tj. ceny se slevou od prodejce</v>
      </c>
    </row>
    <row r="11" spans="1:15">
      <c r="A11" s="146"/>
      <c r="B11" s="400">
        <v>9255240</v>
      </c>
      <c r="C11" s="392" t="s">
        <v>514</v>
      </c>
      <c r="D11" s="393">
        <v>1</v>
      </c>
      <c r="E11" s="394"/>
      <c r="F11" s="395"/>
      <c r="G11" s="396">
        <v>562.36</v>
      </c>
      <c r="H11" s="397" t="str">
        <f>IF(G11="","",$H$10)</f>
        <v>CZK</v>
      </c>
      <c r="I11" s="393"/>
      <c r="J11" s="398" t="s">
        <v>54</v>
      </c>
      <c r="M11" s="317">
        <f>G11*(1-FORM!$AE$28/100)</f>
        <v>562.36</v>
      </c>
      <c r="O11" s="502"/>
    </row>
    <row r="12" spans="1:15">
      <c r="A12" s="146"/>
      <c r="B12" s="401">
        <v>9255241</v>
      </c>
      <c r="C12" s="273" t="s">
        <v>515</v>
      </c>
      <c r="D12" s="274">
        <v>1</v>
      </c>
      <c r="E12" s="354"/>
      <c r="F12" s="355"/>
      <c r="G12" s="372">
        <v>569.32000000000005</v>
      </c>
      <c r="H12" s="154" t="str">
        <f t="shared" ref="H12:H27" si="0">IF(G12="","",$H$10)</f>
        <v>CZK</v>
      </c>
      <c r="I12" s="274"/>
      <c r="J12" s="399" t="s">
        <v>54</v>
      </c>
      <c r="L12" s="97" t="e">
        <f>VLOOKUP(B12,$B$11:B11,1,FALSE)</f>
        <v>#N/A</v>
      </c>
      <c r="M12" s="317">
        <f>G12*(1-FORM!$AE$28/100)</f>
        <v>569.32000000000005</v>
      </c>
      <c r="O12" s="502"/>
    </row>
    <row r="13" spans="1:15">
      <c r="A13" s="146"/>
      <c r="B13" s="402">
        <v>9255242</v>
      </c>
      <c r="C13" s="14" t="s">
        <v>516</v>
      </c>
      <c r="D13" s="199">
        <v>1</v>
      </c>
      <c r="E13" s="320"/>
      <c r="F13" s="321"/>
      <c r="G13" s="364">
        <v>576.28</v>
      </c>
      <c r="H13" s="147" t="str">
        <f t="shared" si="0"/>
        <v>CZK</v>
      </c>
      <c r="I13" s="199"/>
      <c r="J13" s="322" t="s">
        <v>54</v>
      </c>
      <c r="L13" s="97" t="e">
        <f>VLOOKUP(B13,$B$11:B12,1,FALSE)</f>
        <v>#N/A</v>
      </c>
      <c r="M13" s="317">
        <f>G13*(1-FORM!$AE$28/100)</f>
        <v>576.28</v>
      </c>
      <c r="O13" s="502"/>
    </row>
    <row r="14" spans="1:15">
      <c r="A14" s="146"/>
      <c r="B14" s="403">
        <v>9255243</v>
      </c>
      <c r="C14" s="16" t="s">
        <v>517</v>
      </c>
      <c r="D14" s="200">
        <v>1</v>
      </c>
      <c r="E14" s="323"/>
      <c r="F14" s="324"/>
      <c r="G14" s="365">
        <v>583.24</v>
      </c>
      <c r="H14" s="148" t="str">
        <f t="shared" si="0"/>
        <v>CZK</v>
      </c>
      <c r="I14" s="326"/>
      <c r="J14" s="327" t="s">
        <v>54</v>
      </c>
      <c r="L14" s="97" t="e">
        <f>VLOOKUP(B14,$B$11:B13,1,FALSE)</f>
        <v>#N/A</v>
      </c>
      <c r="M14" s="317">
        <f>G14*(1-FORM!$AE$28/100)</f>
        <v>583.24</v>
      </c>
      <c r="O14" s="502"/>
    </row>
    <row r="15" spans="1:15">
      <c r="A15" s="153"/>
      <c r="B15" s="404">
        <v>9255280</v>
      </c>
      <c r="C15" s="15" t="s">
        <v>518</v>
      </c>
      <c r="D15" s="201">
        <v>1</v>
      </c>
      <c r="E15" s="318"/>
      <c r="F15" s="319"/>
      <c r="G15" s="363">
        <v>562.36</v>
      </c>
      <c r="H15" s="151" t="str">
        <f t="shared" si="0"/>
        <v>CZK</v>
      </c>
      <c r="I15" s="344"/>
      <c r="J15" s="345" t="s">
        <v>54</v>
      </c>
      <c r="L15" s="97" t="e">
        <f>VLOOKUP(B15,$B$11:B14,1,FALSE)</f>
        <v>#N/A</v>
      </c>
      <c r="M15" s="317">
        <f>G15*(1-FORM!$AE$28/100)</f>
        <v>562.36</v>
      </c>
      <c r="O15" s="502"/>
    </row>
    <row r="16" spans="1:15">
      <c r="A16" s="153"/>
      <c r="B16" s="402">
        <v>9255281</v>
      </c>
      <c r="C16" s="14" t="s">
        <v>519</v>
      </c>
      <c r="D16" s="199">
        <v>1</v>
      </c>
      <c r="E16" s="320"/>
      <c r="F16" s="321"/>
      <c r="G16" s="364">
        <v>569.32000000000005</v>
      </c>
      <c r="H16" s="147" t="str">
        <f t="shared" si="0"/>
        <v>CZK</v>
      </c>
      <c r="I16" s="199"/>
      <c r="J16" s="322" t="s">
        <v>54</v>
      </c>
      <c r="L16" s="97" t="e">
        <f>VLOOKUP(B16,$B$11:B15,1,FALSE)</f>
        <v>#N/A</v>
      </c>
      <c r="M16" s="317">
        <f>G16*(1-FORM!$AE$28/100)</f>
        <v>569.32000000000005</v>
      </c>
      <c r="O16" s="502"/>
    </row>
    <row r="17" spans="1:15">
      <c r="A17" s="153"/>
      <c r="B17" s="402">
        <v>9255282</v>
      </c>
      <c r="C17" s="14" t="s">
        <v>520</v>
      </c>
      <c r="D17" s="199">
        <v>1</v>
      </c>
      <c r="E17" s="320"/>
      <c r="F17" s="321"/>
      <c r="G17" s="364">
        <v>576.28</v>
      </c>
      <c r="H17" s="147" t="str">
        <f t="shared" si="0"/>
        <v>CZK</v>
      </c>
      <c r="I17" s="199"/>
      <c r="J17" s="322" t="s">
        <v>54</v>
      </c>
      <c r="L17" s="97" t="e">
        <f>VLOOKUP(B17,$B$11:B16,1,FALSE)</f>
        <v>#N/A</v>
      </c>
      <c r="M17" s="317">
        <f>G17*(1-FORM!$AE$28/100)</f>
        <v>576.28</v>
      </c>
      <c r="O17" s="502"/>
    </row>
    <row r="18" spans="1:15">
      <c r="A18" s="153"/>
      <c r="B18" s="403">
        <v>9255283</v>
      </c>
      <c r="C18" s="16" t="s">
        <v>521</v>
      </c>
      <c r="D18" s="200">
        <v>1</v>
      </c>
      <c r="E18" s="323"/>
      <c r="F18" s="324"/>
      <c r="G18" s="365">
        <v>583.24</v>
      </c>
      <c r="H18" s="148" t="str">
        <f t="shared" si="0"/>
        <v>CZK</v>
      </c>
      <c r="I18" s="326"/>
      <c r="J18" s="327" t="s">
        <v>54</v>
      </c>
      <c r="L18" s="97" t="e">
        <f>VLOOKUP(B18,$B$11:B17,1,FALSE)</f>
        <v>#N/A</v>
      </c>
      <c r="M18" s="317">
        <f>G18*(1-FORM!$AE$28/100)</f>
        <v>583.24</v>
      </c>
      <c r="O18" s="502"/>
    </row>
    <row r="19" spans="1:15">
      <c r="A19" s="155"/>
      <c r="B19" s="405">
        <v>9255320</v>
      </c>
      <c r="C19" s="263" t="s">
        <v>522</v>
      </c>
      <c r="D19" s="264">
        <v>1</v>
      </c>
      <c r="E19" s="328"/>
      <c r="F19" s="329"/>
      <c r="G19" s="366">
        <v>562.36</v>
      </c>
      <c r="H19" s="175" t="str">
        <f>IF(G19="","",$H$10)</f>
        <v>CZK</v>
      </c>
      <c r="I19" s="330"/>
      <c r="J19" s="331" t="s">
        <v>54</v>
      </c>
      <c r="L19" s="97" t="e">
        <f>VLOOKUP(B19,$B$11:B18,1,FALSE)</f>
        <v>#N/A</v>
      </c>
      <c r="M19" s="317">
        <f>G19*(1-FORM!$AE$28/100)</f>
        <v>562.36</v>
      </c>
      <c r="O19" s="502"/>
    </row>
    <row r="20" spans="1:15">
      <c r="A20" s="155"/>
      <c r="B20" s="406">
        <v>9255321</v>
      </c>
      <c r="C20" s="265" t="s">
        <v>523</v>
      </c>
      <c r="D20" s="266">
        <v>1</v>
      </c>
      <c r="E20" s="332"/>
      <c r="F20" s="333"/>
      <c r="G20" s="367">
        <v>569.32000000000005</v>
      </c>
      <c r="H20" s="157" t="str">
        <f t="shared" si="0"/>
        <v>CZK</v>
      </c>
      <c r="I20" s="334"/>
      <c r="J20" s="335" t="s">
        <v>54</v>
      </c>
      <c r="L20" s="97" t="e">
        <f>VLOOKUP(B20,$B$11:B19,1,FALSE)</f>
        <v>#N/A</v>
      </c>
      <c r="M20" s="317">
        <f>G20*(1-FORM!$AE$28/100)</f>
        <v>569.32000000000005</v>
      </c>
      <c r="O20" s="502"/>
    </row>
    <row r="21" spans="1:15">
      <c r="A21" s="155"/>
      <c r="B21" s="407">
        <v>9255322</v>
      </c>
      <c r="C21" s="267" t="s">
        <v>524</v>
      </c>
      <c r="D21" s="268">
        <v>1</v>
      </c>
      <c r="E21" s="336"/>
      <c r="F21" s="337"/>
      <c r="G21" s="368">
        <v>576.28</v>
      </c>
      <c r="H21" s="149" t="str">
        <f t="shared" si="0"/>
        <v>CZK</v>
      </c>
      <c r="I21" s="338"/>
      <c r="J21" s="339" t="s">
        <v>54</v>
      </c>
      <c r="L21" s="97" t="e">
        <f>VLOOKUP(B21,$B$11:B20,1,FALSE)</f>
        <v>#N/A</v>
      </c>
      <c r="M21" s="317">
        <f>G21*(1-FORM!$AE$28/100)</f>
        <v>576.28</v>
      </c>
      <c r="O21" s="502"/>
    </row>
    <row r="22" spans="1:15">
      <c r="A22" s="155"/>
      <c r="B22" s="408">
        <v>9255323</v>
      </c>
      <c r="C22" s="202" t="s">
        <v>525</v>
      </c>
      <c r="D22" s="269">
        <v>1</v>
      </c>
      <c r="E22" s="340"/>
      <c r="F22" s="341"/>
      <c r="G22" s="369">
        <v>583.24</v>
      </c>
      <c r="H22" s="150" t="str">
        <f t="shared" si="0"/>
        <v>CZK</v>
      </c>
      <c r="I22" s="342"/>
      <c r="J22" s="343" t="s">
        <v>54</v>
      </c>
      <c r="L22" s="97" t="e">
        <f>VLOOKUP(B22,$B$11:B21,1,FALSE)</f>
        <v>#N/A</v>
      </c>
      <c r="M22" s="317">
        <f>G22*(1-FORM!$AE$28/100)</f>
        <v>583.24</v>
      </c>
      <c r="O22" s="502"/>
    </row>
    <row r="23" spans="1:15">
      <c r="B23" s="410">
        <v>79665</v>
      </c>
      <c r="C23" s="17" t="s">
        <v>526</v>
      </c>
      <c r="D23" s="270">
        <v>100</v>
      </c>
      <c r="E23" s="346"/>
      <c r="F23" s="347"/>
      <c r="G23" s="370">
        <v>5.96</v>
      </c>
      <c r="H23" s="152" t="str">
        <f t="shared" si="0"/>
        <v>CZK</v>
      </c>
      <c r="I23" s="348"/>
      <c r="J23" s="349" t="s">
        <v>54</v>
      </c>
      <c r="L23" s="97" t="e">
        <f>VLOOKUP(B23,$B$11:B22,1,FALSE)</f>
        <v>#N/A</v>
      </c>
      <c r="M23" s="317">
        <f>G23*(1-FORM!$AE$28/100)</f>
        <v>5.96</v>
      </c>
      <c r="O23" s="502"/>
    </row>
    <row r="24" spans="1:15">
      <c r="A24" s="146"/>
      <c r="B24" s="409">
        <v>9255000</v>
      </c>
      <c r="C24" s="271" t="s">
        <v>527</v>
      </c>
      <c r="D24" s="272">
        <v>10</v>
      </c>
      <c r="E24" s="350"/>
      <c r="F24" s="351"/>
      <c r="G24" s="371">
        <v>186.44</v>
      </c>
      <c r="H24" s="254" t="str">
        <f t="shared" si="0"/>
        <v>CZK</v>
      </c>
      <c r="I24" s="352"/>
      <c r="J24" s="353" t="s">
        <v>54</v>
      </c>
      <c r="L24" s="97" t="e">
        <f>VLOOKUP(B24,$B$11:B23,1,FALSE)</f>
        <v>#N/A</v>
      </c>
      <c r="M24" s="317">
        <f>G24*(1-FORM!$AE$28/100)</f>
        <v>186.44</v>
      </c>
      <c r="O24" s="502"/>
    </row>
    <row r="25" spans="1:15">
      <c r="A25" s="146"/>
      <c r="B25" s="406">
        <v>9255001</v>
      </c>
      <c r="C25" s="265" t="s">
        <v>528</v>
      </c>
      <c r="D25" s="266">
        <v>10</v>
      </c>
      <c r="E25" s="332"/>
      <c r="F25" s="333"/>
      <c r="G25" s="367">
        <v>186.44</v>
      </c>
      <c r="H25" s="157" t="str">
        <f t="shared" si="0"/>
        <v>CZK</v>
      </c>
      <c r="I25" s="334"/>
      <c r="J25" s="335" t="s">
        <v>54</v>
      </c>
      <c r="L25" s="97" t="e">
        <f>VLOOKUP(B25,$B$11:B24,1,FALSE)</f>
        <v>#N/A</v>
      </c>
      <c r="M25" s="317">
        <f>G25*(1-FORM!$AE$28/100)</f>
        <v>186.44</v>
      </c>
      <c r="O25" s="502"/>
    </row>
    <row r="26" spans="1:15">
      <c r="A26" s="146"/>
      <c r="B26" s="406">
        <v>9255002</v>
      </c>
      <c r="C26" s="265" t="s">
        <v>529</v>
      </c>
      <c r="D26" s="266">
        <v>10</v>
      </c>
      <c r="E26" s="332"/>
      <c r="F26" s="333"/>
      <c r="G26" s="367">
        <v>189.75</v>
      </c>
      <c r="H26" s="157" t="str">
        <f t="shared" si="0"/>
        <v>CZK</v>
      </c>
      <c r="I26" s="334"/>
      <c r="J26" s="335" t="s">
        <v>54</v>
      </c>
      <c r="L26" s="97" t="e">
        <f>VLOOKUP(B26,$B$11:B25,1,FALSE)</f>
        <v>#N/A</v>
      </c>
      <c r="M26" s="317">
        <f>G26*(1-FORM!$AE$28/100)</f>
        <v>189.75</v>
      </c>
      <c r="O26" s="502"/>
    </row>
    <row r="27" spans="1:15">
      <c r="A27" s="146"/>
      <c r="B27" s="406">
        <v>9255003</v>
      </c>
      <c r="C27" s="265" t="s">
        <v>530</v>
      </c>
      <c r="D27" s="266">
        <v>10</v>
      </c>
      <c r="E27" s="332"/>
      <c r="F27" s="333"/>
      <c r="G27" s="367">
        <v>189.75</v>
      </c>
      <c r="H27" s="157" t="str">
        <f t="shared" si="0"/>
        <v>CZK</v>
      </c>
      <c r="I27" s="334"/>
      <c r="J27" s="335" t="s">
        <v>54</v>
      </c>
      <c r="L27" s="97" t="e">
        <f>VLOOKUP(B27,$B$11:B26,1,FALSE)</f>
        <v>#N/A</v>
      </c>
      <c r="M27" s="317">
        <f>G27*(1-FORM!$AE$28/100)</f>
        <v>189.75</v>
      </c>
      <c r="O27" s="502"/>
    </row>
    <row r="28" spans="1:15">
      <c r="A28" s="146"/>
      <c r="B28" s="406">
        <v>9255004</v>
      </c>
      <c r="C28" s="265" t="s">
        <v>531</v>
      </c>
      <c r="D28" s="266">
        <v>10</v>
      </c>
      <c r="E28" s="332"/>
      <c r="F28" s="333"/>
      <c r="G28" s="367">
        <v>193.06</v>
      </c>
      <c r="H28" s="157" t="str">
        <f t="shared" ref="H28:H52" si="1">IF(G28="","",$H$10)</f>
        <v>CZK</v>
      </c>
      <c r="I28" s="334"/>
      <c r="J28" s="335" t="s">
        <v>54</v>
      </c>
      <c r="L28" s="97" t="e">
        <f>VLOOKUP(B28,$B$11:B27,1,FALSE)</f>
        <v>#N/A</v>
      </c>
      <c r="M28" s="317">
        <f>G28*(1-FORM!$AE$28/100)</f>
        <v>193.06</v>
      </c>
      <c r="O28" s="502"/>
    </row>
    <row r="29" spans="1:15">
      <c r="A29" s="146"/>
      <c r="B29" s="406">
        <v>9255005</v>
      </c>
      <c r="C29" s="265" t="s">
        <v>532</v>
      </c>
      <c r="D29" s="266">
        <v>10</v>
      </c>
      <c r="E29" s="332"/>
      <c r="F29" s="333"/>
      <c r="G29" s="367">
        <v>193.06</v>
      </c>
      <c r="H29" s="157" t="str">
        <f t="shared" si="1"/>
        <v>CZK</v>
      </c>
      <c r="I29" s="334"/>
      <c r="J29" s="335" t="s">
        <v>54</v>
      </c>
      <c r="L29" s="97" t="e">
        <f>VLOOKUP(B29,$B$11:B28,1,FALSE)</f>
        <v>#N/A</v>
      </c>
      <c r="M29" s="317">
        <f>G29*(1-FORM!$AE$28/100)</f>
        <v>193.06</v>
      </c>
      <c r="O29" s="502"/>
    </row>
    <row r="30" spans="1:15">
      <c r="A30" s="146"/>
      <c r="B30" s="406">
        <v>9255006</v>
      </c>
      <c r="C30" s="265" t="s">
        <v>533</v>
      </c>
      <c r="D30" s="266">
        <v>10</v>
      </c>
      <c r="E30" s="332"/>
      <c r="F30" s="333"/>
      <c r="G30" s="367">
        <v>196.37</v>
      </c>
      <c r="H30" s="157" t="str">
        <f t="shared" si="1"/>
        <v>CZK</v>
      </c>
      <c r="I30" s="334"/>
      <c r="J30" s="335" t="s">
        <v>54</v>
      </c>
      <c r="L30" s="97" t="e">
        <f>VLOOKUP(B30,$B$11:B29,1,FALSE)</f>
        <v>#N/A</v>
      </c>
      <c r="M30" s="317">
        <f>G30*(1-FORM!$AE$28/100)</f>
        <v>196.37</v>
      </c>
      <c r="O30" s="502"/>
    </row>
    <row r="31" spans="1:15">
      <c r="A31" s="146"/>
      <c r="B31" s="411">
        <v>9255007</v>
      </c>
      <c r="C31" s="412" t="s">
        <v>534</v>
      </c>
      <c r="D31" s="275">
        <v>10</v>
      </c>
      <c r="E31" s="356"/>
      <c r="F31" s="357"/>
      <c r="G31" s="373">
        <v>196.37</v>
      </c>
      <c r="H31" s="158" t="str">
        <f t="shared" si="1"/>
        <v>CZK</v>
      </c>
      <c r="I31" s="358"/>
      <c r="J31" s="359" t="s">
        <v>54</v>
      </c>
      <c r="L31" s="97" t="e">
        <f>VLOOKUP(B31,$B$11:B30,1,FALSE)</f>
        <v>#N/A</v>
      </c>
      <c r="M31" s="317">
        <f>G31*(1-FORM!$AE$28/100)</f>
        <v>196.37</v>
      </c>
      <c r="O31" s="502"/>
    </row>
    <row r="32" spans="1:15">
      <c r="A32" s="153"/>
      <c r="B32" s="409">
        <v>9255080</v>
      </c>
      <c r="C32" s="271" t="s">
        <v>535</v>
      </c>
      <c r="D32" s="272">
        <v>10</v>
      </c>
      <c r="E32" s="350"/>
      <c r="F32" s="351"/>
      <c r="G32" s="371">
        <v>186.44</v>
      </c>
      <c r="H32" s="254" t="str">
        <f t="shared" si="1"/>
        <v>CZK</v>
      </c>
      <c r="I32" s="352"/>
      <c r="J32" s="353" t="s">
        <v>54</v>
      </c>
      <c r="L32" s="97" t="e">
        <f>VLOOKUP(B32,$B$11:B31,1,FALSE)</f>
        <v>#N/A</v>
      </c>
      <c r="M32" s="317">
        <f>G32*(1-FORM!$AE$28/100)</f>
        <v>186.44</v>
      </c>
      <c r="O32" s="502"/>
    </row>
    <row r="33" spans="1:15">
      <c r="A33" s="153"/>
      <c r="B33" s="406">
        <v>9255081</v>
      </c>
      <c r="C33" s="265" t="s">
        <v>536</v>
      </c>
      <c r="D33" s="266">
        <v>10</v>
      </c>
      <c r="E33" s="332"/>
      <c r="F33" s="333"/>
      <c r="G33" s="367">
        <v>186.44</v>
      </c>
      <c r="H33" s="157" t="str">
        <f t="shared" si="1"/>
        <v>CZK</v>
      </c>
      <c r="I33" s="334"/>
      <c r="J33" s="335" t="s">
        <v>54</v>
      </c>
      <c r="L33" s="97" t="e">
        <f>VLOOKUP(B33,$B$11:B32,1,FALSE)</f>
        <v>#N/A</v>
      </c>
      <c r="M33" s="317">
        <f>G33*(1-FORM!$AE$28/100)</f>
        <v>186.44</v>
      </c>
      <c r="O33" s="502"/>
    </row>
    <row r="34" spans="1:15">
      <c r="A34" s="153"/>
      <c r="B34" s="406">
        <v>9255082</v>
      </c>
      <c r="C34" s="265" t="s">
        <v>537</v>
      </c>
      <c r="D34" s="266">
        <v>10</v>
      </c>
      <c r="E34" s="332"/>
      <c r="F34" s="333"/>
      <c r="G34" s="367">
        <v>189.75</v>
      </c>
      <c r="H34" s="157" t="str">
        <f t="shared" si="1"/>
        <v>CZK</v>
      </c>
      <c r="I34" s="334"/>
      <c r="J34" s="335" t="s">
        <v>54</v>
      </c>
      <c r="L34" s="97" t="e">
        <f>VLOOKUP(B34,$B$11:B33,1,FALSE)</f>
        <v>#N/A</v>
      </c>
      <c r="M34" s="317">
        <f>G34*(1-FORM!$AE$28/100)</f>
        <v>189.75</v>
      </c>
      <c r="O34" s="502"/>
    </row>
    <row r="35" spans="1:15">
      <c r="A35" s="153"/>
      <c r="B35" s="406">
        <v>9255083</v>
      </c>
      <c r="C35" s="265" t="s">
        <v>538</v>
      </c>
      <c r="D35" s="266">
        <v>10</v>
      </c>
      <c r="E35" s="332"/>
      <c r="F35" s="333"/>
      <c r="G35" s="367">
        <v>189.75</v>
      </c>
      <c r="H35" s="157" t="str">
        <f t="shared" si="1"/>
        <v>CZK</v>
      </c>
      <c r="I35" s="334"/>
      <c r="J35" s="335" t="s">
        <v>54</v>
      </c>
      <c r="L35" s="97" t="e">
        <f>VLOOKUP(B35,$B$11:B34,1,FALSE)</f>
        <v>#N/A</v>
      </c>
      <c r="M35" s="317">
        <f>G35*(1-FORM!$AE$28/100)</f>
        <v>189.75</v>
      </c>
      <c r="O35" s="502"/>
    </row>
    <row r="36" spans="1:15">
      <c r="A36" s="153"/>
      <c r="B36" s="406">
        <v>9255084</v>
      </c>
      <c r="C36" s="265" t="s">
        <v>539</v>
      </c>
      <c r="D36" s="266">
        <v>10</v>
      </c>
      <c r="E36" s="332"/>
      <c r="F36" s="333"/>
      <c r="G36" s="367">
        <v>193.06</v>
      </c>
      <c r="H36" s="157" t="str">
        <f t="shared" si="1"/>
        <v>CZK</v>
      </c>
      <c r="I36" s="334"/>
      <c r="J36" s="335" t="s">
        <v>54</v>
      </c>
      <c r="L36" s="97" t="e">
        <f>VLOOKUP(B36,$B$11:B35,1,FALSE)</f>
        <v>#N/A</v>
      </c>
      <c r="M36" s="317">
        <f>G36*(1-FORM!$AE$28/100)</f>
        <v>193.06</v>
      </c>
      <c r="O36" s="502"/>
    </row>
    <row r="37" spans="1:15">
      <c r="A37" s="153"/>
      <c r="B37" s="406">
        <v>9255085</v>
      </c>
      <c r="C37" s="265" t="s">
        <v>540</v>
      </c>
      <c r="D37" s="266">
        <v>10</v>
      </c>
      <c r="E37" s="332"/>
      <c r="F37" s="333"/>
      <c r="G37" s="367">
        <v>193.06</v>
      </c>
      <c r="H37" s="157" t="str">
        <f t="shared" si="1"/>
        <v>CZK</v>
      </c>
      <c r="I37" s="334"/>
      <c r="J37" s="335" t="s">
        <v>54</v>
      </c>
      <c r="L37" s="97" t="e">
        <f>VLOOKUP(B37,$B$11:B36,1,FALSE)</f>
        <v>#N/A</v>
      </c>
      <c r="M37" s="317">
        <f>G37*(1-FORM!$AE$28/100)</f>
        <v>193.06</v>
      </c>
      <c r="O37" s="502"/>
    </row>
    <row r="38" spans="1:15">
      <c r="A38" s="153"/>
      <c r="B38" s="406">
        <v>9255086</v>
      </c>
      <c r="C38" s="265" t="s">
        <v>541</v>
      </c>
      <c r="D38" s="266">
        <v>10</v>
      </c>
      <c r="E38" s="332"/>
      <c r="F38" s="333"/>
      <c r="G38" s="367">
        <v>196.37</v>
      </c>
      <c r="H38" s="157" t="str">
        <f t="shared" si="1"/>
        <v>CZK</v>
      </c>
      <c r="I38" s="334"/>
      <c r="J38" s="335" t="s">
        <v>54</v>
      </c>
      <c r="L38" s="97" t="e">
        <f>VLOOKUP(B38,$B$11:B37,1,FALSE)</f>
        <v>#N/A</v>
      </c>
      <c r="M38" s="317">
        <f>G38*(1-FORM!$AE$28/100)</f>
        <v>196.37</v>
      </c>
      <c r="O38" s="502"/>
    </row>
    <row r="39" spans="1:15">
      <c r="A39" s="153"/>
      <c r="B39" s="411">
        <v>9255087</v>
      </c>
      <c r="C39" s="412" t="s">
        <v>542</v>
      </c>
      <c r="D39" s="275">
        <v>10</v>
      </c>
      <c r="E39" s="356"/>
      <c r="F39" s="357"/>
      <c r="G39" s="373">
        <v>196.37</v>
      </c>
      <c r="H39" s="158" t="str">
        <f t="shared" si="1"/>
        <v>CZK</v>
      </c>
      <c r="I39" s="358"/>
      <c r="J39" s="359" t="s">
        <v>54</v>
      </c>
      <c r="L39" s="97" t="e">
        <f>VLOOKUP(B39,$B$11:B38,1,FALSE)</f>
        <v>#N/A</v>
      </c>
      <c r="M39" s="317">
        <f>G39*(1-FORM!$AE$28/100)</f>
        <v>196.37</v>
      </c>
      <c r="O39" s="502"/>
    </row>
    <row r="40" spans="1:15">
      <c r="A40" s="155"/>
      <c r="B40" s="409">
        <v>9255160</v>
      </c>
      <c r="C40" s="271" t="s">
        <v>543</v>
      </c>
      <c r="D40" s="272">
        <v>10</v>
      </c>
      <c r="E40" s="350"/>
      <c r="F40" s="351"/>
      <c r="G40" s="371">
        <v>186.44</v>
      </c>
      <c r="H40" s="254" t="str">
        <f t="shared" si="1"/>
        <v>CZK</v>
      </c>
      <c r="I40" s="352"/>
      <c r="J40" s="353" t="s">
        <v>54</v>
      </c>
      <c r="L40" s="97" t="e">
        <f>VLOOKUP(B40,$B$11:B39,1,FALSE)</f>
        <v>#N/A</v>
      </c>
      <c r="M40" s="317">
        <f>G40*(1-FORM!$AE$28/100)</f>
        <v>186.44</v>
      </c>
      <c r="O40" s="502"/>
    </row>
    <row r="41" spans="1:15">
      <c r="A41" s="155"/>
      <c r="B41" s="406">
        <v>9255161</v>
      </c>
      <c r="C41" s="265" t="s">
        <v>544</v>
      </c>
      <c r="D41" s="266">
        <v>10</v>
      </c>
      <c r="E41" s="332"/>
      <c r="F41" s="333"/>
      <c r="G41" s="367">
        <v>186.44</v>
      </c>
      <c r="H41" s="157" t="str">
        <f t="shared" si="1"/>
        <v>CZK</v>
      </c>
      <c r="I41" s="334"/>
      <c r="J41" s="335" t="s">
        <v>54</v>
      </c>
      <c r="L41" s="97" t="e">
        <f>VLOOKUP(B41,$B$11:B40,1,FALSE)</f>
        <v>#N/A</v>
      </c>
      <c r="M41" s="317">
        <f>G41*(1-FORM!$AE$28/100)</f>
        <v>186.44</v>
      </c>
      <c r="O41" s="502"/>
    </row>
    <row r="42" spans="1:15">
      <c r="A42" s="155"/>
      <c r="B42" s="406">
        <v>9255162</v>
      </c>
      <c r="C42" s="265" t="s">
        <v>545</v>
      </c>
      <c r="D42" s="266">
        <v>10</v>
      </c>
      <c r="E42" s="332"/>
      <c r="F42" s="333"/>
      <c r="G42" s="367">
        <v>189.75</v>
      </c>
      <c r="H42" s="157" t="str">
        <f t="shared" si="1"/>
        <v>CZK</v>
      </c>
      <c r="I42" s="334"/>
      <c r="J42" s="335" t="s">
        <v>54</v>
      </c>
      <c r="L42" s="97" t="e">
        <f>VLOOKUP(B42,$B$11:B41,1,FALSE)</f>
        <v>#N/A</v>
      </c>
      <c r="M42" s="317">
        <f>G42*(1-FORM!$AE$28/100)</f>
        <v>189.75</v>
      </c>
      <c r="O42" s="502"/>
    </row>
    <row r="43" spans="1:15">
      <c r="A43" s="155"/>
      <c r="B43" s="406">
        <v>9255163</v>
      </c>
      <c r="C43" s="265" t="s">
        <v>546</v>
      </c>
      <c r="D43" s="266">
        <v>10</v>
      </c>
      <c r="E43" s="332"/>
      <c r="F43" s="333"/>
      <c r="G43" s="367">
        <v>189.75</v>
      </c>
      <c r="H43" s="157" t="str">
        <f t="shared" si="1"/>
        <v>CZK</v>
      </c>
      <c r="I43" s="334"/>
      <c r="J43" s="335" t="s">
        <v>54</v>
      </c>
      <c r="L43" s="97" t="e">
        <f>VLOOKUP(B43,$B$11:B42,1,FALSE)</f>
        <v>#N/A</v>
      </c>
      <c r="M43" s="317">
        <f>G43*(1-FORM!$AE$28/100)</f>
        <v>189.75</v>
      </c>
      <c r="O43" s="502"/>
    </row>
    <row r="44" spans="1:15">
      <c r="A44" s="155"/>
      <c r="B44" s="406">
        <v>9255164</v>
      </c>
      <c r="C44" s="265" t="s">
        <v>547</v>
      </c>
      <c r="D44" s="266">
        <v>10</v>
      </c>
      <c r="E44" s="332"/>
      <c r="F44" s="333"/>
      <c r="G44" s="367">
        <v>193.06</v>
      </c>
      <c r="H44" s="157" t="str">
        <f t="shared" si="1"/>
        <v>CZK</v>
      </c>
      <c r="I44" s="334"/>
      <c r="J44" s="335" t="s">
        <v>54</v>
      </c>
      <c r="L44" s="97" t="e">
        <f>VLOOKUP(B44,$B$11:B43,1,FALSE)</f>
        <v>#N/A</v>
      </c>
      <c r="M44" s="317">
        <f>G44*(1-FORM!$AE$28/100)</f>
        <v>193.06</v>
      </c>
      <c r="O44" s="502"/>
    </row>
    <row r="45" spans="1:15">
      <c r="A45" s="155"/>
      <c r="B45" s="406">
        <v>9255165</v>
      </c>
      <c r="C45" s="265" t="s">
        <v>548</v>
      </c>
      <c r="D45" s="266">
        <v>10</v>
      </c>
      <c r="E45" s="332"/>
      <c r="F45" s="333"/>
      <c r="G45" s="367">
        <v>193.06</v>
      </c>
      <c r="H45" s="157" t="str">
        <f t="shared" si="1"/>
        <v>CZK</v>
      </c>
      <c r="I45" s="334"/>
      <c r="J45" s="335" t="s">
        <v>54</v>
      </c>
      <c r="L45" s="97" t="e">
        <f>VLOOKUP(B45,$B$11:B44,1,FALSE)</f>
        <v>#N/A</v>
      </c>
      <c r="M45" s="317">
        <f>G45*(1-FORM!$AE$28/100)</f>
        <v>193.06</v>
      </c>
      <c r="O45" s="502"/>
    </row>
    <row r="46" spans="1:15">
      <c r="A46" s="155"/>
      <c r="B46" s="406">
        <v>9255166</v>
      </c>
      <c r="C46" s="265" t="s">
        <v>549</v>
      </c>
      <c r="D46" s="266">
        <v>10</v>
      </c>
      <c r="E46" s="332"/>
      <c r="F46" s="333"/>
      <c r="G46" s="367">
        <v>196.37</v>
      </c>
      <c r="H46" s="157" t="str">
        <f t="shared" si="1"/>
        <v>CZK</v>
      </c>
      <c r="I46" s="334"/>
      <c r="J46" s="335" t="s">
        <v>54</v>
      </c>
      <c r="L46" s="97" t="e">
        <f>VLOOKUP(B46,$B$11:B45,1,FALSE)</f>
        <v>#N/A</v>
      </c>
      <c r="M46" s="317">
        <f>G46*(1-FORM!$AE$28/100)</f>
        <v>196.37</v>
      </c>
      <c r="O46" s="502"/>
    </row>
    <row r="47" spans="1:15">
      <c r="A47" s="155"/>
      <c r="B47" s="411">
        <v>9255167</v>
      </c>
      <c r="C47" s="412" t="s">
        <v>550</v>
      </c>
      <c r="D47" s="275">
        <v>10</v>
      </c>
      <c r="E47" s="356"/>
      <c r="F47" s="357"/>
      <c r="G47" s="373">
        <v>196.37</v>
      </c>
      <c r="H47" s="158" t="str">
        <f t="shared" si="1"/>
        <v>CZK</v>
      </c>
      <c r="I47" s="358"/>
      <c r="J47" s="359" t="s">
        <v>54</v>
      </c>
      <c r="L47" s="97" t="e">
        <f>VLOOKUP(B47,$B$11:B46,1,FALSE)</f>
        <v>#N/A</v>
      </c>
      <c r="M47" s="317">
        <f>G47*(1-FORM!$AE$28/100)</f>
        <v>196.37</v>
      </c>
      <c r="O47" s="502"/>
    </row>
    <row r="48" spans="1:15">
      <c r="B48" s="409">
        <v>9255832</v>
      </c>
      <c r="C48" s="271" t="s">
        <v>551</v>
      </c>
      <c r="D48" s="272">
        <v>100</v>
      </c>
      <c r="E48" s="350"/>
      <c r="F48" s="351"/>
      <c r="G48" s="371">
        <v>17.72</v>
      </c>
      <c r="H48" s="254" t="str">
        <f t="shared" si="1"/>
        <v>CZK</v>
      </c>
      <c r="I48" s="352"/>
      <c r="J48" s="353" t="s">
        <v>54</v>
      </c>
      <c r="L48" s="97" t="e">
        <f>VLOOKUP(B48,$B$11:B47,1,FALSE)</f>
        <v>#N/A</v>
      </c>
      <c r="M48" s="317">
        <f>G48*(1-FORM!$AE$28/100)</f>
        <v>17.72</v>
      </c>
      <c r="O48" s="502"/>
    </row>
    <row r="49" spans="1:15">
      <c r="B49" s="411">
        <v>9255833</v>
      </c>
      <c r="C49" s="412" t="s">
        <v>552</v>
      </c>
      <c r="D49" s="275">
        <v>100</v>
      </c>
      <c r="E49" s="356"/>
      <c r="F49" s="357"/>
      <c r="G49" s="373">
        <v>18.37</v>
      </c>
      <c r="H49" s="158" t="str">
        <f t="shared" si="1"/>
        <v>CZK</v>
      </c>
      <c r="I49" s="358"/>
      <c r="J49" s="359" t="s">
        <v>54</v>
      </c>
      <c r="L49" s="97" t="e">
        <f>VLOOKUP(B49,$B$11:B48,1,FALSE)</f>
        <v>#N/A</v>
      </c>
      <c r="M49" s="317">
        <f>G49*(1-FORM!$AE$28/100)</f>
        <v>18.37</v>
      </c>
      <c r="O49" s="502"/>
    </row>
    <row r="50" spans="1:15">
      <c r="B50" s="410"/>
      <c r="C50" s="17"/>
      <c r="D50" s="270"/>
      <c r="E50" s="346"/>
      <c r="F50" s="347"/>
      <c r="G50" s="370"/>
      <c r="H50" s="152"/>
      <c r="I50" s="348"/>
      <c r="J50" s="349"/>
      <c r="M50" s="317"/>
      <c r="O50" s="502"/>
    </row>
    <row r="51" spans="1:15">
      <c r="A51" s="146"/>
      <c r="B51" s="409">
        <v>9255244</v>
      </c>
      <c r="C51" s="271" t="s">
        <v>553</v>
      </c>
      <c r="D51" s="272">
        <v>1</v>
      </c>
      <c r="E51" s="350"/>
      <c r="F51" s="351"/>
      <c r="G51" s="371">
        <v>561.98</v>
      </c>
      <c r="H51" s="254" t="str">
        <f t="shared" si="1"/>
        <v>CZK</v>
      </c>
      <c r="I51" s="352"/>
      <c r="J51" s="353" t="s">
        <v>54</v>
      </c>
      <c r="L51" s="97" t="e">
        <f>VLOOKUP(B51,$B$11:B49,1,FALSE)</f>
        <v>#N/A</v>
      </c>
      <c r="M51" s="317">
        <f>G51*(1-FORM!$AE$28/100)</f>
        <v>561.98</v>
      </c>
      <c r="O51" s="502"/>
    </row>
    <row r="52" spans="1:15">
      <c r="A52" s="146"/>
      <c r="B52" s="406">
        <v>9255245</v>
      </c>
      <c r="C52" s="265" t="s">
        <v>554</v>
      </c>
      <c r="D52" s="266">
        <v>1</v>
      </c>
      <c r="E52" s="332"/>
      <c r="F52" s="333"/>
      <c r="G52" s="367">
        <v>566.15</v>
      </c>
      <c r="H52" s="157" t="str">
        <f t="shared" si="1"/>
        <v>CZK</v>
      </c>
      <c r="I52" s="334"/>
      <c r="J52" s="335" t="s">
        <v>54</v>
      </c>
      <c r="L52" s="97" t="e">
        <f>VLOOKUP(B52,$B$11:B51,1,FALSE)</f>
        <v>#N/A</v>
      </c>
      <c r="M52" s="317">
        <f>G52*(1-FORM!$AE$28/100)</f>
        <v>566.15</v>
      </c>
      <c r="O52" s="502"/>
    </row>
    <row r="53" spans="1:15">
      <c r="A53" s="146"/>
      <c r="B53" s="406">
        <v>9255246</v>
      </c>
      <c r="C53" s="265" t="s">
        <v>555</v>
      </c>
      <c r="D53" s="266">
        <v>1</v>
      </c>
      <c r="E53" s="332"/>
      <c r="F53" s="333"/>
      <c r="G53" s="367">
        <v>573.11</v>
      </c>
      <c r="H53" s="157" t="str">
        <f>IF(G53="","",$H$10)</f>
        <v>CZK</v>
      </c>
      <c r="I53" s="334"/>
      <c r="J53" s="335" t="s">
        <v>54</v>
      </c>
      <c r="L53" s="97" t="e">
        <f>VLOOKUP(B53,$B$11:B52,1,FALSE)</f>
        <v>#N/A</v>
      </c>
      <c r="M53" s="317">
        <f>G53*(1-FORM!$AE$28/100)</f>
        <v>573.11</v>
      </c>
      <c r="O53" s="502"/>
    </row>
    <row r="54" spans="1:15">
      <c r="A54" s="146"/>
      <c r="B54" s="406">
        <v>9255247</v>
      </c>
      <c r="C54" s="265" t="s">
        <v>556</v>
      </c>
      <c r="D54" s="266">
        <v>1</v>
      </c>
      <c r="E54" s="332"/>
      <c r="F54" s="333"/>
      <c r="G54" s="367">
        <v>580.07000000000005</v>
      </c>
      <c r="H54" s="157" t="str">
        <f>IF(G54="","",$H$10)</f>
        <v>CZK</v>
      </c>
      <c r="I54" s="334"/>
      <c r="J54" s="335" t="s">
        <v>54</v>
      </c>
      <c r="L54" s="97" t="e">
        <f>VLOOKUP(B54,$B$11:B53,1,FALSE)</f>
        <v>#N/A</v>
      </c>
      <c r="M54" s="317">
        <f>G54*(1-FORM!$AE$28/100)</f>
        <v>580.07000000000005</v>
      </c>
      <c r="O54" s="502"/>
    </row>
    <row r="55" spans="1:15">
      <c r="A55" s="146"/>
      <c r="B55" s="406">
        <v>9255248</v>
      </c>
      <c r="C55" s="265" t="s">
        <v>557</v>
      </c>
      <c r="D55" s="266">
        <v>1</v>
      </c>
      <c r="E55" s="332"/>
      <c r="F55" s="333"/>
      <c r="G55" s="367">
        <v>587.04</v>
      </c>
      <c r="H55" s="157" t="str">
        <f>IF(G55="","",$H$10)</f>
        <v>CZK</v>
      </c>
      <c r="I55" s="334"/>
      <c r="J55" s="335" t="s">
        <v>54</v>
      </c>
      <c r="L55" s="97" t="e">
        <f>VLOOKUP(B55,$B$11:B54,1,FALSE)</f>
        <v>#N/A</v>
      </c>
      <c r="M55" s="317">
        <f>G55*(1-FORM!$AE$28/100)</f>
        <v>587.04</v>
      </c>
      <c r="O55" s="502"/>
    </row>
    <row r="56" spans="1:15">
      <c r="A56" s="146"/>
      <c r="B56" s="406">
        <v>9255249</v>
      </c>
      <c r="C56" s="265" t="s">
        <v>558</v>
      </c>
      <c r="D56" s="266">
        <v>1</v>
      </c>
      <c r="E56" s="332"/>
      <c r="F56" s="333"/>
      <c r="G56" s="367">
        <v>594</v>
      </c>
      <c r="H56" s="157" t="str">
        <f t="shared" ref="H56:H62" si="2">IF(G56="","",$H$10)</f>
        <v>CZK</v>
      </c>
      <c r="I56" s="334"/>
      <c r="J56" s="335" t="s">
        <v>54</v>
      </c>
      <c r="L56" s="97" t="e">
        <f>VLOOKUP(B56,$B$11:B55,1,FALSE)</f>
        <v>#N/A</v>
      </c>
      <c r="M56" s="317">
        <f>G56*(1-FORM!$AE$28/100)</f>
        <v>594</v>
      </c>
      <c r="O56" s="502"/>
    </row>
    <row r="57" spans="1:15">
      <c r="A57" s="146"/>
      <c r="B57" s="406">
        <v>9255250</v>
      </c>
      <c r="C57" s="265" t="s">
        <v>559</v>
      </c>
      <c r="D57" s="266">
        <v>1</v>
      </c>
      <c r="E57" s="332"/>
      <c r="F57" s="333"/>
      <c r="G57" s="367">
        <v>600.96</v>
      </c>
      <c r="H57" s="157" t="str">
        <f t="shared" si="2"/>
        <v>CZK</v>
      </c>
      <c r="I57" s="334"/>
      <c r="J57" s="335" t="s">
        <v>54</v>
      </c>
      <c r="L57" s="97" t="e">
        <f>VLOOKUP(B57,$B$11:B56,1,FALSE)</f>
        <v>#N/A</v>
      </c>
      <c r="M57" s="317">
        <f>G57*(1-FORM!$AE$28/100)</f>
        <v>600.96</v>
      </c>
      <c r="O57" s="502"/>
    </row>
    <row r="58" spans="1:15">
      <c r="A58" s="146"/>
      <c r="B58" s="406">
        <v>9255251</v>
      </c>
      <c r="C58" s="265" t="s">
        <v>560</v>
      </c>
      <c r="D58" s="266">
        <v>1</v>
      </c>
      <c r="E58" s="332"/>
      <c r="F58" s="333"/>
      <c r="G58" s="367">
        <v>611.46</v>
      </c>
      <c r="H58" s="157" t="str">
        <f t="shared" si="2"/>
        <v>CZK</v>
      </c>
      <c r="I58" s="334"/>
      <c r="J58" s="335" t="s">
        <v>54</v>
      </c>
      <c r="L58" s="97" t="e">
        <f>VLOOKUP(B58,$B$11:B57,1,FALSE)</f>
        <v>#N/A</v>
      </c>
      <c r="M58" s="317">
        <f>G58*(1-FORM!$AE$28/100)</f>
        <v>611.46</v>
      </c>
      <c r="O58" s="502"/>
    </row>
    <row r="59" spans="1:15">
      <c r="A59" s="146"/>
      <c r="B59" s="411">
        <v>9255252</v>
      </c>
      <c r="C59" s="412" t="s">
        <v>561</v>
      </c>
      <c r="D59" s="275">
        <v>1</v>
      </c>
      <c r="E59" s="356"/>
      <c r="F59" s="357"/>
      <c r="G59" s="373">
        <v>625.73</v>
      </c>
      <c r="H59" s="158" t="str">
        <f t="shared" si="2"/>
        <v>CZK</v>
      </c>
      <c r="I59" s="358"/>
      <c r="J59" s="359" t="s">
        <v>54</v>
      </c>
      <c r="L59" s="97" t="e">
        <f>VLOOKUP(B59,$B$11:B58,1,FALSE)</f>
        <v>#N/A</v>
      </c>
      <c r="M59" s="317">
        <f>G59*(1-FORM!$AE$28/100)</f>
        <v>625.73</v>
      </c>
      <c r="O59" s="502"/>
    </row>
    <row r="60" spans="1:15">
      <c r="A60" s="153"/>
      <c r="B60" s="409">
        <v>9255284</v>
      </c>
      <c r="C60" s="271" t="s">
        <v>562</v>
      </c>
      <c r="D60" s="272">
        <v>1</v>
      </c>
      <c r="E60" s="350"/>
      <c r="F60" s="351"/>
      <c r="G60" s="371">
        <v>561.98</v>
      </c>
      <c r="H60" s="254" t="str">
        <f t="shared" si="2"/>
        <v>CZK</v>
      </c>
      <c r="I60" s="352"/>
      <c r="J60" s="353" t="s">
        <v>54</v>
      </c>
      <c r="L60" s="97" t="e">
        <f>VLOOKUP(B60,$B$11:B59,1,FALSE)</f>
        <v>#N/A</v>
      </c>
      <c r="M60" s="317">
        <f>G60*(1-FORM!$AE$28/100)</f>
        <v>561.98</v>
      </c>
      <c r="O60" s="502"/>
    </row>
    <row r="61" spans="1:15">
      <c r="A61" s="153"/>
      <c r="B61" s="406">
        <v>9255285</v>
      </c>
      <c r="C61" s="265" t="s">
        <v>563</v>
      </c>
      <c r="D61" s="266">
        <v>1</v>
      </c>
      <c r="E61" s="332"/>
      <c r="F61" s="333"/>
      <c r="G61" s="367">
        <v>566.15</v>
      </c>
      <c r="H61" s="157" t="str">
        <f t="shared" si="2"/>
        <v>CZK</v>
      </c>
      <c r="I61" s="334"/>
      <c r="J61" s="335" t="s">
        <v>54</v>
      </c>
      <c r="L61" s="97" t="e">
        <f>VLOOKUP(B61,$B$11:B60,1,FALSE)</f>
        <v>#N/A</v>
      </c>
      <c r="M61" s="317">
        <f>G61*(1-FORM!$AE$28/100)</f>
        <v>566.15</v>
      </c>
      <c r="O61" s="502"/>
    </row>
    <row r="62" spans="1:15">
      <c r="A62" s="153"/>
      <c r="B62" s="406">
        <v>9255286</v>
      </c>
      <c r="C62" s="265" t="s">
        <v>564</v>
      </c>
      <c r="D62" s="266">
        <v>1</v>
      </c>
      <c r="E62" s="332"/>
      <c r="F62" s="333"/>
      <c r="G62" s="367">
        <v>573.11</v>
      </c>
      <c r="H62" s="157" t="str">
        <f t="shared" si="2"/>
        <v>CZK</v>
      </c>
      <c r="I62" s="334"/>
      <c r="J62" s="335" t="s">
        <v>54</v>
      </c>
      <c r="L62" s="97" t="e">
        <f>VLOOKUP(B62,$B$11:B61,1,FALSE)</f>
        <v>#N/A</v>
      </c>
      <c r="M62" s="317">
        <f>G62*(1-FORM!$AE$28/100)</f>
        <v>573.11</v>
      </c>
      <c r="O62" s="502"/>
    </row>
    <row r="63" spans="1:15">
      <c r="A63" s="153"/>
      <c r="B63" s="406">
        <v>9255287</v>
      </c>
      <c r="C63" s="265" t="s">
        <v>565</v>
      </c>
      <c r="D63" s="266">
        <v>1</v>
      </c>
      <c r="E63" s="332"/>
      <c r="F63" s="333"/>
      <c r="G63" s="367">
        <v>580.07000000000005</v>
      </c>
      <c r="H63" s="157" t="str">
        <f t="shared" ref="H63:H75" si="3">IF(G63="","",$H$10)</f>
        <v>CZK</v>
      </c>
      <c r="I63" s="334"/>
      <c r="J63" s="335" t="s">
        <v>54</v>
      </c>
      <c r="L63" s="97" t="e">
        <f>VLOOKUP(B63,$B$11:B62,1,FALSE)</f>
        <v>#N/A</v>
      </c>
      <c r="M63" s="317">
        <f>G63*(1-FORM!$AE$28/100)</f>
        <v>580.07000000000005</v>
      </c>
      <c r="O63" s="502"/>
    </row>
    <row r="64" spans="1:15">
      <c r="A64" s="153"/>
      <c r="B64" s="406">
        <v>9255288</v>
      </c>
      <c r="C64" s="265" t="s">
        <v>566</v>
      </c>
      <c r="D64" s="266">
        <v>1</v>
      </c>
      <c r="E64" s="332"/>
      <c r="F64" s="333"/>
      <c r="G64" s="367">
        <v>587.04</v>
      </c>
      <c r="H64" s="157" t="str">
        <f t="shared" si="3"/>
        <v>CZK</v>
      </c>
      <c r="I64" s="334"/>
      <c r="J64" s="335" t="s">
        <v>54</v>
      </c>
      <c r="L64" s="97" t="e">
        <f>VLOOKUP(B64,$B$11:B63,1,FALSE)</f>
        <v>#N/A</v>
      </c>
      <c r="M64" s="317">
        <f>G64*(1-FORM!$AE$28/100)</f>
        <v>587.04</v>
      </c>
      <c r="O64" s="502"/>
    </row>
    <row r="65" spans="1:15">
      <c r="A65" s="153"/>
      <c r="B65" s="406">
        <v>9255289</v>
      </c>
      <c r="C65" s="265" t="s">
        <v>567</v>
      </c>
      <c r="D65" s="266">
        <v>1</v>
      </c>
      <c r="E65" s="332"/>
      <c r="F65" s="333"/>
      <c r="G65" s="367">
        <v>594</v>
      </c>
      <c r="H65" s="157" t="str">
        <f t="shared" si="3"/>
        <v>CZK</v>
      </c>
      <c r="I65" s="334"/>
      <c r="J65" s="335" t="s">
        <v>54</v>
      </c>
      <c r="L65" s="97" t="e">
        <f>VLOOKUP(B65,$B$11:B64,1,FALSE)</f>
        <v>#N/A</v>
      </c>
      <c r="M65" s="317">
        <f>G65*(1-FORM!$AE$28/100)</f>
        <v>594</v>
      </c>
      <c r="O65" s="502"/>
    </row>
    <row r="66" spans="1:15">
      <c r="A66" s="153"/>
      <c r="B66" s="406">
        <v>9255290</v>
      </c>
      <c r="C66" s="265" t="s">
        <v>568</v>
      </c>
      <c r="D66" s="266">
        <v>1</v>
      </c>
      <c r="E66" s="332"/>
      <c r="F66" s="333"/>
      <c r="G66" s="367">
        <v>600.96</v>
      </c>
      <c r="H66" s="157" t="str">
        <f t="shared" si="3"/>
        <v>CZK</v>
      </c>
      <c r="I66" s="334"/>
      <c r="J66" s="335" t="s">
        <v>54</v>
      </c>
      <c r="L66" s="97" t="e">
        <f>VLOOKUP(B66,$B$11:B65,1,FALSE)</f>
        <v>#N/A</v>
      </c>
      <c r="M66" s="317">
        <f>G66*(1-FORM!$AE$28/100)</f>
        <v>600.96</v>
      </c>
      <c r="O66" s="502"/>
    </row>
    <row r="67" spans="1:15">
      <c r="A67" s="153"/>
      <c r="B67" s="406">
        <v>9255291</v>
      </c>
      <c r="C67" s="265" t="s">
        <v>569</v>
      </c>
      <c r="D67" s="266">
        <v>1</v>
      </c>
      <c r="E67" s="332"/>
      <c r="F67" s="333"/>
      <c r="G67" s="367">
        <v>611.46</v>
      </c>
      <c r="H67" s="157" t="str">
        <f t="shared" si="3"/>
        <v>CZK</v>
      </c>
      <c r="I67" s="334"/>
      <c r="J67" s="335" t="s">
        <v>54</v>
      </c>
      <c r="L67" s="97" t="e">
        <f>VLOOKUP(B67,$B$11:B66,1,FALSE)</f>
        <v>#N/A</v>
      </c>
      <c r="M67" s="317">
        <f>G67*(1-FORM!$AE$28/100)</f>
        <v>611.46</v>
      </c>
      <c r="O67" s="502"/>
    </row>
    <row r="68" spans="1:15">
      <c r="A68" s="153"/>
      <c r="B68" s="411">
        <v>9255292</v>
      </c>
      <c r="C68" s="412" t="s">
        <v>570</v>
      </c>
      <c r="D68" s="275">
        <v>1</v>
      </c>
      <c r="E68" s="356"/>
      <c r="F68" s="357"/>
      <c r="G68" s="373">
        <v>625.73</v>
      </c>
      <c r="H68" s="158" t="str">
        <f t="shared" si="3"/>
        <v>CZK</v>
      </c>
      <c r="I68" s="358"/>
      <c r="J68" s="359" t="s">
        <v>54</v>
      </c>
      <c r="L68" s="97" t="e">
        <f>VLOOKUP(B68,$B$11:B67,1,FALSE)</f>
        <v>#N/A</v>
      </c>
      <c r="M68" s="317">
        <f>G68*(1-FORM!$AE$28/100)</f>
        <v>625.73</v>
      </c>
      <c r="O68" s="502"/>
    </row>
    <row r="69" spans="1:15">
      <c r="A69" s="155"/>
      <c r="B69" s="409">
        <v>9255324</v>
      </c>
      <c r="C69" s="271" t="s">
        <v>571</v>
      </c>
      <c r="D69" s="272">
        <v>1</v>
      </c>
      <c r="E69" s="350"/>
      <c r="F69" s="351"/>
      <c r="G69" s="371">
        <v>561.98</v>
      </c>
      <c r="H69" s="254" t="str">
        <f t="shared" si="3"/>
        <v>CZK</v>
      </c>
      <c r="I69" s="352"/>
      <c r="J69" s="353" t="s">
        <v>54</v>
      </c>
      <c r="L69" s="97" t="e">
        <f>VLOOKUP(B69,$B$11:B68,1,FALSE)</f>
        <v>#N/A</v>
      </c>
      <c r="M69" s="317">
        <f>G69*(1-FORM!$AE$28/100)</f>
        <v>561.98</v>
      </c>
      <c r="O69" s="502"/>
    </row>
    <row r="70" spans="1:15">
      <c r="A70" s="155"/>
      <c r="B70" s="406">
        <v>9255325</v>
      </c>
      <c r="C70" s="265" t="s">
        <v>572</v>
      </c>
      <c r="D70" s="266">
        <v>1</v>
      </c>
      <c r="E70" s="332"/>
      <c r="F70" s="333"/>
      <c r="G70" s="367">
        <v>566.15</v>
      </c>
      <c r="H70" s="157" t="str">
        <f t="shared" si="3"/>
        <v>CZK</v>
      </c>
      <c r="I70" s="334"/>
      <c r="J70" s="335" t="s">
        <v>54</v>
      </c>
      <c r="L70" s="97" t="e">
        <f>VLOOKUP(B70,$B$11:B69,1,FALSE)</f>
        <v>#N/A</v>
      </c>
      <c r="M70" s="317">
        <f>G70*(1-FORM!$AE$28/100)</f>
        <v>566.15</v>
      </c>
      <c r="O70" s="502"/>
    </row>
    <row r="71" spans="1:15">
      <c r="A71" s="155"/>
      <c r="B71" s="406">
        <v>9255326</v>
      </c>
      <c r="C71" s="265" t="s">
        <v>573</v>
      </c>
      <c r="D71" s="266">
        <v>1</v>
      </c>
      <c r="E71" s="332"/>
      <c r="F71" s="333"/>
      <c r="G71" s="367">
        <v>573.11</v>
      </c>
      <c r="H71" s="157" t="str">
        <f t="shared" si="3"/>
        <v>CZK</v>
      </c>
      <c r="I71" s="334"/>
      <c r="J71" s="335" t="s">
        <v>54</v>
      </c>
      <c r="L71" s="97" t="e">
        <f>VLOOKUP(B71,$B$11:B70,1,FALSE)</f>
        <v>#N/A</v>
      </c>
      <c r="M71" s="317">
        <f>G71*(1-FORM!$AE$28/100)</f>
        <v>573.11</v>
      </c>
      <c r="O71" s="502"/>
    </row>
    <row r="72" spans="1:15">
      <c r="A72" s="155"/>
      <c r="B72" s="406">
        <v>9255327</v>
      </c>
      <c r="C72" s="265" t="s">
        <v>574</v>
      </c>
      <c r="D72" s="266">
        <v>1</v>
      </c>
      <c r="E72" s="332"/>
      <c r="F72" s="333"/>
      <c r="G72" s="367">
        <v>580.07000000000005</v>
      </c>
      <c r="H72" s="157" t="str">
        <f t="shared" si="3"/>
        <v>CZK</v>
      </c>
      <c r="I72" s="334"/>
      <c r="J72" s="335" t="s">
        <v>54</v>
      </c>
      <c r="L72" s="97" t="e">
        <f>VLOOKUP(B72,$B$11:B71,1,FALSE)</f>
        <v>#N/A</v>
      </c>
      <c r="M72" s="317">
        <f>G72*(1-FORM!$AE$28/100)</f>
        <v>580.07000000000005</v>
      </c>
      <c r="O72" s="502"/>
    </row>
    <row r="73" spans="1:15">
      <c r="A73" s="155"/>
      <c r="B73" s="406">
        <v>9255328</v>
      </c>
      <c r="C73" s="265" t="s">
        <v>575</v>
      </c>
      <c r="D73" s="266">
        <v>1</v>
      </c>
      <c r="E73" s="332"/>
      <c r="F73" s="333"/>
      <c r="G73" s="367">
        <v>587.04</v>
      </c>
      <c r="H73" s="157" t="str">
        <f t="shared" si="3"/>
        <v>CZK</v>
      </c>
      <c r="I73" s="334"/>
      <c r="J73" s="335" t="s">
        <v>54</v>
      </c>
      <c r="L73" s="97" t="e">
        <f>VLOOKUP(B73,$B$11:B72,1,FALSE)</f>
        <v>#N/A</v>
      </c>
      <c r="M73" s="317">
        <f>G73*(1-FORM!$AE$28/100)</f>
        <v>587.04</v>
      </c>
      <c r="O73" s="502"/>
    </row>
    <row r="74" spans="1:15">
      <c r="A74" s="155"/>
      <c r="B74" s="406">
        <v>9255329</v>
      </c>
      <c r="C74" s="265" t="s">
        <v>576</v>
      </c>
      <c r="D74" s="266">
        <v>1</v>
      </c>
      <c r="E74" s="332"/>
      <c r="F74" s="333"/>
      <c r="G74" s="367">
        <v>594</v>
      </c>
      <c r="H74" s="157" t="str">
        <f t="shared" si="3"/>
        <v>CZK</v>
      </c>
      <c r="I74" s="334"/>
      <c r="J74" s="335" t="s">
        <v>54</v>
      </c>
      <c r="L74" s="97" t="e">
        <f>VLOOKUP(B74,$B$11:B73,1,FALSE)</f>
        <v>#N/A</v>
      </c>
      <c r="M74" s="317">
        <f>G74*(1-FORM!$AE$28/100)</f>
        <v>594</v>
      </c>
      <c r="O74" s="502"/>
    </row>
    <row r="75" spans="1:15">
      <c r="A75" s="155"/>
      <c r="B75" s="406">
        <v>9255330</v>
      </c>
      <c r="C75" s="265" t="s">
        <v>577</v>
      </c>
      <c r="D75" s="266">
        <v>1</v>
      </c>
      <c r="E75" s="332"/>
      <c r="F75" s="333"/>
      <c r="G75" s="367">
        <v>600.96</v>
      </c>
      <c r="H75" s="157" t="str">
        <f t="shared" si="3"/>
        <v>CZK</v>
      </c>
      <c r="I75" s="334"/>
      <c r="J75" s="335" t="s">
        <v>54</v>
      </c>
      <c r="L75" s="97" t="e">
        <f>VLOOKUP(B75,$B$11:B74,1,FALSE)</f>
        <v>#N/A</v>
      </c>
      <c r="M75" s="317">
        <f>G75*(1-FORM!$AE$28/100)</f>
        <v>600.96</v>
      </c>
      <c r="O75" s="502"/>
    </row>
    <row r="76" spans="1:15">
      <c r="A76" s="155"/>
      <c r="B76" s="406">
        <v>9255331</v>
      </c>
      <c r="C76" s="265" t="s">
        <v>578</v>
      </c>
      <c r="D76" s="266">
        <v>1</v>
      </c>
      <c r="E76" s="332"/>
      <c r="F76" s="333"/>
      <c r="G76" s="367">
        <v>611.46</v>
      </c>
      <c r="H76" s="157" t="str">
        <f>IF(G76="","",$H$10)</f>
        <v>CZK</v>
      </c>
      <c r="I76" s="334"/>
      <c r="J76" s="335" t="s">
        <v>54</v>
      </c>
      <c r="L76" s="97" t="e">
        <f>VLOOKUP(B76,$B$11:B75,1,FALSE)</f>
        <v>#N/A</v>
      </c>
      <c r="M76" s="317">
        <f>G76*(1-FORM!$AE$28/100)</f>
        <v>611.46</v>
      </c>
      <c r="O76" s="502"/>
    </row>
    <row r="77" spans="1:15">
      <c r="A77" s="155"/>
      <c r="B77" s="411">
        <v>9255332</v>
      </c>
      <c r="C77" s="412" t="s">
        <v>579</v>
      </c>
      <c r="D77" s="275">
        <v>1</v>
      </c>
      <c r="E77" s="356"/>
      <c r="F77" s="357"/>
      <c r="G77" s="373">
        <v>625.73</v>
      </c>
      <c r="H77" s="158" t="str">
        <f t="shared" ref="H77:H84" si="4">IF(G77="","",$H$10)</f>
        <v>CZK</v>
      </c>
      <c r="I77" s="358"/>
      <c r="J77" s="359" t="s">
        <v>54</v>
      </c>
      <c r="L77" s="97" t="e">
        <f>VLOOKUP(B77,$B$11:B76,1,FALSE)</f>
        <v>#N/A</v>
      </c>
      <c r="M77" s="317">
        <f>G77*(1-FORM!$AE$28/100)</f>
        <v>625.73</v>
      </c>
      <c r="O77" s="502"/>
    </row>
    <row r="78" spans="1:15">
      <c r="B78" s="410">
        <v>9257702</v>
      </c>
      <c r="C78" s="17" t="s">
        <v>580</v>
      </c>
      <c r="D78" s="270">
        <v>200</v>
      </c>
      <c r="E78" s="346"/>
      <c r="F78" s="347"/>
      <c r="G78" s="370">
        <v>13.29</v>
      </c>
      <c r="H78" s="152" t="str">
        <f t="shared" si="4"/>
        <v>CZK</v>
      </c>
      <c r="I78" s="348"/>
      <c r="J78" s="349" t="s">
        <v>54</v>
      </c>
      <c r="L78" s="97" t="e">
        <f>VLOOKUP(B78,$B$11:B77,1,FALSE)</f>
        <v>#N/A</v>
      </c>
      <c r="M78" s="317">
        <f>G78*(1-FORM!$AE$28/100)</f>
        <v>13.29</v>
      </c>
      <c r="O78" s="502"/>
    </row>
    <row r="79" spans="1:15">
      <c r="A79" s="146"/>
      <c r="B79" s="409">
        <v>9255008</v>
      </c>
      <c r="C79" s="271" t="s">
        <v>581</v>
      </c>
      <c r="D79" s="272">
        <v>20</v>
      </c>
      <c r="E79" s="350"/>
      <c r="F79" s="351"/>
      <c r="G79" s="371">
        <v>177.84</v>
      </c>
      <c r="H79" s="254" t="str">
        <f t="shared" si="4"/>
        <v>CZK</v>
      </c>
      <c r="I79" s="352"/>
      <c r="J79" s="353" t="s">
        <v>54</v>
      </c>
      <c r="L79" s="97" t="e">
        <f>VLOOKUP(B79,$B$11:B78,1,FALSE)</f>
        <v>#N/A</v>
      </c>
      <c r="M79" s="317">
        <f>G79*(1-FORM!$AE$28/100)</f>
        <v>177.84</v>
      </c>
      <c r="O79" s="502"/>
    </row>
    <row r="80" spans="1:15">
      <c r="A80" s="146"/>
      <c r="B80" s="406">
        <v>9255009</v>
      </c>
      <c r="C80" s="265" t="s">
        <v>582</v>
      </c>
      <c r="D80" s="266">
        <v>20</v>
      </c>
      <c r="E80" s="332"/>
      <c r="F80" s="333"/>
      <c r="G80" s="367">
        <v>177.84</v>
      </c>
      <c r="H80" s="157" t="str">
        <f t="shared" si="4"/>
        <v>CZK</v>
      </c>
      <c r="I80" s="334"/>
      <c r="J80" s="335" t="s">
        <v>54</v>
      </c>
      <c r="L80" s="97" t="e">
        <f>VLOOKUP(B80,$B$11:B79,1,FALSE)</f>
        <v>#N/A</v>
      </c>
      <c r="M80" s="317">
        <f>G80*(1-FORM!$AE$28/100)</f>
        <v>177.84</v>
      </c>
      <c r="O80" s="502"/>
    </row>
    <row r="81" spans="1:15">
      <c r="A81" s="146"/>
      <c r="B81" s="406">
        <v>9255010</v>
      </c>
      <c r="C81" s="265" t="s">
        <v>583</v>
      </c>
      <c r="D81" s="266">
        <v>20</v>
      </c>
      <c r="E81" s="332"/>
      <c r="F81" s="333"/>
      <c r="G81" s="367">
        <v>179.82</v>
      </c>
      <c r="H81" s="157" t="str">
        <f t="shared" si="4"/>
        <v>CZK</v>
      </c>
      <c r="I81" s="334"/>
      <c r="J81" s="335" t="s">
        <v>54</v>
      </c>
      <c r="L81" s="97" t="e">
        <f>VLOOKUP(B81,$B$11:B80,1,FALSE)</f>
        <v>#N/A</v>
      </c>
      <c r="M81" s="317">
        <f>G81*(1-FORM!$AE$28/100)</f>
        <v>179.82</v>
      </c>
      <c r="O81" s="502"/>
    </row>
    <row r="82" spans="1:15">
      <c r="A82" s="146"/>
      <c r="B82" s="406">
        <v>9255011</v>
      </c>
      <c r="C82" s="265" t="s">
        <v>584</v>
      </c>
      <c r="D82" s="266">
        <v>20</v>
      </c>
      <c r="E82" s="332"/>
      <c r="F82" s="333"/>
      <c r="G82" s="367">
        <v>179.82</v>
      </c>
      <c r="H82" s="157" t="str">
        <f t="shared" si="4"/>
        <v>CZK</v>
      </c>
      <c r="I82" s="334"/>
      <c r="J82" s="335" t="s">
        <v>54</v>
      </c>
      <c r="L82" s="97" t="e">
        <f>VLOOKUP(B82,$B$11:B81,1,FALSE)</f>
        <v>#N/A</v>
      </c>
      <c r="M82" s="317">
        <f>G82*(1-FORM!$AE$28/100)</f>
        <v>179.82</v>
      </c>
      <c r="O82" s="502"/>
    </row>
    <row r="83" spans="1:15">
      <c r="A83" s="146"/>
      <c r="B83" s="406">
        <v>9255012</v>
      </c>
      <c r="C83" s="265" t="s">
        <v>585</v>
      </c>
      <c r="D83" s="266">
        <v>20</v>
      </c>
      <c r="E83" s="332"/>
      <c r="F83" s="333"/>
      <c r="G83" s="367">
        <v>183.13</v>
      </c>
      <c r="H83" s="157" t="str">
        <f>IF(G83="","",$H$10)</f>
        <v>CZK</v>
      </c>
      <c r="I83" s="334"/>
      <c r="J83" s="335" t="s">
        <v>54</v>
      </c>
      <c r="L83" s="97" t="e">
        <f>VLOOKUP(B83,$B$11:B82,1,FALSE)</f>
        <v>#N/A</v>
      </c>
      <c r="M83" s="317">
        <f>G83*(1-FORM!$AE$28/100)</f>
        <v>183.13</v>
      </c>
      <c r="O83" s="502"/>
    </row>
    <row r="84" spans="1:15">
      <c r="A84" s="146"/>
      <c r="B84" s="406">
        <v>9255013</v>
      </c>
      <c r="C84" s="265" t="s">
        <v>586</v>
      </c>
      <c r="D84" s="266">
        <v>20</v>
      </c>
      <c r="E84" s="332"/>
      <c r="F84" s="333"/>
      <c r="G84" s="367">
        <v>183.13</v>
      </c>
      <c r="H84" s="157" t="str">
        <f t="shared" si="4"/>
        <v>CZK</v>
      </c>
      <c r="I84" s="334"/>
      <c r="J84" s="335" t="s">
        <v>54</v>
      </c>
      <c r="L84" s="97" t="e">
        <f>VLOOKUP(B84,$B$11:B83,1,FALSE)</f>
        <v>#N/A</v>
      </c>
      <c r="M84" s="317">
        <f>G84*(1-FORM!$AE$28/100)</f>
        <v>183.13</v>
      </c>
      <c r="O84" s="502"/>
    </row>
    <row r="85" spans="1:15">
      <c r="A85" s="146"/>
      <c r="B85" s="406">
        <v>9255014</v>
      </c>
      <c r="C85" s="265" t="s">
        <v>587</v>
      </c>
      <c r="D85" s="266">
        <v>20</v>
      </c>
      <c r="E85" s="332"/>
      <c r="F85" s="333"/>
      <c r="G85" s="367">
        <v>186.44</v>
      </c>
      <c r="H85" s="157" t="str">
        <f>IF(G85="","",$H$10)</f>
        <v>CZK</v>
      </c>
      <c r="I85" s="334"/>
      <c r="J85" s="335" t="s">
        <v>54</v>
      </c>
      <c r="L85" s="97" t="e">
        <f>VLOOKUP(B85,$B$11:B84,1,FALSE)</f>
        <v>#N/A</v>
      </c>
      <c r="M85" s="317">
        <f>G85*(1-FORM!$AE$28/100)</f>
        <v>186.44</v>
      </c>
      <c r="O85" s="502"/>
    </row>
    <row r="86" spans="1:15">
      <c r="A86" s="146"/>
      <c r="B86" s="406">
        <v>9255015</v>
      </c>
      <c r="C86" s="265" t="s">
        <v>588</v>
      </c>
      <c r="D86" s="266">
        <v>20</v>
      </c>
      <c r="E86" s="332"/>
      <c r="F86" s="333"/>
      <c r="G86" s="367">
        <v>186.44</v>
      </c>
      <c r="H86" s="157" t="str">
        <f>IF(G86="","",$H$10)</f>
        <v>CZK</v>
      </c>
      <c r="I86" s="334"/>
      <c r="J86" s="335" t="s">
        <v>54</v>
      </c>
      <c r="L86" s="97" t="e">
        <f>VLOOKUP(B86,$B$11:B85,1,FALSE)</f>
        <v>#N/A</v>
      </c>
      <c r="M86" s="317">
        <f>G86*(1-FORM!$AE$28/100)</f>
        <v>186.44</v>
      </c>
      <c r="O86" s="502"/>
    </row>
    <row r="87" spans="1:15">
      <c r="A87" s="146"/>
      <c r="B87" s="406">
        <v>9255016</v>
      </c>
      <c r="C87" s="265" t="s">
        <v>589</v>
      </c>
      <c r="D87" s="266">
        <v>20</v>
      </c>
      <c r="E87" s="332"/>
      <c r="F87" s="333"/>
      <c r="G87" s="367">
        <v>189.75</v>
      </c>
      <c r="H87" s="157" t="str">
        <f>IF(G87="","",$H$10)</f>
        <v>CZK</v>
      </c>
      <c r="I87" s="334"/>
      <c r="J87" s="335" t="s">
        <v>54</v>
      </c>
      <c r="L87" s="97" t="e">
        <f>VLOOKUP(B87,$B$11:B86,1,FALSE)</f>
        <v>#N/A</v>
      </c>
      <c r="M87" s="317">
        <f>G87*(1-FORM!$AE$28/100)</f>
        <v>189.75</v>
      </c>
      <c r="O87" s="502"/>
    </row>
    <row r="88" spans="1:15">
      <c r="A88" s="146"/>
      <c r="B88" s="406">
        <v>9255017</v>
      </c>
      <c r="C88" s="265" t="s">
        <v>590</v>
      </c>
      <c r="D88" s="266">
        <v>20</v>
      </c>
      <c r="E88" s="332"/>
      <c r="F88" s="333"/>
      <c r="G88" s="367">
        <v>189.75</v>
      </c>
      <c r="H88" s="157" t="str">
        <f>IF(G88="","",$H$10)</f>
        <v>CZK</v>
      </c>
      <c r="I88" s="334"/>
      <c r="J88" s="335" t="s">
        <v>54</v>
      </c>
      <c r="L88" s="97" t="e">
        <f>VLOOKUP(B88,$B$11:B87,1,FALSE)</f>
        <v>#N/A</v>
      </c>
      <c r="M88" s="317">
        <f>G88*(1-FORM!$AE$28/100)</f>
        <v>189.75</v>
      </c>
      <c r="O88" s="502"/>
    </row>
    <row r="89" spans="1:15">
      <c r="A89" s="146"/>
      <c r="B89" s="406">
        <v>9255018</v>
      </c>
      <c r="C89" s="265" t="s">
        <v>591</v>
      </c>
      <c r="D89" s="266">
        <v>20</v>
      </c>
      <c r="E89" s="332"/>
      <c r="F89" s="333"/>
      <c r="G89" s="367">
        <v>193.06</v>
      </c>
      <c r="H89" s="157" t="str">
        <f>IF(G89="","",$H$10)</f>
        <v>CZK</v>
      </c>
      <c r="I89" s="334"/>
      <c r="J89" s="335" t="s">
        <v>54</v>
      </c>
      <c r="L89" s="97" t="e">
        <f>VLOOKUP(B89,$B$11:B88,1,FALSE)</f>
        <v>#N/A</v>
      </c>
      <c r="M89" s="317">
        <f>G89*(1-FORM!$AE$28/100)</f>
        <v>193.06</v>
      </c>
      <c r="O89" s="502"/>
    </row>
    <row r="90" spans="1:15">
      <c r="A90" s="146"/>
      <c r="B90" s="406">
        <v>9255019</v>
      </c>
      <c r="C90" s="265" t="s">
        <v>592</v>
      </c>
      <c r="D90" s="266">
        <v>20</v>
      </c>
      <c r="E90" s="332"/>
      <c r="F90" s="333"/>
      <c r="G90" s="367">
        <v>193.06</v>
      </c>
      <c r="H90" s="157" t="str">
        <f t="shared" ref="H90:H98" si="5">IF(G90="","",$H$10)</f>
        <v>CZK</v>
      </c>
      <c r="I90" s="334"/>
      <c r="J90" s="335" t="s">
        <v>54</v>
      </c>
      <c r="L90" s="97" t="e">
        <f>VLOOKUP(B90,$B$11:B89,1,FALSE)</f>
        <v>#N/A</v>
      </c>
      <c r="M90" s="317">
        <f>G90*(1-FORM!$AE$28/100)</f>
        <v>193.06</v>
      </c>
      <c r="O90" s="502"/>
    </row>
    <row r="91" spans="1:15">
      <c r="A91" s="146"/>
      <c r="B91" s="406">
        <v>9255020</v>
      </c>
      <c r="C91" s="265" t="s">
        <v>593</v>
      </c>
      <c r="D91" s="266">
        <v>20</v>
      </c>
      <c r="E91" s="332"/>
      <c r="F91" s="333"/>
      <c r="G91" s="367">
        <v>196.37</v>
      </c>
      <c r="H91" s="157" t="str">
        <f t="shared" si="5"/>
        <v>CZK</v>
      </c>
      <c r="I91" s="334"/>
      <c r="J91" s="335" t="s">
        <v>54</v>
      </c>
      <c r="L91" s="97" t="e">
        <f>VLOOKUP(B91,$B$11:B90,1,FALSE)</f>
        <v>#N/A</v>
      </c>
      <c r="M91" s="317">
        <f>G91*(1-FORM!$AE$28/100)</f>
        <v>196.37</v>
      </c>
      <c r="O91" s="502"/>
    </row>
    <row r="92" spans="1:15">
      <c r="A92" s="146"/>
      <c r="B92" s="406">
        <v>9255021</v>
      </c>
      <c r="C92" s="265" t="s">
        <v>594</v>
      </c>
      <c r="D92" s="266">
        <v>20</v>
      </c>
      <c r="E92" s="332"/>
      <c r="F92" s="333"/>
      <c r="G92" s="367">
        <v>196.37</v>
      </c>
      <c r="H92" s="157" t="str">
        <f t="shared" si="5"/>
        <v>CZK</v>
      </c>
      <c r="I92" s="334"/>
      <c r="J92" s="335" t="s">
        <v>54</v>
      </c>
      <c r="L92" s="97" t="e">
        <f>VLOOKUP(B92,$B$11:B91,1,FALSE)</f>
        <v>#N/A</v>
      </c>
      <c r="M92" s="317">
        <f>G92*(1-FORM!$AE$28/100)</f>
        <v>196.37</v>
      </c>
      <c r="O92" s="502"/>
    </row>
    <row r="93" spans="1:15">
      <c r="A93" s="146"/>
      <c r="B93" s="406">
        <v>9255022</v>
      </c>
      <c r="C93" s="265" t="s">
        <v>595</v>
      </c>
      <c r="D93" s="266">
        <v>20</v>
      </c>
      <c r="E93" s="332"/>
      <c r="F93" s="333"/>
      <c r="G93" s="367">
        <v>201.36</v>
      </c>
      <c r="H93" s="157" t="str">
        <f t="shared" si="5"/>
        <v>CZK</v>
      </c>
      <c r="I93" s="334"/>
      <c r="J93" s="335" t="s">
        <v>54</v>
      </c>
      <c r="L93" s="97" t="e">
        <f>VLOOKUP(B93,$B$11:B92,1,FALSE)</f>
        <v>#N/A</v>
      </c>
      <c r="M93" s="317">
        <f>G93*(1-FORM!$AE$28/100)</f>
        <v>201.36</v>
      </c>
      <c r="O93" s="502"/>
    </row>
    <row r="94" spans="1:15">
      <c r="A94" s="146"/>
      <c r="B94" s="406">
        <v>9255023</v>
      </c>
      <c r="C94" s="265" t="s">
        <v>596</v>
      </c>
      <c r="D94" s="266">
        <v>20</v>
      </c>
      <c r="E94" s="332"/>
      <c r="F94" s="333"/>
      <c r="G94" s="367">
        <v>201.36</v>
      </c>
      <c r="H94" s="157" t="str">
        <f t="shared" si="5"/>
        <v>CZK</v>
      </c>
      <c r="I94" s="334"/>
      <c r="J94" s="335" t="s">
        <v>54</v>
      </c>
      <c r="L94" s="97" t="e">
        <f>VLOOKUP(B94,$B$11:B93,1,FALSE)</f>
        <v>#N/A</v>
      </c>
      <c r="M94" s="317">
        <f>G94*(1-FORM!$AE$28/100)</f>
        <v>201.36</v>
      </c>
      <c r="O94" s="502"/>
    </row>
    <row r="95" spans="1:15">
      <c r="A95" s="146"/>
      <c r="B95" s="406">
        <v>9255024</v>
      </c>
      <c r="C95" s="265" t="s">
        <v>597</v>
      </c>
      <c r="D95" s="266">
        <v>20</v>
      </c>
      <c r="E95" s="332"/>
      <c r="F95" s="333"/>
      <c r="G95" s="367">
        <v>208.15</v>
      </c>
      <c r="H95" s="157" t="str">
        <f t="shared" si="5"/>
        <v>CZK</v>
      </c>
      <c r="I95" s="334"/>
      <c r="J95" s="335" t="s">
        <v>54</v>
      </c>
      <c r="L95" s="97" t="e">
        <f>VLOOKUP(B95,$B$11:B94,1,FALSE)</f>
        <v>#N/A</v>
      </c>
      <c r="M95" s="317">
        <f>G95*(1-FORM!$AE$28/100)</f>
        <v>208.15</v>
      </c>
      <c r="O95" s="502"/>
    </row>
    <row r="96" spans="1:15">
      <c r="A96" s="146"/>
      <c r="B96" s="411">
        <v>9255025</v>
      </c>
      <c r="C96" s="412" t="s">
        <v>598</v>
      </c>
      <c r="D96" s="275">
        <v>20</v>
      </c>
      <c r="E96" s="356"/>
      <c r="F96" s="357"/>
      <c r="G96" s="373">
        <v>208.15</v>
      </c>
      <c r="H96" s="158" t="str">
        <f t="shared" si="5"/>
        <v>CZK</v>
      </c>
      <c r="I96" s="358"/>
      <c r="J96" s="359" t="s">
        <v>54</v>
      </c>
      <c r="L96" s="97" t="e">
        <f>VLOOKUP(B96,$B$11:B95,1,FALSE)</f>
        <v>#N/A</v>
      </c>
      <c r="M96" s="317">
        <f>G96*(1-FORM!$AE$28/100)</f>
        <v>208.15</v>
      </c>
      <c r="O96" s="502"/>
    </row>
    <row r="97" spans="1:15">
      <c r="A97" s="153"/>
      <c r="B97" s="409">
        <v>9255088</v>
      </c>
      <c r="C97" s="271" t="s">
        <v>599</v>
      </c>
      <c r="D97" s="272">
        <v>20</v>
      </c>
      <c r="E97" s="350"/>
      <c r="F97" s="351"/>
      <c r="G97" s="371">
        <v>177.84</v>
      </c>
      <c r="H97" s="254" t="str">
        <f t="shared" si="5"/>
        <v>CZK</v>
      </c>
      <c r="I97" s="352"/>
      <c r="J97" s="353" t="s">
        <v>54</v>
      </c>
      <c r="L97" s="97" t="e">
        <f>VLOOKUP(B97,$B$11:B96,1,FALSE)</f>
        <v>#N/A</v>
      </c>
      <c r="M97" s="317">
        <f>G97*(1-FORM!$AE$28/100)</f>
        <v>177.84</v>
      </c>
      <c r="O97" s="502"/>
    </row>
    <row r="98" spans="1:15">
      <c r="A98" s="153"/>
      <c r="B98" s="406">
        <v>9255089</v>
      </c>
      <c r="C98" s="265" t="s">
        <v>600</v>
      </c>
      <c r="D98" s="266">
        <v>20</v>
      </c>
      <c r="E98" s="332"/>
      <c r="F98" s="333"/>
      <c r="G98" s="367">
        <v>177.84</v>
      </c>
      <c r="H98" s="157" t="str">
        <f t="shared" si="5"/>
        <v>CZK</v>
      </c>
      <c r="I98" s="334"/>
      <c r="J98" s="335" t="s">
        <v>54</v>
      </c>
      <c r="L98" s="97" t="e">
        <f>VLOOKUP(B98,$B$11:B97,1,FALSE)</f>
        <v>#N/A</v>
      </c>
      <c r="M98" s="317">
        <f>G98*(1-FORM!$AE$28/100)</f>
        <v>177.84</v>
      </c>
      <c r="O98" s="502"/>
    </row>
    <row r="99" spans="1:15">
      <c r="A99" s="153"/>
      <c r="B99" s="406">
        <v>9255090</v>
      </c>
      <c r="C99" s="265" t="s">
        <v>601</v>
      </c>
      <c r="D99" s="266">
        <v>20</v>
      </c>
      <c r="E99" s="332"/>
      <c r="F99" s="333"/>
      <c r="G99" s="367">
        <v>179.82</v>
      </c>
      <c r="H99" s="157" t="str">
        <f>IF(G99="","",$H$10)</f>
        <v>CZK</v>
      </c>
      <c r="I99" s="334"/>
      <c r="J99" s="335" t="s">
        <v>54</v>
      </c>
      <c r="L99" s="97" t="e">
        <f>VLOOKUP(B99,$B$11:B98,1,FALSE)</f>
        <v>#N/A</v>
      </c>
      <c r="M99" s="317">
        <f>G99*(1-FORM!$AE$28/100)</f>
        <v>179.82</v>
      </c>
      <c r="O99" s="502"/>
    </row>
    <row r="100" spans="1:15">
      <c r="A100" s="153"/>
      <c r="B100" s="406">
        <v>9255091</v>
      </c>
      <c r="C100" s="265" t="s">
        <v>602</v>
      </c>
      <c r="D100" s="266">
        <v>20</v>
      </c>
      <c r="E100" s="332"/>
      <c r="F100" s="333"/>
      <c r="G100" s="367">
        <v>179.82</v>
      </c>
      <c r="H100" s="157" t="str">
        <f>IF(G100="","",$H$10)</f>
        <v>CZK</v>
      </c>
      <c r="I100" s="334"/>
      <c r="J100" s="335" t="s">
        <v>54</v>
      </c>
      <c r="L100" s="97" t="e">
        <f>VLOOKUP(B100,$B$11:B99,1,FALSE)</f>
        <v>#N/A</v>
      </c>
      <c r="M100" s="317">
        <f>G100*(1-FORM!$AE$28/100)</f>
        <v>179.82</v>
      </c>
      <c r="O100" s="502"/>
    </row>
    <row r="101" spans="1:15">
      <c r="A101" s="153"/>
      <c r="B101" s="406">
        <v>9255092</v>
      </c>
      <c r="C101" s="265" t="s">
        <v>603</v>
      </c>
      <c r="D101" s="266">
        <v>20</v>
      </c>
      <c r="E101" s="332"/>
      <c r="F101" s="333"/>
      <c r="G101" s="367">
        <v>183.13</v>
      </c>
      <c r="H101" s="157" t="str">
        <f>IF(G101="","",$H$10)</f>
        <v>CZK</v>
      </c>
      <c r="I101" s="334"/>
      <c r="J101" s="335" t="s">
        <v>54</v>
      </c>
      <c r="L101" s="97" t="e">
        <f>VLOOKUP(B101,$B$11:B100,1,FALSE)</f>
        <v>#N/A</v>
      </c>
      <c r="M101" s="317">
        <f>G101*(1-FORM!$AE$28/100)</f>
        <v>183.13</v>
      </c>
      <c r="O101" s="502"/>
    </row>
    <row r="102" spans="1:15">
      <c r="A102" s="153"/>
      <c r="B102" s="406">
        <v>9255093</v>
      </c>
      <c r="C102" s="265" t="s">
        <v>604</v>
      </c>
      <c r="D102" s="266">
        <v>20</v>
      </c>
      <c r="E102" s="332"/>
      <c r="F102" s="333"/>
      <c r="G102" s="367">
        <v>183.13</v>
      </c>
      <c r="H102" s="157" t="str">
        <f>IF(G102="","",$H$10)</f>
        <v>CZK</v>
      </c>
      <c r="I102" s="334"/>
      <c r="J102" s="335" t="s">
        <v>54</v>
      </c>
      <c r="L102" s="97" t="e">
        <f>VLOOKUP(B102,$B$11:B101,1,FALSE)</f>
        <v>#N/A</v>
      </c>
      <c r="M102" s="317">
        <f>G102*(1-FORM!$AE$28/100)</f>
        <v>183.13</v>
      </c>
      <c r="O102" s="502"/>
    </row>
    <row r="103" spans="1:15">
      <c r="A103" s="153"/>
      <c r="B103" s="406">
        <v>9255094</v>
      </c>
      <c r="C103" s="265" t="s">
        <v>605</v>
      </c>
      <c r="D103" s="266">
        <v>20</v>
      </c>
      <c r="E103" s="332"/>
      <c r="F103" s="333"/>
      <c r="G103" s="367">
        <v>186.44</v>
      </c>
      <c r="H103" s="157" t="str">
        <f t="shared" ref="H103:H111" si="6">IF(G103="","",$H$10)</f>
        <v>CZK</v>
      </c>
      <c r="I103" s="334"/>
      <c r="J103" s="335" t="s">
        <v>54</v>
      </c>
      <c r="L103" s="97" t="e">
        <f>VLOOKUP(B103,$B$11:B102,1,FALSE)</f>
        <v>#N/A</v>
      </c>
      <c r="M103" s="317">
        <f>G103*(1-FORM!$AE$28/100)</f>
        <v>186.44</v>
      </c>
      <c r="O103" s="502"/>
    </row>
    <row r="104" spans="1:15">
      <c r="A104" s="153"/>
      <c r="B104" s="406">
        <v>9255095</v>
      </c>
      <c r="C104" s="265" t="s">
        <v>606</v>
      </c>
      <c r="D104" s="266">
        <v>20</v>
      </c>
      <c r="E104" s="332"/>
      <c r="F104" s="333"/>
      <c r="G104" s="367">
        <v>186.44</v>
      </c>
      <c r="H104" s="157" t="str">
        <f t="shared" si="6"/>
        <v>CZK</v>
      </c>
      <c r="I104" s="334"/>
      <c r="J104" s="335" t="s">
        <v>54</v>
      </c>
      <c r="L104" s="97" t="e">
        <f>VLOOKUP(B104,$B$11:B103,1,FALSE)</f>
        <v>#N/A</v>
      </c>
      <c r="M104" s="317">
        <f>G104*(1-FORM!$AE$28/100)</f>
        <v>186.44</v>
      </c>
      <c r="O104" s="502"/>
    </row>
    <row r="105" spans="1:15">
      <c r="A105" s="153"/>
      <c r="B105" s="406">
        <v>9255096</v>
      </c>
      <c r="C105" s="265" t="s">
        <v>607</v>
      </c>
      <c r="D105" s="266">
        <v>20</v>
      </c>
      <c r="E105" s="332"/>
      <c r="F105" s="333"/>
      <c r="G105" s="367">
        <v>189.75</v>
      </c>
      <c r="H105" s="157" t="str">
        <f t="shared" si="6"/>
        <v>CZK</v>
      </c>
      <c r="I105" s="334"/>
      <c r="J105" s="335" t="s">
        <v>54</v>
      </c>
      <c r="L105" s="97" t="e">
        <f>VLOOKUP(B105,$B$11:B104,1,FALSE)</f>
        <v>#N/A</v>
      </c>
      <c r="M105" s="317">
        <f>G105*(1-FORM!$AE$28/100)</f>
        <v>189.75</v>
      </c>
      <c r="O105" s="502"/>
    </row>
    <row r="106" spans="1:15">
      <c r="A106" s="153"/>
      <c r="B106" s="406">
        <v>9255097</v>
      </c>
      <c r="C106" s="265" t="s">
        <v>608</v>
      </c>
      <c r="D106" s="266">
        <v>20</v>
      </c>
      <c r="E106" s="332"/>
      <c r="F106" s="333"/>
      <c r="G106" s="367">
        <v>189.75</v>
      </c>
      <c r="H106" s="157" t="str">
        <f t="shared" si="6"/>
        <v>CZK</v>
      </c>
      <c r="I106" s="334"/>
      <c r="J106" s="335" t="s">
        <v>54</v>
      </c>
      <c r="L106" s="97" t="e">
        <f>VLOOKUP(B106,$B$11:B105,1,FALSE)</f>
        <v>#N/A</v>
      </c>
      <c r="M106" s="317">
        <f>G106*(1-FORM!$AE$28/100)</f>
        <v>189.75</v>
      </c>
      <c r="O106" s="502"/>
    </row>
    <row r="107" spans="1:15">
      <c r="A107" s="153"/>
      <c r="B107" s="406">
        <v>9255098</v>
      </c>
      <c r="C107" s="265" t="s">
        <v>609</v>
      </c>
      <c r="D107" s="266">
        <v>20</v>
      </c>
      <c r="E107" s="332"/>
      <c r="F107" s="333"/>
      <c r="G107" s="367">
        <v>193.06</v>
      </c>
      <c r="H107" s="157" t="str">
        <f t="shared" si="6"/>
        <v>CZK</v>
      </c>
      <c r="I107" s="334"/>
      <c r="J107" s="335" t="s">
        <v>54</v>
      </c>
      <c r="L107" s="97" t="e">
        <f>VLOOKUP(B107,$B$11:B106,1,FALSE)</f>
        <v>#N/A</v>
      </c>
      <c r="M107" s="317">
        <f>G107*(1-FORM!$AE$28/100)</f>
        <v>193.06</v>
      </c>
      <c r="O107" s="502"/>
    </row>
    <row r="108" spans="1:15">
      <c r="A108" s="153"/>
      <c r="B108" s="406">
        <v>9255099</v>
      </c>
      <c r="C108" s="265" t="s">
        <v>610</v>
      </c>
      <c r="D108" s="266">
        <v>20</v>
      </c>
      <c r="E108" s="332"/>
      <c r="F108" s="333"/>
      <c r="G108" s="367">
        <v>193.06</v>
      </c>
      <c r="H108" s="157" t="str">
        <f t="shared" si="6"/>
        <v>CZK</v>
      </c>
      <c r="I108" s="334"/>
      <c r="J108" s="335" t="s">
        <v>54</v>
      </c>
      <c r="L108" s="97" t="e">
        <f>VLOOKUP(B108,$B$11:B107,1,FALSE)</f>
        <v>#N/A</v>
      </c>
      <c r="M108" s="317">
        <f>G108*(1-FORM!$AE$28/100)</f>
        <v>193.06</v>
      </c>
      <c r="O108" s="502"/>
    </row>
    <row r="109" spans="1:15">
      <c r="A109" s="153"/>
      <c r="B109" s="406">
        <v>9255100</v>
      </c>
      <c r="C109" s="265" t="s">
        <v>611</v>
      </c>
      <c r="D109" s="266">
        <v>20</v>
      </c>
      <c r="E109" s="332"/>
      <c r="F109" s="333"/>
      <c r="G109" s="367">
        <v>196.37</v>
      </c>
      <c r="H109" s="157" t="str">
        <f t="shared" si="6"/>
        <v>CZK</v>
      </c>
      <c r="I109" s="334"/>
      <c r="J109" s="335" t="s">
        <v>54</v>
      </c>
      <c r="L109" s="97" t="e">
        <f>VLOOKUP(B109,$B$11:B108,1,FALSE)</f>
        <v>#N/A</v>
      </c>
      <c r="M109" s="317">
        <f>G109*(1-FORM!$AE$28/100)</f>
        <v>196.37</v>
      </c>
      <c r="O109" s="502"/>
    </row>
    <row r="110" spans="1:15">
      <c r="A110" s="153"/>
      <c r="B110" s="406">
        <v>9255101</v>
      </c>
      <c r="C110" s="265" t="s">
        <v>612</v>
      </c>
      <c r="D110" s="266">
        <v>20</v>
      </c>
      <c r="E110" s="332"/>
      <c r="F110" s="333"/>
      <c r="G110" s="367">
        <v>196.37</v>
      </c>
      <c r="H110" s="157" t="str">
        <f t="shared" si="6"/>
        <v>CZK</v>
      </c>
      <c r="I110" s="334"/>
      <c r="J110" s="335" t="s">
        <v>54</v>
      </c>
      <c r="L110" s="97" t="e">
        <f>VLOOKUP(B110,$B$11:B109,1,FALSE)</f>
        <v>#N/A</v>
      </c>
      <c r="M110" s="317">
        <f>G110*(1-FORM!$AE$28/100)</f>
        <v>196.37</v>
      </c>
      <c r="O110" s="502"/>
    </row>
    <row r="111" spans="1:15">
      <c r="A111" s="153"/>
      <c r="B111" s="406">
        <v>9255102</v>
      </c>
      <c r="C111" s="265" t="s">
        <v>613</v>
      </c>
      <c r="D111" s="266">
        <v>20</v>
      </c>
      <c r="E111" s="332"/>
      <c r="F111" s="333"/>
      <c r="G111" s="367">
        <v>201.36</v>
      </c>
      <c r="H111" s="157" t="str">
        <f t="shared" si="6"/>
        <v>CZK</v>
      </c>
      <c r="I111" s="334"/>
      <c r="J111" s="335" t="s">
        <v>54</v>
      </c>
      <c r="L111" s="97" t="e">
        <f>VLOOKUP(B111,$B$11:B110,1,FALSE)</f>
        <v>#N/A</v>
      </c>
      <c r="M111" s="317">
        <f>G111*(1-FORM!$AE$28/100)</f>
        <v>201.36</v>
      </c>
      <c r="O111" s="502"/>
    </row>
    <row r="112" spans="1:15">
      <c r="A112" s="153"/>
      <c r="B112" s="406">
        <v>9255103</v>
      </c>
      <c r="C112" s="265" t="s">
        <v>614</v>
      </c>
      <c r="D112" s="266">
        <v>20</v>
      </c>
      <c r="E112" s="332"/>
      <c r="F112" s="333"/>
      <c r="G112" s="367">
        <v>201.36</v>
      </c>
      <c r="H112" s="157" t="str">
        <f>IF(G112="","",$H$10)</f>
        <v>CZK</v>
      </c>
      <c r="I112" s="334"/>
      <c r="J112" s="335" t="s">
        <v>54</v>
      </c>
      <c r="L112" s="97" t="e">
        <f>VLOOKUP(B112,$B$11:B111,1,FALSE)</f>
        <v>#N/A</v>
      </c>
      <c r="M112" s="317">
        <f>G112*(1-FORM!$AE$28/100)</f>
        <v>201.36</v>
      </c>
      <c r="O112" s="502"/>
    </row>
    <row r="113" spans="1:15">
      <c r="A113" s="153"/>
      <c r="B113" s="406">
        <v>9255104</v>
      </c>
      <c r="C113" s="265" t="s">
        <v>615</v>
      </c>
      <c r="D113" s="266">
        <v>20</v>
      </c>
      <c r="E113" s="332"/>
      <c r="F113" s="333"/>
      <c r="G113" s="367">
        <v>208.15</v>
      </c>
      <c r="H113" s="157" t="str">
        <f>IF(G113="","",$H$10)</f>
        <v>CZK</v>
      </c>
      <c r="I113" s="334"/>
      <c r="J113" s="335" t="s">
        <v>54</v>
      </c>
      <c r="L113" s="97" t="e">
        <f>VLOOKUP(B113,$B$11:B112,1,FALSE)</f>
        <v>#N/A</v>
      </c>
      <c r="M113" s="317">
        <f>G113*(1-FORM!$AE$28/100)</f>
        <v>208.15</v>
      </c>
      <c r="O113" s="502"/>
    </row>
    <row r="114" spans="1:15">
      <c r="A114" s="153"/>
      <c r="B114" s="411">
        <v>9255105</v>
      </c>
      <c r="C114" s="412" t="s">
        <v>616</v>
      </c>
      <c r="D114" s="275">
        <v>20</v>
      </c>
      <c r="E114" s="356"/>
      <c r="F114" s="357"/>
      <c r="G114" s="373">
        <v>208.15</v>
      </c>
      <c r="H114" s="158" t="str">
        <f>IF(G114="","",$H$10)</f>
        <v>CZK</v>
      </c>
      <c r="I114" s="358"/>
      <c r="J114" s="359" t="s">
        <v>54</v>
      </c>
      <c r="L114" s="97" t="e">
        <f>VLOOKUP(B114,$B$11:B113,1,FALSE)</f>
        <v>#N/A</v>
      </c>
      <c r="M114" s="317">
        <f>G114*(1-FORM!$AE$28/100)</f>
        <v>208.15</v>
      </c>
      <c r="O114" s="502"/>
    </row>
    <row r="115" spans="1:15">
      <c r="A115" s="155"/>
      <c r="B115" s="409">
        <v>9255168</v>
      </c>
      <c r="C115" s="271" t="s">
        <v>617</v>
      </c>
      <c r="D115" s="272">
        <v>20</v>
      </c>
      <c r="E115" s="350"/>
      <c r="F115" s="351"/>
      <c r="G115" s="371">
        <v>177.84</v>
      </c>
      <c r="H115" s="254" t="str">
        <f t="shared" ref="H115:H122" si="7">IF(G115="","",$H$10)</f>
        <v>CZK</v>
      </c>
      <c r="I115" s="352"/>
      <c r="J115" s="353" t="s">
        <v>54</v>
      </c>
      <c r="L115" s="97" t="e">
        <f>VLOOKUP(B115,$B$11:B114,1,FALSE)</f>
        <v>#N/A</v>
      </c>
      <c r="M115" s="317">
        <f>G115*(1-FORM!$AE$28/100)</f>
        <v>177.84</v>
      </c>
      <c r="O115" s="502"/>
    </row>
    <row r="116" spans="1:15">
      <c r="A116" s="155"/>
      <c r="B116" s="406">
        <v>9255169</v>
      </c>
      <c r="C116" s="265" t="s">
        <v>618</v>
      </c>
      <c r="D116" s="266">
        <v>20</v>
      </c>
      <c r="E116" s="332"/>
      <c r="F116" s="333"/>
      <c r="G116" s="367">
        <v>177.84</v>
      </c>
      <c r="H116" s="157" t="str">
        <f t="shared" si="7"/>
        <v>CZK</v>
      </c>
      <c r="I116" s="334"/>
      <c r="J116" s="335" t="s">
        <v>54</v>
      </c>
      <c r="L116" s="97" t="e">
        <f>VLOOKUP(B116,$B$11:B115,1,FALSE)</f>
        <v>#N/A</v>
      </c>
      <c r="M116" s="317">
        <f>G116*(1-FORM!$AE$28/100)</f>
        <v>177.84</v>
      </c>
      <c r="O116" s="502"/>
    </row>
    <row r="117" spans="1:15">
      <c r="A117" s="155"/>
      <c r="B117" s="406">
        <v>9255170</v>
      </c>
      <c r="C117" s="265" t="s">
        <v>619</v>
      </c>
      <c r="D117" s="266">
        <v>20</v>
      </c>
      <c r="E117" s="332"/>
      <c r="F117" s="333"/>
      <c r="G117" s="367">
        <v>179.82</v>
      </c>
      <c r="H117" s="157" t="str">
        <f t="shared" si="7"/>
        <v>CZK</v>
      </c>
      <c r="I117" s="334"/>
      <c r="J117" s="335" t="s">
        <v>54</v>
      </c>
      <c r="L117" s="97" t="e">
        <f>VLOOKUP(B117,$B$11:B116,1,FALSE)</f>
        <v>#N/A</v>
      </c>
      <c r="M117" s="317">
        <f>G117*(1-FORM!$AE$28/100)</f>
        <v>179.82</v>
      </c>
      <c r="O117" s="502"/>
    </row>
    <row r="118" spans="1:15">
      <c r="A118" s="155"/>
      <c r="B118" s="406">
        <v>9255171</v>
      </c>
      <c r="C118" s="265" t="s">
        <v>620</v>
      </c>
      <c r="D118" s="266">
        <v>20</v>
      </c>
      <c r="E118" s="332"/>
      <c r="F118" s="333"/>
      <c r="G118" s="367">
        <v>179.82</v>
      </c>
      <c r="H118" s="157" t="str">
        <f t="shared" si="7"/>
        <v>CZK</v>
      </c>
      <c r="I118" s="334"/>
      <c r="J118" s="335" t="s">
        <v>54</v>
      </c>
      <c r="L118" s="97" t="e">
        <f>VLOOKUP(B118,$B$11:B117,1,FALSE)</f>
        <v>#N/A</v>
      </c>
      <c r="M118" s="317">
        <f>G118*(1-FORM!$AE$28/100)</f>
        <v>179.82</v>
      </c>
      <c r="O118" s="502"/>
    </row>
    <row r="119" spans="1:15">
      <c r="A119" s="155"/>
      <c r="B119" s="406">
        <v>9255172</v>
      </c>
      <c r="C119" s="265" t="s">
        <v>621</v>
      </c>
      <c r="D119" s="266">
        <v>20</v>
      </c>
      <c r="E119" s="332"/>
      <c r="F119" s="333"/>
      <c r="G119" s="367">
        <v>183.13</v>
      </c>
      <c r="H119" s="157" t="str">
        <f t="shared" si="7"/>
        <v>CZK</v>
      </c>
      <c r="I119" s="334"/>
      <c r="J119" s="335" t="s">
        <v>54</v>
      </c>
      <c r="L119" s="97" t="e">
        <f>VLOOKUP(B119,$B$11:B118,1,FALSE)</f>
        <v>#N/A</v>
      </c>
      <c r="M119" s="317">
        <f>G119*(1-FORM!$AE$28/100)</f>
        <v>183.13</v>
      </c>
      <c r="O119" s="502"/>
    </row>
    <row r="120" spans="1:15">
      <c r="A120" s="155"/>
      <c r="B120" s="406">
        <v>9255173</v>
      </c>
      <c r="C120" s="265" t="s">
        <v>622</v>
      </c>
      <c r="D120" s="266">
        <v>20</v>
      </c>
      <c r="E120" s="332"/>
      <c r="F120" s="333"/>
      <c r="G120" s="367">
        <v>183.13</v>
      </c>
      <c r="H120" s="157" t="str">
        <f t="shared" si="7"/>
        <v>CZK</v>
      </c>
      <c r="I120" s="334"/>
      <c r="J120" s="335" t="s">
        <v>54</v>
      </c>
      <c r="L120" s="97" t="e">
        <f>VLOOKUP(B120,$B$11:B119,1,FALSE)</f>
        <v>#N/A</v>
      </c>
      <c r="M120" s="317">
        <f>G120*(1-FORM!$AE$28/100)</f>
        <v>183.13</v>
      </c>
      <c r="O120" s="502"/>
    </row>
    <row r="121" spans="1:15">
      <c r="A121" s="155"/>
      <c r="B121" s="406">
        <v>9255174</v>
      </c>
      <c r="C121" s="265" t="s">
        <v>623</v>
      </c>
      <c r="D121" s="266">
        <v>20</v>
      </c>
      <c r="E121" s="332"/>
      <c r="F121" s="333"/>
      <c r="G121" s="367">
        <v>186.44</v>
      </c>
      <c r="H121" s="157" t="str">
        <f t="shared" si="7"/>
        <v>CZK</v>
      </c>
      <c r="I121" s="334"/>
      <c r="J121" s="335" t="s">
        <v>54</v>
      </c>
      <c r="L121" s="97" t="e">
        <f>VLOOKUP(B121,$B$11:B120,1,FALSE)</f>
        <v>#N/A</v>
      </c>
      <c r="M121" s="317">
        <f>G121*(1-FORM!$AE$28/100)</f>
        <v>186.44</v>
      </c>
      <c r="O121" s="502"/>
    </row>
    <row r="122" spans="1:15">
      <c r="A122" s="155"/>
      <c r="B122" s="406">
        <v>9255175</v>
      </c>
      <c r="C122" s="265" t="s">
        <v>624</v>
      </c>
      <c r="D122" s="266">
        <v>20</v>
      </c>
      <c r="E122" s="332"/>
      <c r="F122" s="333"/>
      <c r="G122" s="367">
        <v>186.44</v>
      </c>
      <c r="H122" s="157" t="str">
        <f t="shared" si="7"/>
        <v>CZK</v>
      </c>
      <c r="I122" s="334"/>
      <c r="J122" s="335" t="s">
        <v>54</v>
      </c>
      <c r="L122" s="97" t="e">
        <f>VLOOKUP(B122,$B$11:B121,1,FALSE)</f>
        <v>#N/A</v>
      </c>
      <c r="M122" s="317">
        <f>G122*(1-FORM!$AE$28/100)</f>
        <v>186.44</v>
      </c>
      <c r="O122" s="502"/>
    </row>
    <row r="123" spans="1:15">
      <c r="A123" s="155"/>
      <c r="B123" s="406">
        <v>9255176</v>
      </c>
      <c r="C123" s="265" t="s">
        <v>625</v>
      </c>
      <c r="D123" s="266">
        <v>20</v>
      </c>
      <c r="E123" s="332"/>
      <c r="F123" s="333"/>
      <c r="G123" s="367">
        <v>189.75</v>
      </c>
      <c r="H123" s="157" t="str">
        <f t="shared" ref="H123:H133" si="8">IF(G123="","",$H$10)</f>
        <v>CZK</v>
      </c>
      <c r="I123" s="334"/>
      <c r="J123" s="335" t="s">
        <v>54</v>
      </c>
      <c r="L123" s="97" t="e">
        <f>VLOOKUP(B123,$B$11:B122,1,FALSE)</f>
        <v>#N/A</v>
      </c>
      <c r="M123" s="317">
        <f>G123*(1-FORM!$AE$28/100)</f>
        <v>189.75</v>
      </c>
      <c r="O123" s="502"/>
    </row>
    <row r="124" spans="1:15">
      <c r="A124" s="155"/>
      <c r="B124" s="406">
        <v>9255177</v>
      </c>
      <c r="C124" s="265" t="s">
        <v>626</v>
      </c>
      <c r="D124" s="266">
        <v>20</v>
      </c>
      <c r="E124" s="332"/>
      <c r="F124" s="333"/>
      <c r="G124" s="367">
        <v>189.75</v>
      </c>
      <c r="H124" s="157" t="str">
        <f t="shared" si="8"/>
        <v>CZK</v>
      </c>
      <c r="I124" s="334"/>
      <c r="J124" s="335" t="s">
        <v>54</v>
      </c>
      <c r="L124" s="97" t="e">
        <f>VLOOKUP(B124,$B$11:B123,1,FALSE)</f>
        <v>#N/A</v>
      </c>
      <c r="M124" s="317">
        <f>G124*(1-FORM!$AE$28/100)</f>
        <v>189.75</v>
      </c>
      <c r="O124" s="502"/>
    </row>
    <row r="125" spans="1:15">
      <c r="A125" s="155"/>
      <c r="B125" s="406">
        <v>9255178</v>
      </c>
      <c r="C125" s="265" t="s">
        <v>627</v>
      </c>
      <c r="D125" s="266">
        <v>20</v>
      </c>
      <c r="E125" s="332"/>
      <c r="F125" s="333"/>
      <c r="G125" s="367">
        <v>193.06</v>
      </c>
      <c r="H125" s="157" t="str">
        <f t="shared" si="8"/>
        <v>CZK</v>
      </c>
      <c r="I125" s="334"/>
      <c r="J125" s="335" t="s">
        <v>54</v>
      </c>
      <c r="L125" s="97" t="e">
        <f>VLOOKUP(B125,$B$11:B124,1,FALSE)</f>
        <v>#N/A</v>
      </c>
      <c r="M125" s="317">
        <f>G125*(1-FORM!$AE$28/100)</f>
        <v>193.06</v>
      </c>
      <c r="O125" s="502"/>
    </row>
    <row r="126" spans="1:15">
      <c r="A126" s="155"/>
      <c r="B126" s="406">
        <v>9255179</v>
      </c>
      <c r="C126" s="265" t="s">
        <v>628</v>
      </c>
      <c r="D126" s="266">
        <v>20</v>
      </c>
      <c r="E126" s="332"/>
      <c r="F126" s="333"/>
      <c r="G126" s="367">
        <v>193.06</v>
      </c>
      <c r="H126" s="157" t="str">
        <f t="shared" si="8"/>
        <v>CZK</v>
      </c>
      <c r="I126" s="334"/>
      <c r="J126" s="335" t="s">
        <v>54</v>
      </c>
      <c r="L126" s="97" t="e">
        <f>VLOOKUP(B126,$B$11:B125,1,FALSE)</f>
        <v>#N/A</v>
      </c>
      <c r="M126" s="317">
        <f>G126*(1-FORM!$AE$28/100)</f>
        <v>193.06</v>
      </c>
      <c r="O126" s="502"/>
    </row>
    <row r="127" spans="1:15">
      <c r="A127" s="155"/>
      <c r="B127" s="406">
        <v>9255180</v>
      </c>
      <c r="C127" s="265" t="s">
        <v>629</v>
      </c>
      <c r="D127" s="266">
        <v>20</v>
      </c>
      <c r="E127" s="332"/>
      <c r="F127" s="333"/>
      <c r="G127" s="367">
        <v>196.37</v>
      </c>
      <c r="H127" s="157" t="str">
        <f t="shared" si="8"/>
        <v>CZK</v>
      </c>
      <c r="I127" s="334"/>
      <c r="J127" s="335" t="s">
        <v>54</v>
      </c>
      <c r="L127" s="97" t="e">
        <f>VLOOKUP(B127,$B$11:B126,1,FALSE)</f>
        <v>#N/A</v>
      </c>
      <c r="M127" s="317">
        <f>G127*(1-FORM!$AE$28/100)</f>
        <v>196.37</v>
      </c>
      <c r="O127" s="502"/>
    </row>
    <row r="128" spans="1:15">
      <c r="A128" s="155"/>
      <c r="B128" s="406">
        <v>9255181</v>
      </c>
      <c r="C128" s="265" t="s">
        <v>630</v>
      </c>
      <c r="D128" s="266">
        <v>20</v>
      </c>
      <c r="E128" s="332"/>
      <c r="F128" s="333"/>
      <c r="G128" s="367">
        <v>196.37</v>
      </c>
      <c r="H128" s="157" t="str">
        <f t="shared" si="8"/>
        <v>CZK</v>
      </c>
      <c r="I128" s="334"/>
      <c r="J128" s="335" t="s">
        <v>54</v>
      </c>
      <c r="L128" s="97" t="e">
        <f>VLOOKUP(B128,$B$11:B127,1,FALSE)</f>
        <v>#N/A</v>
      </c>
      <c r="M128" s="317">
        <f>G128*(1-FORM!$AE$28/100)</f>
        <v>196.37</v>
      </c>
      <c r="O128" s="502"/>
    </row>
    <row r="129" spans="1:15">
      <c r="A129" s="155"/>
      <c r="B129" s="406">
        <v>9255182</v>
      </c>
      <c r="C129" s="265" t="s">
        <v>631</v>
      </c>
      <c r="D129" s="266">
        <v>20</v>
      </c>
      <c r="E129" s="332"/>
      <c r="F129" s="333"/>
      <c r="G129" s="367">
        <v>201.36</v>
      </c>
      <c r="H129" s="157" t="str">
        <f t="shared" si="8"/>
        <v>CZK</v>
      </c>
      <c r="I129" s="334"/>
      <c r="J129" s="335" t="s">
        <v>54</v>
      </c>
      <c r="L129" s="97" t="e">
        <f>VLOOKUP(B129,$B$11:B128,1,FALSE)</f>
        <v>#N/A</v>
      </c>
      <c r="M129" s="317">
        <f>G129*(1-FORM!$AE$28/100)</f>
        <v>201.36</v>
      </c>
      <c r="O129" s="502"/>
    </row>
    <row r="130" spans="1:15">
      <c r="A130" s="155"/>
      <c r="B130" s="406">
        <v>9255183</v>
      </c>
      <c r="C130" s="265" t="s">
        <v>632</v>
      </c>
      <c r="D130" s="266">
        <v>20</v>
      </c>
      <c r="E130" s="332"/>
      <c r="F130" s="333"/>
      <c r="G130" s="367">
        <v>201.36</v>
      </c>
      <c r="H130" s="157" t="str">
        <f t="shared" si="8"/>
        <v>CZK</v>
      </c>
      <c r="I130" s="334"/>
      <c r="J130" s="335" t="s">
        <v>54</v>
      </c>
      <c r="L130" s="97" t="e">
        <f>VLOOKUP(B130,$B$11:B129,1,FALSE)</f>
        <v>#N/A</v>
      </c>
      <c r="M130" s="317">
        <f>G130*(1-FORM!$AE$28/100)</f>
        <v>201.36</v>
      </c>
      <c r="O130" s="502"/>
    </row>
    <row r="131" spans="1:15">
      <c r="A131" s="155"/>
      <c r="B131" s="406">
        <v>9255184</v>
      </c>
      <c r="C131" s="265" t="s">
        <v>633</v>
      </c>
      <c r="D131" s="266">
        <v>20</v>
      </c>
      <c r="E131" s="332"/>
      <c r="F131" s="333"/>
      <c r="G131" s="367">
        <v>208.15</v>
      </c>
      <c r="H131" s="157" t="str">
        <f t="shared" si="8"/>
        <v>CZK</v>
      </c>
      <c r="I131" s="334"/>
      <c r="J131" s="335" t="s">
        <v>54</v>
      </c>
      <c r="L131" s="97" t="e">
        <f>VLOOKUP(B131,$B$11:B130,1,FALSE)</f>
        <v>#N/A</v>
      </c>
      <c r="M131" s="317">
        <f>G131*(1-FORM!$AE$28/100)</f>
        <v>208.15</v>
      </c>
      <c r="O131" s="502"/>
    </row>
    <row r="132" spans="1:15">
      <c r="A132" s="155"/>
      <c r="B132" s="411">
        <v>9255185</v>
      </c>
      <c r="C132" s="412" t="s">
        <v>634</v>
      </c>
      <c r="D132" s="275">
        <v>20</v>
      </c>
      <c r="E132" s="356"/>
      <c r="F132" s="357"/>
      <c r="G132" s="373">
        <v>208.15</v>
      </c>
      <c r="H132" s="158" t="str">
        <f t="shared" si="8"/>
        <v>CZK</v>
      </c>
      <c r="I132" s="358"/>
      <c r="J132" s="359" t="s">
        <v>54</v>
      </c>
      <c r="L132" s="97" t="e">
        <f>VLOOKUP(B132,$B$11:B131,1,FALSE)</f>
        <v>#N/A</v>
      </c>
      <c r="M132" s="317">
        <f>G132*(1-FORM!$AE$28/100)</f>
        <v>208.15</v>
      </c>
      <c r="O132" s="502"/>
    </row>
    <row r="133" spans="1:15">
      <c r="A133" s="146"/>
      <c r="B133" s="409">
        <v>9255804</v>
      </c>
      <c r="C133" s="271" t="s">
        <v>635</v>
      </c>
      <c r="D133" s="272">
        <v>200</v>
      </c>
      <c r="E133" s="350"/>
      <c r="F133" s="351"/>
      <c r="G133" s="371">
        <v>9.18</v>
      </c>
      <c r="H133" s="254" t="str">
        <f t="shared" si="8"/>
        <v>CZK</v>
      </c>
      <c r="I133" s="352"/>
      <c r="J133" s="353" t="s">
        <v>54</v>
      </c>
      <c r="L133" s="97" t="e">
        <f>VLOOKUP(B133,$B$11:B132,1,FALSE)</f>
        <v>#N/A</v>
      </c>
      <c r="M133" s="317">
        <f>G133*(1-FORM!$AE$28/100)</f>
        <v>9.18</v>
      </c>
      <c r="O133" s="502"/>
    </row>
    <row r="134" spans="1:15">
      <c r="A134" s="146"/>
      <c r="B134" s="406">
        <v>9255805</v>
      </c>
      <c r="C134" s="265" t="s">
        <v>636</v>
      </c>
      <c r="D134" s="266">
        <v>200</v>
      </c>
      <c r="E134" s="332"/>
      <c r="F134" s="333"/>
      <c r="G134" s="367">
        <v>9.2799999999999994</v>
      </c>
      <c r="H134" s="157" t="str">
        <f t="shared" ref="H134:H147" si="9">IF(G134="","",$H$10)</f>
        <v>CZK</v>
      </c>
      <c r="I134" s="334"/>
      <c r="J134" s="335" t="s">
        <v>54</v>
      </c>
      <c r="L134" s="97" t="e">
        <f>VLOOKUP(B134,$B$11:B133,1,FALSE)</f>
        <v>#N/A</v>
      </c>
      <c r="M134" s="317">
        <f>G134*(1-FORM!$AE$28/100)</f>
        <v>9.2799999999999994</v>
      </c>
      <c r="O134" s="502"/>
    </row>
    <row r="135" spans="1:15">
      <c r="A135" s="146"/>
      <c r="B135" s="406">
        <v>9255806</v>
      </c>
      <c r="C135" s="265" t="s">
        <v>637</v>
      </c>
      <c r="D135" s="266">
        <v>200</v>
      </c>
      <c r="E135" s="332"/>
      <c r="F135" s="333"/>
      <c r="G135" s="367">
        <v>9.4499999999999993</v>
      </c>
      <c r="H135" s="157" t="str">
        <f t="shared" si="9"/>
        <v>CZK</v>
      </c>
      <c r="I135" s="334"/>
      <c r="J135" s="335" t="s">
        <v>54</v>
      </c>
      <c r="L135" s="97" t="e">
        <f>VLOOKUP(B135,$B$11:B134,1,FALSE)</f>
        <v>#N/A</v>
      </c>
      <c r="M135" s="317">
        <f>G135*(1-FORM!$AE$28/100)</f>
        <v>9.4499999999999993</v>
      </c>
      <c r="O135" s="502"/>
    </row>
    <row r="136" spans="1:15">
      <c r="A136" s="146"/>
      <c r="B136" s="406">
        <v>9255807</v>
      </c>
      <c r="C136" s="265" t="s">
        <v>638</v>
      </c>
      <c r="D136" s="266">
        <v>200</v>
      </c>
      <c r="E136" s="332"/>
      <c r="F136" s="333"/>
      <c r="G136" s="367">
        <v>9.6199999999999992</v>
      </c>
      <c r="H136" s="157" t="str">
        <f t="shared" si="9"/>
        <v>CZK</v>
      </c>
      <c r="I136" s="334"/>
      <c r="J136" s="335" t="s">
        <v>54</v>
      </c>
      <c r="L136" s="97" t="e">
        <f>VLOOKUP(B136,$B$11:B135,1,FALSE)</f>
        <v>#N/A</v>
      </c>
      <c r="M136" s="317">
        <f>G136*(1-FORM!$AE$28/100)</f>
        <v>9.6199999999999992</v>
      </c>
      <c r="O136" s="502"/>
    </row>
    <row r="137" spans="1:15">
      <c r="A137" s="146"/>
      <c r="B137" s="406">
        <v>9255808</v>
      </c>
      <c r="C137" s="265" t="s">
        <v>639</v>
      </c>
      <c r="D137" s="266">
        <v>200</v>
      </c>
      <c r="E137" s="332"/>
      <c r="F137" s="333"/>
      <c r="G137" s="367">
        <v>9.8000000000000007</v>
      </c>
      <c r="H137" s="157" t="str">
        <f t="shared" si="9"/>
        <v>CZK</v>
      </c>
      <c r="I137" s="334"/>
      <c r="J137" s="335" t="s">
        <v>54</v>
      </c>
      <c r="L137" s="97" t="e">
        <f>VLOOKUP(B137,$B$11:B136,1,FALSE)</f>
        <v>#N/A</v>
      </c>
      <c r="M137" s="317">
        <f>G137*(1-FORM!$AE$28/100)</f>
        <v>9.8000000000000007</v>
      </c>
      <c r="O137" s="502"/>
    </row>
    <row r="138" spans="1:15">
      <c r="A138" s="146"/>
      <c r="B138" s="406">
        <v>9255809</v>
      </c>
      <c r="C138" s="265" t="s">
        <v>640</v>
      </c>
      <c r="D138" s="266">
        <v>200</v>
      </c>
      <c r="E138" s="332"/>
      <c r="F138" s="333"/>
      <c r="G138" s="367">
        <v>9.9700000000000006</v>
      </c>
      <c r="H138" s="157" t="str">
        <f t="shared" si="9"/>
        <v>CZK</v>
      </c>
      <c r="I138" s="334"/>
      <c r="J138" s="335" t="s">
        <v>54</v>
      </c>
      <c r="L138" s="97" t="e">
        <f>VLOOKUP(B138,$B$11:B137,1,FALSE)</f>
        <v>#N/A</v>
      </c>
      <c r="M138" s="317">
        <f>G138*(1-FORM!$AE$28/100)</f>
        <v>9.9700000000000006</v>
      </c>
      <c r="O138" s="502"/>
    </row>
    <row r="139" spans="1:15">
      <c r="A139" s="146"/>
      <c r="B139" s="406">
        <v>9255810</v>
      </c>
      <c r="C139" s="265" t="s">
        <v>641</v>
      </c>
      <c r="D139" s="266">
        <v>200</v>
      </c>
      <c r="E139" s="332"/>
      <c r="F139" s="333"/>
      <c r="G139" s="367">
        <v>10.14</v>
      </c>
      <c r="H139" s="157" t="str">
        <f t="shared" si="9"/>
        <v>CZK</v>
      </c>
      <c r="I139" s="334"/>
      <c r="J139" s="335" t="s">
        <v>54</v>
      </c>
      <c r="L139" s="97" t="e">
        <f>VLOOKUP(B139,$B$11:B138,1,FALSE)</f>
        <v>#N/A</v>
      </c>
      <c r="M139" s="317">
        <f>G139*(1-FORM!$AE$28/100)</f>
        <v>10.14</v>
      </c>
      <c r="O139" s="502"/>
    </row>
    <row r="140" spans="1:15">
      <c r="A140" s="146"/>
      <c r="B140" s="406">
        <v>9255811</v>
      </c>
      <c r="C140" s="265" t="s">
        <v>642</v>
      </c>
      <c r="D140" s="266">
        <v>200</v>
      </c>
      <c r="E140" s="332"/>
      <c r="F140" s="333"/>
      <c r="G140" s="367">
        <v>10.39</v>
      </c>
      <c r="H140" s="157" t="str">
        <f t="shared" si="9"/>
        <v>CZK</v>
      </c>
      <c r="I140" s="334"/>
      <c r="J140" s="335" t="s">
        <v>54</v>
      </c>
      <c r="L140" s="97" t="e">
        <f>VLOOKUP(B140,$B$11:B139,1,FALSE)</f>
        <v>#N/A</v>
      </c>
      <c r="M140" s="317">
        <f>G140*(1-FORM!$AE$28/100)</f>
        <v>10.39</v>
      </c>
      <c r="O140" s="502"/>
    </row>
    <row r="141" spans="1:15">
      <c r="A141" s="146"/>
      <c r="B141" s="411">
        <v>9255812</v>
      </c>
      <c r="C141" s="412" t="s">
        <v>643</v>
      </c>
      <c r="D141" s="275">
        <v>200</v>
      </c>
      <c r="E141" s="356"/>
      <c r="F141" s="357"/>
      <c r="G141" s="373">
        <v>10.74</v>
      </c>
      <c r="H141" s="158" t="str">
        <f t="shared" si="9"/>
        <v>CZK</v>
      </c>
      <c r="I141" s="358"/>
      <c r="J141" s="359" t="s">
        <v>54</v>
      </c>
      <c r="L141" s="97" t="e">
        <f>VLOOKUP(B141,$B$11:B140,1,FALSE)</f>
        <v>#N/A</v>
      </c>
      <c r="M141" s="317">
        <f>G141*(1-FORM!$AE$28/100)</f>
        <v>10.74</v>
      </c>
      <c r="O141" s="502"/>
    </row>
    <row r="142" spans="1:15">
      <c r="A142" s="153"/>
      <c r="B142" s="409">
        <v>9255813</v>
      </c>
      <c r="C142" s="271" t="s">
        <v>644</v>
      </c>
      <c r="D142" s="272">
        <v>200</v>
      </c>
      <c r="E142" s="350"/>
      <c r="F142" s="351"/>
      <c r="G142" s="371">
        <v>9.18</v>
      </c>
      <c r="H142" s="254" t="str">
        <f t="shared" si="9"/>
        <v>CZK</v>
      </c>
      <c r="I142" s="352"/>
      <c r="J142" s="353" t="s">
        <v>54</v>
      </c>
      <c r="L142" s="97" t="e">
        <f>VLOOKUP(B142,$B$11:B141,1,FALSE)</f>
        <v>#N/A</v>
      </c>
      <c r="M142" s="317">
        <f>G142*(1-FORM!$AE$28/100)</f>
        <v>9.18</v>
      </c>
      <c r="O142" s="502"/>
    </row>
    <row r="143" spans="1:15">
      <c r="A143" s="153"/>
      <c r="B143" s="406">
        <v>9255814</v>
      </c>
      <c r="C143" s="265" t="s">
        <v>645</v>
      </c>
      <c r="D143" s="266">
        <v>200</v>
      </c>
      <c r="E143" s="332"/>
      <c r="F143" s="333"/>
      <c r="G143" s="367">
        <v>9.2799999999999994</v>
      </c>
      <c r="H143" s="157" t="str">
        <f t="shared" si="9"/>
        <v>CZK</v>
      </c>
      <c r="I143" s="334"/>
      <c r="J143" s="335" t="s">
        <v>54</v>
      </c>
      <c r="L143" s="97" t="e">
        <f>VLOOKUP(B143,$B$11:B142,1,FALSE)</f>
        <v>#N/A</v>
      </c>
      <c r="M143" s="317">
        <f>G143*(1-FORM!$AE$28/100)</f>
        <v>9.2799999999999994</v>
      </c>
      <c r="O143" s="502"/>
    </row>
    <row r="144" spans="1:15">
      <c r="A144" s="153"/>
      <c r="B144" s="406">
        <v>9255815</v>
      </c>
      <c r="C144" s="265" t="s">
        <v>646</v>
      </c>
      <c r="D144" s="266">
        <v>200</v>
      </c>
      <c r="E144" s="332"/>
      <c r="F144" s="333"/>
      <c r="G144" s="367">
        <v>9.4499999999999993</v>
      </c>
      <c r="H144" s="157" t="str">
        <f t="shared" si="9"/>
        <v>CZK</v>
      </c>
      <c r="I144" s="334"/>
      <c r="J144" s="335" t="s">
        <v>54</v>
      </c>
      <c r="L144" s="97" t="e">
        <f>VLOOKUP(B144,$B$11:B143,1,FALSE)</f>
        <v>#N/A</v>
      </c>
      <c r="M144" s="317">
        <f>G144*(1-FORM!$AE$28/100)</f>
        <v>9.4499999999999993</v>
      </c>
      <c r="O144" s="502"/>
    </row>
    <row r="145" spans="1:15">
      <c r="A145" s="153"/>
      <c r="B145" s="406">
        <v>9255816</v>
      </c>
      <c r="C145" s="265" t="s">
        <v>647</v>
      </c>
      <c r="D145" s="266">
        <v>200</v>
      </c>
      <c r="E145" s="332"/>
      <c r="F145" s="333"/>
      <c r="G145" s="367">
        <v>9.6199999999999992</v>
      </c>
      <c r="H145" s="157" t="str">
        <f t="shared" si="9"/>
        <v>CZK</v>
      </c>
      <c r="I145" s="334"/>
      <c r="J145" s="335" t="s">
        <v>54</v>
      </c>
      <c r="L145" s="97" t="e">
        <f>VLOOKUP(B145,$B$11:B144,1,FALSE)</f>
        <v>#N/A</v>
      </c>
      <c r="M145" s="317">
        <f>G145*(1-FORM!$AE$28/100)</f>
        <v>9.6199999999999992</v>
      </c>
      <c r="O145" s="502"/>
    </row>
    <row r="146" spans="1:15">
      <c r="A146" s="153"/>
      <c r="B146" s="406">
        <v>9255817</v>
      </c>
      <c r="C146" s="265" t="s">
        <v>648</v>
      </c>
      <c r="D146" s="266">
        <v>200</v>
      </c>
      <c r="E146" s="332"/>
      <c r="F146" s="333"/>
      <c r="G146" s="367">
        <v>9.8000000000000007</v>
      </c>
      <c r="H146" s="157" t="str">
        <f t="shared" si="9"/>
        <v>CZK</v>
      </c>
      <c r="I146" s="334"/>
      <c r="J146" s="335" t="s">
        <v>54</v>
      </c>
      <c r="L146" s="97" t="e">
        <f>VLOOKUP(B146,$B$11:B145,1,FALSE)</f>
        <v>#N/A</v>
      </c>
      <c r="M146" s="317">
        <f>G146*(1-FORM!$AE$28/100)</f>
        <v>9.8000000000000007</v>
      </c>
      <c r="O146" s="502"/>
    </row>
    <row r="147" spans="1:15">
      <c r="A147" s="153"/>
      <c r="B147" s="406">
        <v>9255818</v>
      </c>
      <c r="C147" s="265" t="s">
        <v>649</v>
      </c>
      <c r="D147" s="266">
        <v>200</v>
      </c>
      <c r="E147" s="332"/>
      <c r="F147" s="333"/>
      <c r="G147" s="367">
        <v>9.9700000000000006</v>
      </c>
      <c r="H147" s="157" t="str">
        <f t="shared" si="9"/>
        <v>CZK</v>
      </c>
      <c r="I147" s="334"/>
      <c r="J147" s="335" t="s">
        <v>54</v>
      </c>
      <c r="L147" s="97" t="e">
        <f>VLOOKUP(B147,$B$11:B146,1,FALSE)</f>
        <v>#N/A</v>
      </c>
      <c r="M147" s="317">
        <f>G147*(1-FORM!$AE$28/100)</f>
        <v>9.9700000000000006</v>
      </c>
      <c r="O147" s="502"/>
    </row>
    <row r="148" spans="1:15">
      <c r="A148" s="153"/>
      <c r="B148" s="406">
        <v>9255819</v>
      </c>
      <c r="C148" s="265" t="s">
        <v>650</v>
      </c>
      <c r="D148" s="266">
        <v>200</v>
      </c>
      <c r="E148" s="332"/>
      <c r="F148" s="333"/>
      <c r="G148" s="367">
        <v>10.14</v>
      </c>
      <c r="H148" s="157" t="str">
        <f t="shared" ref="H148:H158" si="10">IF(G148="","",$H$10)</f>
        <v>CZK</v>
      </c>
      <c r="I148" s="334"/>
      <c r="J148" s="335" t="s">
        <v>54</v>
      </c>
      <c r="L148" s="97" t="e">
        <f>VLOOKUP(B148,$B$11:B147,1,FALSE)</f>
        <v>#N/A</v>
      </c>
      <c r="M148" s="317">
        <f>G148*(1-FORM!$AE$28/100)</f>
        <v>10.14</v>
      </c>
      <c r="O148" s="502"/>
    </row>
    <row r="149" spans="1:15">
      <c r="A149" s="153"/>
      <c r="B149" s="406">
        <v>9255820</v>
      </c>
      <c r="C149" s="265" t="s">
        <v>651</v>
      </c>
      <c r="D149" s="266">
        <v>200</v>
      </c>
      <c r="E149" s="332"/>
      <c r="F149" s="333"/>
      <c r="G149" s="367">
        <v>10.39</v>
      </c>
      <c r="H149" s="157" t="str">
        <f t="shared" si="10"/>
        <v>CZK</v>
      </c>
      <c r="I149" s="334"/>
      <c r="J149" s="335" t="s">
        <v>54</v>
      </c>
      <c r="L149" s="97" t="e">
        <f>VLOOKUP(B149,$B$11:B148,1,FALSE)</f>
        <v>#N/A</v>
      </c>
      <c r="M149" s="317">
        <f>G149*(1-FORM!$AE$28/100)</f>
        <v>10.39</v>
      </c>
      <c r="O149" s="502"/>
    </row>
    <row r="150" spans="1:15">
      <c r="A150" s="153"/>
      <c r="B150" s="411">
        <v>9255821</v>
      </c>
      <c r="C150" s="412" t="s">
        <v>652</v>
      </c>
      <c r="D150" s="275">
        <v>200</v>
      </c>
      <c r="E150" s="356"/>
      <c r="F150" s="357"/>
      <c r="G150" s="373">
        <v>10.74</v>
      </c>
      <c r="H150" s="158" t="str">
        <f t="shared" si="10"/>
        <v>CZK</v>
      </c>
      <c r="I150" s="358"/>
      <c r="J150" s="359" t="s">
        <v>54</v>
      </c>
      <c r="L150" s="97" t="e">
        <f>VLOOKUP(B150,$B$11:B149,1,FALSE)</f>
        <v>#N/A</v>
      </c>
      <c r="M150" s="317">
        <f>G150*(1-FORM!$AE$28/100)</f>
        <v>10.74</v>
      </c>
      <c r="O150" s="502"/>
    </row>
    <row r="151" spans="1:15">
      <c r="A151" s="155"/>
      <c r="B151" s="409">
        <v>9255822</v>
      </c>
      <c r="C151" s="271" t="s">
        <v>653</v>
      </c>
      <c r="D151" s="272">
        <v>200</v>
      </c>
      <c r="E151" s="350"/>
      <c r="F151" s="351"/>
      <c r="G151" s="371">
        <v>9.18</v>
      </c>
      <c r="H151" s="254" t="str">
        <f t="shared" si="10"/>
        <v>CZK</v>
      </c>
      <c r="I151" s="352"/>
      <c r="J151" s="353" t="s">
        <v>54</v>
      </c>
      <c r="L151" s="97" t="e">
        <f>VLOOKUP(B151,$B$11:B150,1,FALSE)</f>
        <v>#N/A</v>
      </c>
      <c r="M151" s="317">
        <f>G151*(1-FORM!$AE$28/100)</f>
        <v>9.18</v>
      </c>
      <c r="O151" s="502"/>
    </row>
    <row r="152" spans="1:15">
      <c r="A152" s="155"/>
      <c r="B152" s="406">
        <v>9255823</v>
      </c>
      <c r="C152" s="265" t="s">
        <v>654</v>
      </c>
      <c r="D152" s="266">
        <v>200</v>
      </c>
      <c r="E152" s="332"/>
      <c r="F152" s="333"/>
      <c r="G152" s="367">
        <v>9.2799999999999994</v>
      </c>
      <c r="H152" s="157" t="str">
        <f t="shared" si="10"/>
        <v>CZK</v>
      </c>
      <c r="I152" s="334"/>
      <c r="J152" s="335" t="s">
        <v>54</v>
      </c>
      <c r="L152" s="97" t="e">
        <f>VLOOKUP(B152,$B$11:B151,1,FALSE)</f>
        <v>#N/A</v>
      </c>
      <c r="M152" s="317">
        <f>G152*(1-FORM!$AE$28/100)</f>
        <v>9.2799999999999994</v>
      </c>
      <c r="O152" s="502"/>
    </row>
    <row r="153" spans="1:15">
      <c r="A153" s="155"/>
      <c r="B153" s="406">
        <v>9255824</v>
      </c>
      <c r="C153" s="265" t="s">
        <v>655</v>
      </c>
      <c r="D153" s="266">
        <v>200</v>
      </c>
      <c r="E153" s="332"/>
      <c r="F153" s="333"/>
      <c r="G153" s="367">
        <v>9.4499999999999993</v>
      </c>
      <c r="H153" s="157" t="str">
        <f t="shared" si="10"/>
        <v>CZK</v>
      </c>
      <c r="I153" s="334"/>
      <c r="J153" s="335" t="s">
        <v>54</v>
      </c>
      <c r="L153" s="97" t="e">
        <f>VLOOKUP(B153,$B$11:B152,1,FALSE)</f>
        <v>#N/A</v>
      </c>
      <c r="M153" s="317">
        <f>G153*(1-FORM!$AE$28/100)</f>
        <v>9.4499999999999993</v>
      </c>
      <c r="O153" s="502"/>
    </row>
    <row r="154" spans="1:15">
      <c r="A154" s="155"/>
      <c r="B154" s="406">
        <v>9255825</v>
      </c>
      <c r="C154" s="265" t="s">
        <v>656</v>
      </c>
      <c r="D154" s="266">
        <v>200</v>
      </c>
      <c r="E154" s="332"/>
      <c r="F154" s="333"/>
      <c r="G154" s="367">
        <v>9.6199999999999992</v>
      </c>
      <c r="H154" s="157" t="str">
        <f t="shared" si="10"/>
        <v>CZK</v>
      </c>
      <c r="I154" s="334"/>
      <c r="J154" s="335" t="s">
        <v>54</v>
      </c>
      <c r="L154" s="97" t="e">
        <f>VLOOKUP(B154,$B$11:B153,1,FALSE)</f>
        <v>#N/A</v>
      </c>
      <c r="M154" s="317">
        <f>G154*(1-FORM!$AE$28/100)</f>
        <v>9.6199999999999992</v>
      </c>
      <c r="O154" s="502"/>
    </row>
    <row r="155" spans="1:15">
      <c r="A155" s="155"/>
      <c r="B155" s="406">
        <v>9255826</v>
      </c>
      <c r="C155" s="265" t="s">
        <v>657</v>
      </c>
      <c r="D155" s="266">
        <v>200</v>
      </c>
      <c r="E155" s="332"/>
      <c r="F155" s="333"/>
      <c r="G155" s="367">
        <v>9.8000000000000007</v>
      </c>
      <c r="H155" s="157" t="str">
        <f>IF(G155="","",$H$10)</f>
        <v>CZK</v>
      </c>
      <c r="I155" s="334"/>
      <c r="J155" s="335" t="s">
        <v>54</v>
      </c>
      <c r="L155" s="97" t="e">
        <f>VLOOKUP(B155,$B$11:B154,1,FALSE)</f>
        <v>#N/A</v>
      </c>
      <c r="M155" s="317">
        <f>G155*(1-FORM!$AE$28/100)</f>
        <v>9.8000000000000007</v>
      </c>
      <c r="O155" s="502"/>
    </row>
    <row r="156" spans="1:15">
      <c r="A156" s="155"/>
      <c r="B156" s="406">
        <v>9255827</v>
      </c>
      <c r="C156" s="265" t="s">
        <v>658</v>
      </c>
      <c r="D156" s="266">
        <v>200</v>
      </c>
      <c r="E156" s="332"/>
      <c r="F156" s="333"/>
      <c r="G156" s="367">
        <v>9.9700000000000006</v>
      </c>
      <c r="H156" s="157" t="str">
        <f t="shared" si="10"/>
        <v>CZK</v>
      </c>
      <c r="I156" s="334"/>
      <c r="J156" s="335" t="s">
        <v>54</v>
      </c>
      <c r="L156" s="97" t="e">
        <f>VLOOKUP(B156,$B$11:B155,1,FALSE)</f>
        <v>#N/A</v>
      </c>
      <c r="M156" s="317">
        <f>G156*(1-FORM!$AE$28/100)</f>
        <v>9.9700000000000006</v>
      </c>
      <c r="O156" s="502"/>
    </row>
    <row r="157" spans="1:15">
      <c r="A157" s="155"/>
      <c r="B157" s="406">
        <v>9255828</v>
      </c>
      <c r="C157" s="265" t="s">
        <v>659</v>
      </c>
      <c r="D157" s="266">
        <v>200</v>
      </c>
      <c r="E157" s="332"/>
      <c r="F157" s="333"/>
      <c r="G157" s="367">
        <v>10.14</v>
      </c>
      <c r="H157" s="157" t="str">
        <f t="shared" si="10"/>
        <v>CZK</v>
      </c>
      <c r="I157" s="334"/>
      <c r="J157" s="335" t="s">
        <v>54</v>
      </c>
      <c r="L157" s="97" t="e">
        <f>VLOOKUP(B157,$B$11:B156,1,FALSE)</f>
        <v>#N/A</v>
      </c>
      <c r="M157" s="317">
        <f>G157*(1-FORM!$AE$28/100)</f>
        <v>10.14</v>
      </c>
      <c r="O157" s="502"/>
    </row>
    <row r="158" spans="1:15">
      <c r="A158" s="155"/>
      <c r="B158" s="406">
        <v>9255829</v>
      </c>
      <c r="C158" s="265" t="s">
        <v>660</v>
      </c>
      <c r="D158" s="266">
        <v>200</v>
      </c>
      <c r="E158" s="332"/>
      <c r="F158" s="333"/>
      <c r="G158" s="367">
        <v>10.39</v>
      </c>
      <c r="H158" s="157" t="str">
        <f t="shared" si="10"/>
        <v>CZK</v>
      </c>
      <c r="I158" s="334"/>
      <c r="J158" s="335" t="s">
        <v>54</v>
      </c>
      <c r="L158" s="97" t="e">
        <f>VLOOKUP(B158,$B$11:B157,1,FALSE)</f>
        <v>#N/A</v>
      </c>
      <c r="M158" s="317">
        <f>G158*(1-FORM!$AE$28/100)</f>
        <v>10.39</v>
      </c>
      <c r="O158" s="502"/>
    </row>
    <row r="159" spans="1:15">
      <c r="A159" s="155"/>
      <c r="B159" s="411">
        <v>9255830</v>
      </c>
      <c r="C159" s="412" t="s">
        <v>661</v>
      </c>
      <c r="D159" s="275">
        <v>200</v>
      </c>
      <c r="E159" s="356"/>
      <c r="F159" s="357"/>
      <c r="G159" s="373">
        <v>10.74</v>
      </c>
      <c r="H159" s="158" t="str">
        <f t="shared" ref="H159:H173" si="11">IF(G159="","",$H$10)</f>
        <v>CZK</v>
      </c>
      <c r="I159" s="358"/>
      <c r="J159" s="359" t="s">
        <v>54</v>
      </c>
      <c r="L159" s="97" t="e">
        <f>VLOOKUP(B159,$B$11:B158,1,FALSE)</f>
        <v>#N/A</v>
      </c>
      <c r="M159" s="317">
        <f>G159*(1-FORM!$AE$28/100)</f>
        <v>10.74</v>
      </c>
      <c r="O159" s="502"/>
    </row>
    <row r="160" spans="1:15">
      <c r="A160" s="180"/>
      <c r="B160" s="409">
        <v>9255835</v>
      </c>
      <c r="C160" s="271" t="s">
        <v>662</v>
      </c>
      <c r="D160" s="272">
        <v>200</v>
      </c>
      <c r="E160" s="350"/>
      <c r="F160" s="351"/>
      <c r="G160" s="371">
        <v>26.57</v>
      </c>
      <c r="H160" s="254" t="str">
        <f t="shared" si="11"/>
        <v>CZK</v>
      </c>
      <c r="I160" s="352"/>
      <c r="J160" s="353" t="s">
        <v>54</v>
      </c>
      <c r="L160" s="97" t="e">
        <f>VLOOKUP(B160,$B$11:B159,1,FALSE)</f>
        <v>#N/A</v>
      </c>
      <c r="M160" s="317">
        <f>G160*(1-FORM!$AE$28/100)</f>
        <v>26.57</v>
      </c>
      <c r="O160" s="502"/>
    </row>
    <row r="161" spans="1:15">
      <c r="A161" s="180"/>
      <c r="B161" s="411">
        <v>9255836</v>
      </c>
      <c r="C161" s="412" t="s">
        <v>663</v>
      </c>
      <c r="D161" s="275">
        <v>200</v>
      </c>
      <c r="E161" s="356"/>
      <c r="F161" s="357"/>
      <c r="G161" s="373">
        <v>27.23</v>
      </c>
      <c r="H161" s="158" t="str">
        <f t="shared" si="11"/>
        <v>CZK</v>
      </c>
      <c r="I161" s="358"/>
      <c r="J161" s="359" t="s">
        <v>54</v>
      </c>
      <c r="L161" s="97" t="e">
        <f>VLOOKUP(B161,$B$11:B160,1,FALSE)</f>
        <v>#N/A</v>
      </c>
      <c r="M161" s="317">
        <f>G161*(1-FORM!$AE$28/100)</f>
        <v>27.23</v>
      </c>
      <c r="O161" s="502"/>
    </row>
    <row r="162" spans="1:15">
      <c r="A162" s="180"/>
      <c r="B162" s="413"/>
      <c r="C162" s="17"/>
      <c r="D162" s="270"/>
      <c r="E162" s="414"/>
      <c r="F162" s="347"/>
      <c r="G162" s="415"/>
      <c r="H162" s="416"/>
      <c r="I162" s="348"/>
      <c r="J162" s="349"/>
      <c r="L162" s="97" t="e">
        <f>VLOOKUP(B162,$B$11:B161,1,FALSE)</f>
        <v>#N/A</v>
      </c>
      <c r="M162" s="317">
        <f>G162*(1-FORM!$AE$28/100)</f>
        <v>0</v>
      </c>
      <c r="O162" s="502"/>
    </row>
    <row r="163" spans="1:15">
      <c r="A163" s="146"/>
      <c r="B163" s="409">
        <v>9255254</v>
      </c>
      <c r="C163" s="271" t="s">
        <v>664</v>
      </c>
      <c r="D163" s="272">
        <v>1</v>
      </c>
      <c r="E163" s="350"/>
      <c r="F163" s="351"/>
      <c r="G163" s="371">
        <v>682.46</v>
      </c>
      <c r="H163" s="254" t="str">
        <f t="shared" si="11"/>
        <v>CZK</v>
      </c>
      <c r="I163" s="352"/>
      <c r="J163" s="353" t="s">
        <v>54</v>
      </c>
      <c r="L163" s="97" t="e">
        <f>VLOOKUP(B163,$B$11:B162,1,FALSE)</f>
        <v>#N/A</v>
      </c>
      <c r="M163" s="317">
        <f>G163*(1-FORM!$AE$28/100)</f>
        <v>682.46</v>
      </c>
      <c r="O163" s="502"/>
    </row>
    <row r="164" spans="1:15">
      <c r="A164" s="146"/>
      <c r="B164" s="406">
        <v>9255255</v>
      </c>
      <c r="C164" s="265" t="s">
        <v>665</v>
      </c>
      <c r="D164" s="266">
        <v>1</v>
      </c>
      <c r="E164" s="332"/>
      <c r="F164" s="333"/>
      <c r="G164" s="367">
        <v>691.23</v>
      </c>
      <c r="H164" s="157" t="str">
        <f t="shared" si="11"/>
        <v>CZK</v>
      </c>
      <c r="I164" s="334"/>
      <c r="J164" s="335" t="s">
        <v>54</v>
      </c>
      <c r="L164" s="97" t="e">
        <f>VLOOKUP(B164,$B$11:B163,1,FALSE)</f>
        <v>#N/A</v>
      </c>
      <c r="M164" s="317">
        <f>G164*(1-FORM!$AE$28/100)</f>
        <v>691.23</v>
      </c>
      <c r="O164" s="502"/>
    </row>
    <row r="165" spans="1:15">
      <c r="A165" s="146"/>
      <c r="B165" s="406">
        <v>9255256</v>
      </c>
      <c r="C165" s="265" t="s">
        <v>666</v>
      </c>
      <c r="D165" s="266">
        <v>1</v>
      </c>
      <c r="E165" s="332"/>
      <c r="F165" s="333"/>
      <c r="G165" s="367">
        <v>700.01</v>
      </c>
      <c r="H165" s="157" t="str">
        <f t="shared" si="11"/>
        <v>CZK</v>
      </c>
      <c r="I165" s="334"/>
      <c r="J165" s="335" t="s">
        <v>54</v>
      </c>
      <c r="L165" s="97" t="e">
        <f>VLOOKUP(B165,$B$11:B164,1,FALSE)</f>
        <v>#N/A</v>
      </c>
      <c r="M165" s="317">
        <f>G165*(1-FORM!$AE$28/100)</f>
        <v>700.01</v>
      </c>
      <c r="O165" s="502"/>
    </row>
    <row r="166" spans="1:15">
      <c r="A166" s="146"/>
      <c r="B166" s="406">
        <v>9255257</v>
      </c>
      <c r="C166" s="265" t="s">
        <v>667</v>
      </c>
      <c r="D166" s="266">
        <v>1</v>
      </c>
      <c r="E166" s="332"/>
      <c r="F166" s="333"/>
      <c r="G166" s="367">
        <v>708.78</v>
      </c>
      <c r="H166" s="157" t="str">
        <f t="shared" si="11"/>
        <v>CZK</v>
      </c>
      <c r="I166" s="334"/>
      <c r="J166" s="335" t="s">
        <v>54</v>
      </c>
      <c r="L166" s="97" t="e">
        <f>VLOOKUP(B166,$B$11:B165,1,FALSE)</f>
        <v>#N/A</v>
      </c>
      <c r="M166" s="317">
        <f>G166*(1-FORM!$AE$28/100)</f>
        <v>708.78</v>
      </c>
      <c r="O166" s="502"/>
    </row>
    <row r="167" spans="1:15">
      <c r="A167" s="146"/>
      <c r="B167" s="406">
        <v>9255258</v>
      </c>
      <c r="C167" s="265" t="s">
        <v>668</v>
      </c>
      <c r="D167" s="266">
        <v>1</v>
      </c>
      <c r="E167" s="332"/>
      <c r="F167" s="333"/>
      <c r="G167" s="367">
        <v>717.56</v>
      </c>
      <c r="H167" s="157" t="str">
        <f t="shared" si="11"/>
        <v>CZK</v>
      </c>
      <c r="I167" s="334"/>
      <c r="J167" s="335" t="s">
        <v>54</v>
      </c>
      <c r="L167" s="97" t="e">
        <f>VLOOKUP(B167,$B$11:B166,1,FALSE)</f>
        <v>#N/A</v>
      </c>
      <c r="M167" s="317">
        <f>G167*(1-FORM!$AE$28/100)</f>
        <v>717.56</v>
      </c>
      <c r="O167" s="502"/>
    </row>
    <row r="168" spans="1:15">
      <c r="A168" s="146"/>
      <c r="B168" s="406">
        <v>9255259</v>
      </c>
      <c r="C168" s="265" t="s">
        <v>669</v>
      </c>
      <c r="D168" s="266">
        <v>1</v>
      </c>
      <c r="E168" s="332"/>
      <c r="F168" s="333"/>
      <c r="G168" s="367">
        <v>726.33</v>
      </c>
      <c r="H168" s="157" t="str">
        <f t="shared" si="11"/>
        <v>CZK</v>
      </c>
      <c r="I168" s="334"/>
      <c r="J168" s="335" t="s">
        <v>54</v>
      </c>
      <c r="L168" s="97" t="e">
        <f>VLOOKUP(B168,$B$11:B167,1,FALSE)</f>
        <v>#N/A</v>
      </c>
      <c r="M168" s="317">
        <f>G168*(1-FORM!$AE$28/100)</f>
        <v>726.33</v>
      </c>
      <c r="O168" s="502"/>
    </row>
    <row r="169" spans="1:15">
      <c r="A169" s="146"/>
      <c r="B169" s="411">
        <v>9255260</v>
      </c>
      <c r="C169" s="412" t="s">
        <v>670</v>
      </c>
      <c r="D169" s="275">
        <v>1</v>
      </c>
      <c r="E169" s="356"/>
      <c r="F169" s="357"/>
      <c r="G169" s="373">
        <v>739.57</v>
      </c>
      <c r="H169" s="158" t="str">
        <f t="shared" si="11"/>
        <v>CZK</v>
      </c>
      <c r="I169" s="358"/>
      <c r="J169" s="359" t="s">
        <v>54</v>
      </c>
      <c r="L169" s="97" t="e">
        <f>VLOOKUP(B169,$B$11:B168,1,FALSE)</f>
        <v>#N/A</v>
      </c>
      <c r="M169" s="317">
        <f>G169*(1-FORM!$AE$28/100)</f>
        <v>739.57</v>
      </c>
      <c r="O169" s="502"/>
    </row>
    <row r="170" spans="1:15">
      <c r="A170" s="153"/>
      <c r="B170" s="409">
        <v>9255294</v>
      </c>
      <c r="C170" s="271" t="s">
        <v>671</v>
      </c>
      <c r="D170" s="272">
        <v>1</v>
      </c>
      <c r="E170" s="350"/>
      <c r="F170" s="351"/>
      <c r="G170" s="371">
        <v>682.46</v>
      </c>
      <c r="H170" s="254" t="str">
        <f t="shared" si="11"/>
        <v>CZK</v>
      </c>
      <c r="I170" s="352"/>
      <c r="J170" s="353" t="s">
        <v>54</v>
      </c>
      <c r="L170" s="97" t="e">
        <f>VLOOKUP(B170,$B$11:B169,1,FALSE)</f>
        <v>#N/A</v>
      </c>
      <c r="M170" s="317">
        <f>G170*(1-FORM!$AE$28/100)</f>
        <v>682.46</v>
      </c>
      <c r="O170" s="502"/>
    </row>
    <row r="171" spans="1:15">
      <c r="A171" s="153"/>
      <c r="B171" s="406">
        <v>9255295</v>
      </c>
      <c r="C171" s="265" t="s">
        <v>672</v>
      </c>
      <c r="D171" s="266">
        <v>1</v>
      </c>
      <c r="E171" s="332"/>
      <c r="F171" s="333"/>
      <c r="G171" s="367">
        <v>691.23</v>
      </c>
      <c r="H171" s="157" t="str">
        <f t="shared" si="11"/>
        <v>CZK</v>
      </c>
      <c r="I171" s="334"/>
      <c r="J171" s="335" t="s">
        <v>54</v>
      </c>
      <c r="L171" s="97" t="e">
        <f>VLOOKUP(B171,$B$11:B170,1,FALSE)</f>
        <v>#N/A</v>
      </c>
      <c r="M171" s="317">
        <f>G171*(1-FORM!$AE$28/100)</f>
        <v>691.23</v>
      </c>
      <c r="O171" s="502"/>
    </row>
    <row r="172" spans="1:15">
      <c r="A172" s="153"/>
      <c r="B172" s="406">
        <v>9255296</v>
      </c>
      <c r="C172" s="265" t="s">
        <v>673</v>
      </c>
      <c r="D172" s="266">
        <v>1</v>
      </c>
      <c r="E172" s="332"/>
      <c r="F172" s="333"/>
      <c r="G172" s="367">
        <v>700.01</v>
      </c>
      <c r="H172" s="157" t="str">
        <f t="shared" si="11"/>
        <v>CZK</v>
      </c>
      <c r="I172" s="334"/>
      <c r="J172" s="335" t="s">
        <v>54</v>
      </c>
      <c r="L172" s="97" t="e">
        <f>VLOOKUP(B172,$B$11:B171,1,FALSE)</f>
        <v>#N/A</v>
      </c>
      <c r="M172" s="317">
        <f>G172*(1-FORM!$AE$28/100)</f>
        <v>700.01</v>
      </c>
      <c r="O172" s="502"/>
    </row>
    <row r="173" spans="1:15">
      <c r="A173" s="153"/>
      <c r="B173" s="406">
        <v>9255297</v>
      </c>
      <c r="C173" s="265" t="s">
        <v>674</v>
      </c>
      <c r="D173" s="266">
        <v>1</v>
      </c>
      <c r="E173" s="332"/>
      <c r="F173" s="333"/>
      <c r="G173" s="367">
        <v>708.78</v>
      </c>
      <c r="H173" s="157" t="str">
        <f t="shared" si="11"/>
        <v>CZK</v>
      </c>
      <c r="I173" s="334"/>
      <c r="J173" s="335" t="s">
        <v>54</v>
      </c>
      <c r="L173" s="97" t="e">
        <f>VLOOKUP(B173,$B$11:B172,1,FALSE)</f>
        <v>#N/A</v>
      </c>
      <c r="M173" s="317">
        <f>G173*(1-FORM!$AE$28/100)</f>
        <v>708.78</v>
      </c>
      <c r="O173" s="502"/>
    </row>
    <row r="174" spans="1:15">
      <c r="A174" s="153"/>
      <c r="B174" s="406">
        <v>9255298</v>
      </c>
      <c r="C174" s="265" t="s">
        <v>675</v>
      </c>
      <c r="D174" s="266">
        <v>1</v>
      </c>
      <c r="E174" s="332"/>
      <c r="F174" s="333"/>
      <c r="G174" s="367">
        <v>717.56</v>
      </c>
      <c r="H174" s="157" t="str">
        <f t="shared" ref="H174:H180" si="12">IF(G174="","",$H$10)</f>
        <v>CZK</v>
      </c>
      <c r="I174" s="334"/>
      <c r="J174" s="335" t="s">
        <v>54</v>
      </c>
      <c r="L174" s="97" t="e">
        <f>VLOOKUP(B174,$B$11:B173,1,FALSE)</f>
        <v>#N/A</v>
      </c>
      <c r="M174" s="317">
        <f>G174*(1-FORM!$AE$28/100)</f>
        <v>717.56</v>
      </c>
      <c r="O174" s="502"/>
    </row>
    <row r="175" spans="1:15">
      <c r="A175" s="153"/>
      <c r="B175" s="406">
        <v>9255299</v>
      </c>
      <c r="C175" s="265" t="s">
        <v>676</v>
      </c>
      <c r="D175" s="266">
        <v>1</v>
      </c>
      <c r="E175" s="332"/>
      <c r="F175" s="333"/>
      <c r="G175" s="367">
        <v>726.33</v>
      </c>
      <c r="H175" s="157" t="str">
        <f t="shared" si="12"/>
        <v>CZK</v>
      </c>
      <c r="I175" s="334"/>
      <c r="J175" s="335" t="s">
        <v>54</v>
      </c>
      <c r="L175" s="97" t="e">
        <f>VLOOKUP(B175,$B$11:B174,1,FALSE)</f>
        <v>#N/A</v>
      </c>
      <c r="M175" s="317">
        <f>G175*(1-FORM!$AE$28/100)</f>
        <v>726.33</v>
      </c>
      <c r="O175" s="502"/>
    </row>
    <row r="176" spans="1:15">
      <c r="A176" s="153"/>
      <c r="B176" s="411">
        <v>9255300</v>
      </c>
      <c r="C176" s="412" t="s">
        <v>677</v>
      </c>
      <c r="D176" s="275">
        <v>1</v>
      </c>
      <c r="E176" s="356"/>
      <c r="F176" s="357"/>
      <c r="G176" s="373">
        <v>739.57</v>
      </c>
      <c r="H176" s="158" t="str">
        <f t="shared" si="12"/>
        <v>CZK</v>
      </c>
      <c r="I176" s="358"/>
      <c r="J176" s="359" t="s">
        <v>54</v>
      </c>
      <c r="L176" s="97" t="e">
        <f>VLOOKUP(B176,$B$11:B175,1,FALSE)</f>
        <v>#N/A</v>
      </c>
      <c r="M176" s="317">
        <f>G176*(1-FORM!$AE$28/100)</f>
        <v>739.57</v>
      </c>
      <c r="O176" s="502"/>
    </row>
    <row r="177" spans="1:15">
      <c r="A177" s="155"/>
      <c r="B177" s="409">
        <v>9255334</v>
      </c>
      <c r="C177" s="271" t="s">
        <v>678</v>
      </c>
      <c r="D177" s="272">
        <v>1</v>
      </c>
      <c r="E177" s="350"/>
      <c r="F177" s="351"/>
      <c r="G177" s="371">
        <v>682.46</v>
      </c>
      <c r="H177" s="254" t="str">
        <f t="shared" si="12"/>
        <v>CZK</v>
      </c>
      <c r="I177" s="352"/>
      <c r="J177" s="353" t="s">
        <v>54</v>
      </c>
      <c r="L177" s="97" t="e">
        <f>VLOOKUP(B177,$B$11:B176,1,FALSE)</f>
        <v>#N/A</v>
      </c>
      <c r="M177" s="317">
        <f>G177*(1-FORM!$AE$28/100)</f>
        <v>682.46</v>
      </c>
      <c r="O177" s="502"/>
    </row>
    <row r="178" spans="1:15">
      <c r="A178" s="155"/>
      <c r="B178" s="406">
        <v>9255335</v>
      </c>
      <c r="C178" s="265" t="s">
        <v>679</v>
      </c>
      <c r="D178" s="266">
        <v>1</v>
      </c>
      <c r="E178" s="332"/>
      <c r="F178" s="333"/>
      <c r="G178" s="367">
        <v>691.23</v>
      </c>
      <c r="H178" s="157" t="str">
        <f t="shared" si="12"/>
        <v>CZK</v>
      </c>
      <c r="I178" s="334"/>
      <c r="J178" s="335" t="s">
        <v>54</v>
      </c>
      <c r="L178" s="97" t="e">
        <f>VLOOKUP(B178,$B$11:B177,1,FALSE)</f>
        <v>#N/A</v>
      </c>
      <c r="M178" s="317">
        <f>G178*(1-FORM!$AE$28/100)</f>
        <v>691.23</v>
      </c>
      <c r="O178" s="502"/>
    </row>
    <row r="179" spans="1:15">
      <c r="A179" s="155"/>
      <c r="B179" s="406">
        <v>9255336</v>
      </c>
      <c r="C179" s="265" t="s">
        <v>680</v>
      </c>
      <c r="D179" s="266">
        <v>1</v>
      </c>
      <c r="E179" s="332"/>
      <c r="F179" s="333"/>
      <c r="G179" s="367">
        <v>700.01</v>
      </c>
      <c r="H179" s="157" t="str">
        <f t="shared" si="12"/>
        <v>CZK</v>
      </c>
      <c r="I179" s="334"/>
      <c r="J179" s="335" t="s">
        <v>54</v>
      </c>
      <c r="L179" s="97" t="e">
        <f>VLOOKUP(B179,$B$11:B178,1,FALSE)</f>
        <v>#N/A</v>
      </c>
      <c r="M179" s="317">
        <f>G179*(1-FORM!$AE$28/100)</f>
        <v>700.01</v>
      </c>
      <c r="O179" s="502"/>
    </row>
    <row r="180" spans="1:15">
      <c r="A180" s="155"/>
      <c r="B180" s="406">
        <v>9255337</v>
      </c>
      <c r="C180" s="265" t="s">
        <v>681</v>
      </c>
      <c r="D180" s="266">
        <v>1</v>
      </c>
      <c r="E180" s="332"/>
      <c r="F180" s="333"/>
      <c r="G180" s="367">
        <v>708.78</v>
      </c>
      <c r="H180" s="157" t="str">
        <f t="shared" si="12"/>
        <v>CZK</v>
      </c>
      <c r="I180" s="334"/>
      <c r="J180" s="335" t="s">
        <v>54</v>
      </c>
      <c r="L180" s="97" t="e">
        <f>VLOOKUP(B180,$B$11:B179,1,FALSE)</f>
        <v>#N/A</v>
      </c>
      <c r="M180" s="317">
        <f>G180*(1-FORM!$AE$28/100)</f>
        <v>708.78</v>
      </c>
      <c r="O180" s="502"/>
    </row>
    <row r="181" spans="1:15">
      <c r="A181" s="155"/>
      <c r="B181" s="406">
        <v>9255338</v>
      </c>
      <c r="C181" s="265" t="s">
        <v>682</v>
      </c>
      <c r="D181" s="266">
        <v>1</v>
      </c>
      <c r="E181" s="332"/>
      <c r="F181" s="333"/>
      <c r="G181" s="367">
        <v>717.56</v>
      </c>
      <c r="H181" s="157" t="str">
        <f t="shared" ref="H181:H189" si="13">IF(G181="","",$H$10)</f>
        <v>CZK</v>
      </c>
      <c r="I181" s="334"/>
      <c r="J181" s="335" t="s">
        <v>54</v>
      </c>
      <c r="L181" s="97" t="e">
        <f>VLOOKUP(B181,$B$11:B180,1,FALSE)</f>
        <v>#N/A</v>
      </c>
      <c r="M181" s="317">
        <f>G181*(1-FORM!$AE$28/100)</f>
        <v>717.56</v>
      </c>
      <c r="O181" s="502"/>
    </row>
    <row r="182" spans="1:15">
      <c r="A182" s="155"/>
      <c r="B182" s="406">
        <v>9255339</v>
      </c>
      <c r="C182" s="265" t="s">
        <v>683</v>
      </c>
      <c r="D182" s="266">
        <v>1</v>
      </c>
      <c r="E182" s="332"/>
      <c r="F182" s="333"/>
      <c r="G182" s="367">
        <v>726.33</v>
      </c>
      <c r="H182" s="157" t="str">
        <f t="shared" si="13"/>
        <v>CZK</v>
      </c>
      <c r="I182" s="334"/>
      <c r="J182" s="335" t="s">
        <v>54</v>
      </c>
      <c r="L182" s="97" t="e">
        <f>VLOOKUP(B182,$B$11:B181,1,FALSE)</f>
        <v>#N/A</v>
      </c>
      <c r="M182" s="317">
        <f>G182*(1-FORM!$AE$28/100)</f>
        <v>726.33</v>
      </c>
      <c r="O182" s="502"/>
    </row>
    <row r="183" spans="1:15">
      <c r="A183" s="155"/>
      <c r="B183" s="411">
        <v>9255340</v>
      </c>
      <c r="C183" s="412" t="s">
        <v>684</v>
      </c>
      <c r="D183" s="275">
        <v>1</v>
      </c>
      <c r="E183" s="356"/>
      <c r="F183" s="357"/>
      <c r="G183" s="373">
        <v>739.57</v>
      </c>
      <c r="H183" s="158" t="str">
        <f t="shared" si="13"/>
        <v>CZK</v>
      </c>
      <c r="I183" s="358"/>
      <c r="J183" s="359" t="s">
        <v>54</v>
      </c>
      <c r="L183" s="97" t="e">
        <f>VLOOKUP(B183,$B$11:B182,1,FALSE)</f>
        <v>#N/A</v>
      </c>
      <c r="M183" s="317">
        <f>G183*(1-FORM!$AE$28/100)</f>
        <v>739.57</v>
      </c>
      <c r="O183" s="502"/>
    </row>
    <row r="184" spans="1:15">
      <c r="A184" s="146"/>
      <c r="B184" s="409">
        <v>9255028</v>
      </c>
      <c r="C184" s="271" t="s">
        <v>685</v>
      </c>
      <c r="D184" s="272">
        <v>20</v>
      </c>
      <c r="E184" s="350"/>
      <c r="F184" s="351"/>
      <c r="G184" s="371">
        <v>229.12</v>
      </c>
      <c r="H184" s="254" t="str">
        <f t="shared" si="13"/>
        <v>CZK</v>
      </c>
      <c r="I184" s="352"/>
      <c r="J184" s="353" t="s">
        <v>54</v>
      </c>
      <c r="L184" s="97" t="e">
        <f>VLOOKUP(B184,$B$11:B183,1,FALSE)</f>
        <v>#N/A</v>
      </c>
      <c r="M184" s="317">
        <f>G184*(1-FORM!$AE$28/100)</f>
        <v>229.12</v>
      </c>
      <c r="O184" s="502"/>
    </row>
    <row r="185" spans="1:15">
      <c r="A185" s="146"/>
      <c r="B185" s="406">
        <v>9255029</v>
      </c>
      <c r="C185" s="265" t="s">
        <v>686</v>
      </c>
      <c r="D185" s="266">
        <v>20</v>
      </c>
      <c r="E185" s="332"/>
      <c r="F185" s="333"/>
      <c r="G185" s="367">
        <v>229.12</v>
      </c>
      <c r="H185" s="157" t="str">
        <f t="shared" si="13"/>
        <v>CZK</v>
      </c>
      <c r="I185" s="334"/>
      <c r="J185" s="335" t="s">
        <v>54</v>
      </c>
      <c r="L185" s="97" t="e">
        <f>VLOOKUP(B185,$B$11:B184,1,FALSE)</f>
        <v>#N/A</v>
      </c>
      <c r="M185" s="317">
        <f>G185*(1-FORM!$AE$28/100)</f>
        <v>229.12</v>
      </c>
      <c r="O185" s="502"/>
    </row>
    <row r="186" spans="1:15">
      <c r="A186" s="146"/>
      <c r="B186" s="406">
        <v>9255030</v>
      </c>
      <c r="C186" s="265" t="s">
        <v>687</v>
      </c>
      <c r="D186" s="266">
        <v>20</v>
      </c>
      <c r="E186" s="332"/>
      <c r="F186" s="333"/>
      <c r="G186" s="367">
        <v>233.33</v>
      </c>
      <c r="H186" s="157" t="str">
        <f t="shared" si="13"/>
        <v>CZK</v>
      </c>
      <c r="I186" s="334"/>
      <c r="J186" s="335" t="s">
        <v>54</v>
      </c>
      <c r="L186" s="97" t="e">
        <f>VLOOKUP(B186,$B$11:B185,1,FALSE)</f>
        <v>#N/A</v>
      </c>
      <c r="M186" s="317">
        <f>G186*(1-FORM!$AE$28/100)</f>
        <v>233.33</v>
      </c>
      <c r="O186" s="502"/>
    </row>
    <row r="187" spans="1:15">
      <c r="A187" s="146"/>
      <c r="B187" s="406">
        <v>9255031</v>
      </c>
      <c r="C187" s="265" t="s">
        <v>688</v>
      </c>
      <c r="D187" s="266">
        <v>20</v>
      </c>
      <c r="E187" s="332"/>
      <c r="F187" s="333"/>
      <c r="G187" s="367">
        <v>233.33</v>
      </c>
      <c r="H187" s="157" t="str">
        <f t="shared" si="13"/>
        <v>CZK</v>
      </c>
      <c r="I187" s="334"/>
      <c r="J187" s="335" t="s">
        <v>54</v>
      </c>
      <c r="L187" s="97" t="e">
        <f>VLOOKUP(B187,$B$11:B186,1,FALSE)</f>
        <v>#N/A</v>
      </c>
      <c r="M187" s="317">
        <f>G187*(1-FORM!$AE$28/100)</f>
        <v>233.33</v>
      </c>
      <c r="O187" s="502"/>
    </row>
    <row r="188" spans="1:15">
      <c r="A188" s="146"/>
      <c r="B188" s="406">
        <v>9255032</v>
      </c>
      <c r="C188" s="265" t="s">
        <v>689</v>
      </c>
      <c r="D188" s="266">
        <v>20</v>
      </c>
      <c r="E188" s="332"/>
      <c r="F188" s="333"/>
      <c r="G188" s="367">
        <v>237.55</v>
      </c>
      <c r="H188" s="157" t="str">
        <f t="shared" si="13"/>
        <v>CZK</v>
      </c>
      <c r="I188" s="334"/>
      <c r="J188" s="335" t="s">
        <v>54</v>
      </c>
      <c r="L188" s="97" t="e">
        <f>VLOOKUP(B188,$B$11:B187,1,FALSE)</f>
        <v>#N/A</v>
      </c>
      <c r="M188" s="317">
        <f>G188*(1-FORM!$AE$28/100)</f>
        <v>237.55</v>
      </c>
      <c r="O188" s="502"/>
    </row>
    <row r="189" spans="1:15">
      <c r="A189" s="146"/>
      <c r="B189" s="406">
        <v>9255033</v>
      </c>
      <c r="C189" s="265" t="s">
        <v>690</v>
      </c>
      <c r="D189" s="266">
        <v>20</v>
      </c>
      <c r="E189" s="332"/>
      <c r="F189" s="333"/>
      <c r="G189" s="367">
        <v>237.55</v>
      </c>
      <c r="H189" s="157" t="str">
        <f t="shared" si="13"/>
        <v>CZK</v>
      </c>
      <c r="I189" s="334"/>
      <c r="J189" s="335" t="s">
        <v>54</v>
      </c>
      <c r="L189" s="97" t="e">
        <f>VLOOKUP(B189,$B$11:B188,1,FALSE)</f>
        <v>#N/A</v>
      </c>
      <c r="M189" s="317">
        <f>G189*(1-FORM!$AE$28/100)</f>
        <v>237.55</v>
      </c>
      <c r="O189" s="502"/>
    </row>
    <row r="190" spans="1:15">
      <c r="A190" s="146"/>
      <c r="B190" s="406">
        <v>9255034</v>
      </c>
      <c r="C190" s="265" t="s">
        <v>691</v>
      </c>
      <c r="D190" s="266">
        <v>20</v>
      </c>
      <c r="E190" s="332"/>
      <c r="F190" s="333"/>
      <c r="G190" s="367">
        <v>241.77</v>
      </c>
      <c r="H190" s="157" t="str">
        <f t="shared" ref="H190:H196" si="14">IF(G190="","",$H$10)</f>
        <v>CZK</v>
      </c>
      <c r="I190" s="334"/>
      <c r="J190" s="335" t="s">
        <v>54</v>
      </c>
      <c r="L190" s="97" t="e">
        <f>VLOOKUP(B190,$B$11:B189,1,FALSE)</f>
        <v>#N/A</v>
      </c>
      <c r="M190" s="317">
        <f>G190*(1-FORM!$AE$28/100)</f>
        <v>241.77</v>
      </c>
      <c r="O190" s="502"/>
    </row>
    <row r="191" spans="1:15">
      <c r="A191" s="146"/>
      <c r="B191" s="406">
        <v>9255035</v>
      </c>
      <c r="C191" s="265" t="s">
        <v>692</v>
      </c>
      <c r="D191" s="266">
        <v>20</v>
      </c>
      <c r="E191" s="332"/>
      <c r="F191" s="333"/>
      <c r="G191" s="367">
        <v>241.77</v>
      </c>
      <c r="H191" s="157" t="str">
        <f t="shared" si="14"/>
        <v>CZK</v>
      </c>
      <c r="I191" s="334"/>
      <c r="J191" s="335" t="s">
        <v>54</v>
      </c>
      <c r="L191" s="97" t="e">
        <f>VLOOKUP(B191,$B$11:B190,1,FALSE)</f>
        <v>#N/A</v>
      </c>
      <c r="M191" s="317">
        <f>G191*(1-FORM!$AE$28/100)</f>
        <v>241.77</v>
      </c>
      <c r="O191" s="502"/>
    </row>
    <row r="192" spans="1:15">
      <c r="A192" s="146"/>
      <c r="B192" s="406">
        <v>9255036</v>
      </c>
      <c r="C192" s="265" t="s">
        <v>693</v>
      </c>
      <c r="D192" s="266">
        <v>20</v>
      </c>
      <c r="E192" s="332"/>
      <c r="F192" s="333"/>
      <c r="G192" s="367">
        <v>245.98</v>
      </c>
      <c r="H192" s="157" t="str">
        <f t="shared" si="14"/>
        <v>CZK</v>
      </c>
      <c r="I192" s="334"/>
      <c r="J192" s="335" t="s">
        <v>54</v>
      </c>
      <c r="L192" s="97" t="e">
        <f>VLOOKUP(B192,$B$11:B191,1,FALSE)</f>
        <v>#N/A</v>
      </c>
      <c r="M192" s="317">
        <f>G192*(1-FORM!$AE$28/100)</f>
        <v>245.98</v>
      </c>
      <c r="O192" s="502"/>
    </row>
    <row r="193" spans="1:15">
      <c r="A193" s="146"/>
      <c r="B193" s="406">
        <v>9255037</v>
      </c>
      <c r="C193" s="265" t="s">
        <v>694</v>
      </c>
      <c r="D193" s="266">
        <v>20</v>
      </c>
      <c r="E193" s="332"/>
      <c r="F193" s="333"/>
      <c r="G193" s="367">
        <v>245.98</v>
      </c>
      <c r="H193" s="157" t="str">
        <f t="shared" si="14"/>
        <v>CZK</v>
      </c>
      <c r="I193" s="334"/>
      <c r="J193" s="335" t="s">
        <v>54</v>
      </c>
      <c r="L193" s="97" t="e">
        <f>VLOOKUP(B193,$B$11:B192,1,FALSE)</f>
        <v>#N/A</v>
      </c>
      <c r="M193" s="317">
        <f>G193*(1-FORM!$AE$28/100)</f>
        <v>245.98</v>
      </c>
      <c r="O193" s="502"/>
    </row>
    <row r="194" spans="1:15">
      <c r="A194" s="146"/>
      <c r="B194" s="406">
        <v>9255038</v>
      </c>
      <c r="C194" s="265" t="s">
        <v>695</v>
      </c>
      <c r="D194" s="266">
        <v>20</v>
      </c>
      <c r="E194" s="332"/>
      <c r="F194" s="333"/>
      <c r="G194" s="367">
        <v>250.2</v>
      </c>
      <c r="H194" s="157" t="str">
        <f t="shared" si="14"/>
        <v>CZK</v>
      </c>
      <c r="I194" s="334"/>
      <c r="J194" s="335" t="s">
        <v>54</v>
      </c>
      <c r="L194" s="97" t="e">
        <f>VLOOKUP(B194,$B$11:B193,1,FALSE)</f>
        <v>#N/A</v>
      </c>
      <c r="M194" s="317">
        <f>G194*(1-FORM!$AE$28/100)</f>
        <v>250.2</v>
      </c>
      <c r="O194" s="502"/>
    </row>
    <row r="195" spans="1:15">
      <c r="A195" s="146"/>
      <c r="B195" s="406">
        <v>9255039</v>
      </c>
      <c r="C195" s="265" t="s">
        <v>696</v>
      </c>
      <c r="D195" s="266">
        <v>20</v>
      </c>
      <c r="E195" s="332"/>
      <c r="F195" s="333"/>
      <c r="G195" s="367">
        <v>250.2</v>
      </c>
      <c r="H195" s="157" t="str">
        <f t="shared" si="14"/>
        <v>CZK</v>
      </c>
      <c r="I195" s="334"/>
      <c r="J195" s="335" t="s">
        <v>54</v>
      </c>
      <c r="L195" s="97" t="e">
        <f>VLOOKUP(B195,$B$11:B194,1,FALSE)</f>
        <v>#N/A</v>
      </c>
      <c r="M195" s="317">
        <f>G195*(1-FORM!$AE$28/100)</f>
        <v>250.2</v>
      </c>
      <c r="O195" s="502"/>
    </row>
    <row r="196" spans="1:15">
      <c r="A196" s="146"/>
      <c r="B196" s="406">
        <v>9255040</v>
      </c>
      <c r="C196" s="265" t="s">
        <v>697</v>
      </c>
      <c r="D196" s="266">
        <v>20</v>
      </c>
      <c r="E196" s="332"/>
      <c r="F196" s="333"/>
      <c r="G196" s="367">
        <v>256.56</v>
      </c>
      <c r="H196" s="157" t="str">
        <f t="shared" si="14"/>
        <v>CZK</v>
      </c>
      <c r="I196" s="334"/>
      <c r="J196" s="335" t="s">
        <v>54</v>
      </c>
      <c r="L196" s="97" t="e">
        <f>VLOOKUP(B196,$B$11:B195,1,FALSE)</f>
        <v>#N/A</v>
      </c>
      <c r="M196" s="317">
        <f>G196*(1-FORM!$AE$28/100)</f>
        <v>256.56</v>
      </c>
      <c r="O196" s="502"/>
    </row>
    <row r="197" spans="1:15">
      <c r="A197" s="146"/>
      <c r="B197" s="411">
        <v>9255041</v>
      </c>
      <c r="C197" s="412" t="s">
        <v>698</v>
      </c>
      <c r="D197" s="275">
        <v>20</v>
      </c>
      <c r="E197" s="356"/>
      <c r="F197" s="357"/>
      <c r="G197" s="373">
        <v>256.56</v>
      </c>
      <c r="H197" s="158" t="str">
        <f t="shared" ref="H197:H203" si="15">IF(G197="","",$H$10)</f>
        <v>CZK</v>
      </c>
      <c r="I197" s="358"/>
      <c r="J197" s="359" t="s">
        <v>54</v>
      </c>
      <c r="L197" s="97" t="e">
        <f>VLOOKUP(B197,$B$11:B196,1,FALSE)</f>
        <v>#N/A</v>
      </c>
      <c r="M197" s="317">
        <f>G197*(1-FORM!$AE$28/100)</f>
        <v>256.56</v>
      </c>
      <c r="O197" s="502"/>
    </row>
    <row r="198" spans="1:15">
      <c r="A198" s="153"/>
      <c r="B198" s="409">
        <v>9255108</v>
      </c>
      <c r="C198" s="271" t="s">
        <v>699</v>
      </c>
      <c r="D198" s="272">
        <v>20</v>
      </c>
      <c r="E198" s="350"/>
      <c r="F198" s="351"/>
      <c r="G198" s="371">
        <v>229.12</v>
      </c>
      <c r="H198" s="254" t="str">
        <f t="shared" si="15"/>
        <v>CZK</v>
      </c>
      <c r="I198" s="352"/>
      <c r="J198" s="353" t="s">
        <v>54</v>
      </c>
      <c r="L198" s="97" t="e">
        <f>VLOOKUP(B198,$B$11:B197,1,FALSE)</f>
        <v>#N/A</v>
      </c>
      <c r="M198" s="317">
        <f>G198*(1-FORM!$AE$28/100)</f>
        <v>229.12</v>
      </c>
      <c r="O198" s="502"/>
    </row>
    <row r="199" spans="1:15">
      <c r="A199" s="153"/>
      <c r="B199" s="406">
        <v>9255109</v>
      </c>
      <c r="C199" s="265" t="s">
        <v>700</v>
      </c>
      <c r="D199" s="266">
        <v>20</v>
      </c>
      <c r="E199" s="332"/>
      <c r="F199" s="333"/>
      <c r="G199" s="367">
        <v>229.12</v>
      </c>
      <c r="H199" s="157" t="str">
        <f t="shared" si="15"/>
        <v>CZK</v>
      </c>
      <c r="I199" s="334"/>
      <c r="J199" s="335" t="s">
        <v>54</v>
      </c>
      <c r="L199" s="97" t="e">
        <f>VLOOKUP(B199,$B$11:B198,1,FALSE)</f>
        <v>#N/A</v>
      </c>
      <c r="M199" s="317">
        <f>G199*(1-FORM!$AE$28/100)</f>
        <v>229.12</v>
      </c>
      <c r="O199" s="502"/>
    </row>
    <row r="200" spans="1:15">
      <c r="A200" s="153"/>
      <c r="B200" s="406">
        <v>9255110</v>
      </c>
      <c r="C200" s="265" t="s">
        <v>701</v>
      </c>
      <c r="D200" s="266">
        <v>20</v>
      </c>
      <c r="E200" s="332"/>
      <c r="F200" s="333"/>
      <c r="G200" s="367">
        <v>233.33</v>
      </c>
      <c r="H200" s="157" t="str">
        <f t="shared" si="15"/>
        <v>CZK</v>
      </c>
      <c r="I200" s="334"/>
      <c r="J200" s="335" t="s">
        <v>54</v>
      </c>
      <c r="L200" s="97" t="e">
        <f>VLOOKUP(B200,$B$11:B199,1,FALSE)</f>
        <v>#N/A</v>
      </c>
      <c r="M200" s="317">
        <f>G200*(1-FORM!$AE$28/100)</f>
        <v>233.33</v>
      </c>
      <c r="O200" s="502"/>
    </row>
    <row r="201" spans="1:15">
      <c r="A201" s="153"/>
      <c r="B201" s="406">
        <v>9255111</v>
      </c>
      <c r="C201" s="265" t="s">
        <v>702</v>
      </c>
      <c r="D201" s="266">
        <v>20</v>
      </c>
      <c r="E201" s="332"/>
      <c r="F201" s="333"/>
      <c r="G201" s="367">
        <v>233.33</v>
      </c>
      <c r="H201" s="157" t="str">
        <f t="shared" si="15"/>
        <v>CZK</v>
      </c>
      <c r="I201" s="334"/>
      <c r="J201" s="335" t="s">
        <v>54</v>
      </c>
      <c r="L201" s="97" t="e">
        <f>VLOOKUP(B201,$B$11:B200,1,FALSE)</f>
        <v>#N/A</v>
      </c>
      <c r="M201" s="317">
        <f>G201*(1-FORM!$AE$28/100)</f>
        <v>233.33</v>
      </c>
      <c r="O201" s="502"/>
    </row>
    <row r="202" spans="1:15">
      <c r="A202" s="153"/>
      <c r="B202" s="406">
        <v>9255112</v>
      </c>
      <c r="C202" s="265" t="s">
        <v>703</v>
      </c>
      <c r="D202" s="266">
        <v>20</v>
      </c>
      <c r="E202" s="332"/>
      <c r="F202" s="333"/>
      <c r="G202" s="367">
        <v>237.55</v>
      </c>
      <c r="H202" s="157" t="str">
        <f t="shared" si="15"/>
        <v>CZK</v>
      </c>
      <c r="I202" s="334"/>
      <c r="J202" s="335" t="s">
        <v>54</v>
      </c>
      <c r="L202" s="97" t="e">
        <f>VLOOKUP(B202,$B$11:B201,1,FALSE)</f>
        <v>#N/A</v>
      </c>
      <c r="M202" s="317">
        <f>G202*(1-FORM!$AE$28/100)</f>
        <v>237.55</v>
      </c>
      <c r="O202" s="502"/>
    </row>
    <row r="203" spans="1:15">
      <c r="A203" s="153"/>
      <c r="B203" s="406">
        <v>9255113</v>
      </c>
      <c r="C203" s="265" t="s">
        <v>704</v>
      </c>
      <c r="D203" s="266">
        <v>20</v>
      </c>
      <c r="E203" s="332"/>
      <c r="F203" s="333"/>
      <c r="G203" s="367">
        <v>237.55</v>
      </c>
      <c r="H203" s="157" t="str">
        <f t="shared" si="15"/>
        <v>CZK</v>
      </c>
      <c r="I203" s="334"/>
      <c r="J203" s="335" t="s">
        <v>54</v>
      </c>
      <c r="L203" s="97" t="e">
        <f>VLOOKUP(B203,$B$11:B202,1,FALSE)</f>
        <v>#N/A</v>
      </c>
      <c r="M203" s="317">
        <f>G203*(1-FORM!$AE$28/100)</f>
        <v>237.55</v>
      </c>
      <c r="O203" s="502"/>
    </row>
    <row r="204" spans="1:15">
      <c r="A204" s="153"/>
      <c r="B204" s="406">
        <v>9255114</v>
      </c>
      <c r="C204" s="265" t="s">
        <v>705</v>
      </c>
      <c r="D204" s="266">
        <v>20</v>
      </c>
      <c r="E204" s="332"/>
      <c r="F204" s="333"/>
      <c r="G204" s="367">
        <v>241.77</v>
      </c>
      <c r="H204" s="157" t="str">
        <f>IF(G204="","",$H$10)</f>
        <v>CZK</v>
      </c>
      <c r="I204" s="334"/>
      <c r="J204" s="335" t="s">
        <v>54</v>
      </c>
      <c r="L204" s="97" t="e">
        <f>VLOOKUP(B204,$B$11:B203,1,FALSE)</f>
        <v>#N/A</v>
      </c>
      <c r="M204" s="317">
        <f>G204*(1-FORM!$AE$28/100)</f>
        <v>241.77</v>
      </c>
      <c r="O204" s="502"/>
    </row>
    <row r="205" spans="1:15">
      <c r="A205" s="153"/>
      <c r="B205" s="406">
        <v>9255115</v>
      </c>
      <c r="C205" s="265" t="s">
        <v>706</v>
      </c>
      <c r="D205" s="266">
        <v>20</v>
      </c>
      <c r="E205" s="332"/>
      <c r="F205" s="333"/>
      <c r="G205" s="367">
        <v>241.77</v>
      </c>
      <c r="H205" s="157" t="str">
        <f>IF(G205="","",$H$10)</f>
        <v>CZK</v>
      </c>
      <c r="I205" s="334"/>
      <c r="J205" s="335" t="s">
        <v>54</v>
      </c>
      <c r="L205" s="97" t="e">
        <f>VLOOKUP(B205,$B$11:B204,1,FALSE)</f>
        <v>#N/A</v>
      </c>
      <c r="M205" s="317">
        <f>G205*(1-FORM!$AE$28/100)</f>
        <v>241.77</v>
      </c>
      <c r="O205" s="502"/>
    </row>
    <row r="206" spans="1:15">
      <c r="A206" s="153"/>
      <c r="B206" s="406">
        <v>9255116</v>
      </c>
      <c r="C206" s="265" t="s">
        <v>707</v>
      </c>
      <c r="D206" s="266">
        <v>20</v>
      </c>
      <c r="E206" s="332"/>
      <c r="F206" s="333"/>
      <c r="G206" s="367">
        <v>245.98</v>
      </c>
      <c r="H206" s="157" t="str">
        <f>IF(G206="","",$H$10)</f>
        <v>CZK</v>
      </c>
      <c r="I206" s="334"/>
      <c r="J206" s="335" t="s">
        <v>54</v>
      </c>
      <c r="L206" s="97" t="e">
        <f>VLOOKUP(B206,$B$11:B205,1,FALSE)</f>
        <v>#N/A</v>
      </c>
      <c r="M206" s="317">
        <f>G206*(1-FORM!$AE$28/100)</f>
        <v>245.98</v>
      </c>
      <c r="O206" s="502"/>
    </row>
    <row r="207" spans="1:15">
      <c r="A207" s="153"/>
      <c r="B207" s="406">
        <v>9255117</v>
      </c>
      <c r="C207" s="265" t="s">
        <v>708</v>
      </c>
      <c r="D207" s="266">
        <v>20</v>
      </c>
      <c r="E207" s="332"/>
      <c r="F207" s="333"/>
      <c r="G207" s="367">
        <v>245.98</v>
      </c>
      <c r="H207" s="157" t="str">
        <f>IF(G207="","",$H$10)</f>
        <v>CZK</v>
      </c>
      <c r="I207" s="334"/>
      <c r="J207" s="335" t="s">
        <v>54</v>
      </c>
      <c r="L207" s="97" t="e">
        <f>VLOOKUP(B207,$B$11:B206,1,FALSE)</f>
        <v>#N/A</v>
      </c>
      <c r="M207" s="317">
        <f>G207*(1-FORM!$AE$28/100)</f>
        <v>245.98</v>
      </c>
      <c r="O207" s="502"/>
    </row>
    <row r="208" spans="1:15">
      <c r="A208" s="153"/>
      <c r="B208" s="406">
        <v>9255118</v>
      </c>
      <c r="C208" s="265" t="s">
        <v>709</v>
      </c>
      <c r="D208" s="266">
        <v>20</v>
      </c>
      <c r="E208" s="332"/>
      <c r="F208" s="333"/>
      <c r="G208" s="367">
        <v>250.2</v>
      </c>
      <c r="H208" s="157" t="str">
        <f t="shared" ref="H208:H238" si="16">IF(G208="","",$H$10)</f>
        <v>CZK</v>
      </c>
      <c r="I208" s="334"/>
      <c r="J208" s="335" t="s">
        <v>54</v>
      </c>
      <c r="L208" s="97" t="e">
        <f>VLOOKUP(B208,$B$11:B207,1,FALSE)</f>
        <v>#N/A</v>
      </c>
      <c r="M208" s="317">
        <f>G208*(1-FORM!$AE$28/100)</f>
        <v>250.2</v>
      </c>
      <c r="O208" s="502"/>
    </row>
    <row r="209" spans="1:15">
      <c r="A209" s="153"/>
      <c r="B209" s="406">
        <v>9255119</v>
      </c>
      <c r="C209" s="265" t="s">
        <v>710</v>
      </c>
      <c r="D209" s="266">
        <v>20</v>
      </c>
      <c r="E209" s="332"/>
      <c r="F209" s="333"/>
      <c r="G209" s="367">
        <v>250.2</v>
      </c>
      <c r="H209" s="157" t="str">
        <f t="shared" si="16"/>
        <v>CZK</v>
      </c>
      <c r="I209" s="334"/>
      <c r="J209" s="335" t="s">
        <v>54</v>
      </c>
      <c r="L209" s="97" t="e">
        <f>VLOOKUP(B209,$B$11:B208,1,FALSE)</f>
        <v>#N/A</v>
      </c>
      <c r="M209" s="317">
        <f>G209*(1-FORM!$AE$28/100)</f>
        <v>250.2</v>
      </c>
      <c r="O209" s="502"/>
    </row>
    <row r="210" spans="1:15">
      <c r="A210" s="153"/>
      <c r="B210" s="406">
        <v>9255120</v>
      </c>
      <c r="C210" s="265" t="s">
        <v>711</v>
      </c>
      <c r="D210" s="266">
        <v>20</v>
      </c>
      <c r="E210" s="332"/>
      <c r="F210" s="333"/>
      <c r="G210" s="367">
        <v>256.56</v>
      </c>
      <c r="H210" s="157" t="str">
        <f t="shared" si="16"/>
        <v>CZK</v>
      </c>
      <c r="I210" s="334"/>
      <c r="J210" s="335" t="s">
        <v>54</v>
      </c>
      <c r="L210" s="97" t="e">
        <f>VLOOKUP(B210,$B$11:B209,1,FALSE)</f>
        <v>#N/A</v>
      </c>
      <c r="M210" s="317">
        <f>G210*(1-FORM!$AE$28/100)</f>
        <v>256.56</v>
      </c>
      <c r="O210" s="502"/>
    </row>
    <row r="211" spans="1:15">
      <c r="A211" s="153"/>
      <c r="B211" s="411">
        <v>9255121</v>
      </c>
      <c r="C211" s="412" t="s">
        <v>712</v>
      </c>
      <c r="D211" s="275">
        <v>20</v>
      </c>
      <c r="E211" s="356"/>
      <c r="F211" s="357"/>
      <c r="G211" s="373">
        <v>256.56</v>
      </c>
      <c r="H211" s="158" t="str">
        <f t="shared" si="16"/>
        <v>CZK</v>
      </c>
      <c r="I211" s="358"/>
      <c r="J211" s="359" t="s">
        <v>54</v>
      </c>
      <c r="L211" s="97" t="e">
        <f>VLOOKUP(B211,$B$11:B210,1,FALSE)</f>
        <v>#N/A</v>
      </c>
      <c r="M211" s="317">
        <f>G211*(1-FORM!$AE$28/100)</f>
        <v>256.56</v>
      </c>
      <c r="O211" s="502"/>
    </row>
    <row r="212" spans="1:15">
      <c r="A212" s="155"/>
      <c r="B212" s="409">
        <v>9255188</v>
      </c>
      <c r="C212" s="271" t="s">
        <v>713</v>
      </c>
      <c r="D212" s="272">
        <v>20</v>
      </c>
      <c r="E212" s="350"/>
      <c r="F212" s="351"/>
      <c r="G212" s="371">
        <v>229.12</v>
      </c>
      <c r="H212" s="254" t="str">
        <f t="shared" si="16"/>
        <v>CZK</v>
      </c>
      <c r="I212" s="352"/>
      <c r="J212" s="353" t="s">
        <v>54</v>
      </c>
      <c r="L212" s="97" t="e">
        <f>VLOOKUP(B212,$B$11:B211,1,FALSE)</f>
        <v>#N/A</v>
      </c>
      <c r="M212" s="317">
        <f>G212*(1-FORM!$AE$28/100)</f>
        <v>229.12</v>
      </c>
      <c r="O212" s="502"/>
    </row>
    <row r="213" spans="1:15">
      <c r="A213" s="155"/>
      <c r="B213" s="406">
        <v>9255189</v>
      </c>
      <c r="C213" s="265" t="s">
        <v>714</v>
      </c>
      <c r="D213" s="266">
        <v>20</v>
      </c>
      <c r="E213" s="332"/>
      <c r="F213" s="333"/>
      <c r="G213" s="367">
        <v>229.12</v>
      </c>
      <c r="H213" s="157" t="str">
        <f t="shared" si="16"/>
        <v>CZK</v>
      </c>
      <c r="I213" s="334"/>
      <c r="J213" s="335" t="s">
        <v>54</v>
      </c>
      <c r="L213" s="97" t="e">
        <f>VLOOKUP(B213,$B$11:B212,1,FALSE)</f>
        <v>#N/A</v>
      </c>
      <c r="M213" s="317">
        <f>G213*(1-FORM!$AE$28/100)</f>
        <v>229.12</v>
      </c>
      <c r="O213" s="502"/>
    </row>
    <row r="214" spans="1:15">
      <c r="A214" s="155"/>
      <c r="B214" s="406">
        <v>9255190</v>
      </c>
      <c r="C214" s="265" t="s">
        <v>715</v>
      </c>
      <c r="D214" s="266">
        <v>20</v>
      </c>
      <c r="E214" s="332"/>
      <c r="F214" s="333"/>
      <c r="G214" s="367">
        <v>233.33</v>
      </c>
      <c r="H214" s="157" t="str">
        <f t="shared" si="16"/>
        <v>CZK</v>
      </c>
      <c r="I214" s="334"/>
      <c r="J214" s="335" t="s">
        <v>54</v>
      </c>
      <c r="L214" s="97" t="e">
        <f>VLOOKUP(B214,$B$11:B213,1,FALSE)</f>
        <v>#N/A</v>
      </c>
      <c r="M214" s="317">
        <f>G214*(1-FORM!$AE$28/100)</f>
        <v>233.33</v>
      </c>
      <c r="O214" s="502"/>
    </row>
    <row r="215" spans="1:15">
      <c r="A215" s="155"/>
      <c r="B215" s="406">
        <v>9255191</v>
      </c>
      <c r="C215" s="265" t="s">
        <v>716</v>
      </c>
      <c r="D215" s="266">
        <v>20</v>
      </c>
      <c r="E215" s="332"/>
      <c r="F215" s="333"/>
      <c r="G215" s="367">
        <v>233.33</v>
      </c>
      <c r="H215" s="157" t="str">
        <f t="shared" si="16"/>
        <v>CZK</v>
      </c>
      <c r="I215" s="334"/>
      <c r="J215" s="335" t="s">
        <v>54</v>
      </c>
      <c r="L215" s="97" t="e">
        <f>VLOOKUP(B215,$B$11:B214,1,FALSE)</f>
        <v>#N/A</v>
      </c>
      <c r="M215" s="317">
        <f>G215*(1-FORM!$AE$28/100)</f>
        <v>233.33</v>
      </c>
      <c r="O215" s="502"/>
    </row>
    <row r="216" spans="1:15">
      <c r="A216" s="155"/>
      <c r="B216" s="406">
        <v>9255192</v>
      </c>
      <c r="C216" s="265" t="s">
        <v>717</v>
      </c>
      <c r="D216" s="266">
        <v>20</v>
      </c>
      <c r="E216" s="332"/>
      <c r="F216" s="333"/>
      <c r="G216" s="367">
        <v>237.55</v>
      </c>
      <c r="H216" s="157" t="str">
        <f t="shared" si="16"/>
        <v>CZK</v>
      </c>
      <c r="I216" s="334"/>
      <c r="J216" s="335" t="s">
        <v>54</v>
      </c>
      <c r="L216" s="97" t="e">
        <f>VLOOKUP(B216,$B$11:B215,1,FALSE)</f>
        <v>#N/A</v>
      </c>
      <c r="M216" s="317">
        <f>G216*(1-FORM!$AE$28/100)</f>
        <v>237.55</v>
      </c>
      <c r="O216" s="502"/>
    </row>
    <row r="217" spans="1:15">
      <c r="A217" s="155"/>
      <c r="B217" s="406">
        <v>9255193</v>
      </c>
      <c r="C217" s="265" t="s">
        <v>718</v>
      </c>
      <c r="D217" s="266">
        <v>20</v>
      </c>
      <c r="E217" s="332"/>
      <c r="F217" s="333"/>
      <c r="G217" s="367">
        <v>237.55</v>
      </c>
      <c r="H217" s="157" t="str">
        <f t="shared" si="16"/>
        <v>CZK</v>
      </c>
      <c r="I217" s="334"/>
      <c r="J217" s="335" t="s">
        <v>54</v>
      </c>
      <c r="L217" s="97" t="e">
        <f>VLOOKUP(B217,$B$11:B216,1,FALSE)</f>
        <v>#N/A</v>
      </c>
      <c r="M217" s="317">
        <f>G217*(1-FORM!$AE$28/100)</f>
        <v>237.55</v>
      </c>
      <c r="O217" s="502"/>
    </row>
    <row r="218" spans="1:15">
      <c r="A218" s="155"/>
      <c r="B218" s="406">
        <v>9255194</v>
      </c>
      <c r="C218" s="265" t="s">
        <v>719</v>
      </c>
      <c r="D218" s="266">
        <v>20</v>
      </c>
      <c r="E218" s="332"/>
      <c r="F218" s="333"/>
      <c r="G218" s="367">
        <v>241.77</v>
      </c>
      <c r="H218" s="157" t="str">
        <f t="shared" si="16"/>
        <v>CZK</v>
      </c>
      <c r="I218" s="334"/>
      <c r="J218" s="335" t="s">
        <v>54</v>
      </c>
      <c r="L218" s="97" t="e">
        <f>VLOOKUP(B218,$B$11:B217,1,FALSE)</f>
        <v>#N/A</v>
      </c>
      <c r="M218" s="317">
        <f>G218*(1-FORM!$AE$28/100)</f>
        <v>241.77</v>
      </c>
      <c r="O218" s="502"/>
    </row>
    <row r="219" spans="1:15">
      <c r="A219" s="155"/>
      <c r="B219" s="406">
        <v>9255195</v>
      </c>
      <c r="C219" s="265" t="s">
        <v>720</v>
      </c>
      <c r="D219" s="266">
        <v>20</v>
      </c>
      <c r="E219" s="332"/>
      <c r="F219" s="333"/>
      <c r="G219" s="367">
        <v>241.77</v>
      </c>
      <c r="H219" s="157" t="str">
        <f t="shared" si="16"/>
        <v>CZK</v>
      </c>
      <c r="I219" s="334"/>
      <c r="J219" s="335" t="s">
        <v>54</v>
      </c>
      <c r="L219" s="97" t="e">
        <f>VLOOKUP(B219,$B$11:B218,1,FALSE)</f>
        <v>#N/A</v>
      </c>
      <c r="M219" s="317">
        <f>G219*(1-FORM!$AE$28/100)</f>
        <v>241.77</v>
      </c>
      <c r="O219" s="502"/>
    </row>
    <row r="220" spans="1:15">
      <c r="A220" s="155"/>
      <c r="B220" s="406">
        <v>9255196</v>
      </c>
      <c r="C220" s="265" t="s">
        <v>721</v>
      </c>
      <c r="D220" s="266">
        <v>20</v>
      </c>
      <c r="E220" s="332"/>
      <c r="F220" s="333"/>
      <c r="G220" s="367">
        <v>245.98</v>
      </c>
      <c r="H220" s="157" t="str">
        <f t="shared" si="16"/>
        <v>CZK</v>
      </c>
      <c r="I220" s="334"/>
      <c r="J220" s="335" t="s">
        <v>54</v>
      </c>
      <c r="L220" s="97" t="e">
        <f>VLOOKUP(B220,$B$11:B219,1,FALSE)</f>
        <v>#N/A</v>
      </c>
      <c r="M220" s="317">
        <f>G220*(1-FORM!$AE$28/100)</f>
        <v>245.98</v>
      </c>
      <c r="O220" s="502"/>
    </row>
    <row r="221" spans="1:15">
      <c r="A221" s="155"/>
      <c r="B221" s="406">
        <v>9255197</v>
      </c>
      <c r="C221" s="265" t="s">
        <v>722</v>
      </c>
      <c r="D221" s="266">
        <v>20</v>
      </c>
      <c r="E221" s="332"/>
      <c r="F221" s="333"/>
      <c r="G221" s="367">
        <v>245.98</v>
      </c>
      <c r="H221" s="157" t="str">
        <f t="shared" si="16"/>
        <v>CZK</v>
      </c>
      <c r="I221" s="334"/>
      <c r="J221" s="335" t="s">
        <v>54</v>
      </c>
      <c r="L221" s="97" t="e">
        <f>VLOOKUP(B221,$B$11:B220,1,FALSE)</f>
        <v>#N/A</v>
      </c>
      <c r="M221" s="317">
        <f>G221*(1-FORM!$AE$28/100)</f>
        <v>245.98</v>
      </c>
      <c r="O221" s="502"/>
    </row>
    <row r="222" spans="1:15">
      <c r="A222" s="155"/>
      <c r="B222" s="406">
        <v>9255198</v>
      </c>
      <c r="C222" s="265" t="s">
        <v>723</v>
      </c>
      <c r="D222" s="266">
        <v>20</v>
      </c>
      <c r="E222" s="332"/>
      <c r="F222" s="333"/>
      <c r="G222" s="367">
        <v>250.2</v>
      </c>
      <c r="H222" s="157" t="str">
        <f t="shared" si="16"/>
        <v>CZK</v>
      </c>
      <c r="I222" s="334"/>
      <c r="J222" s="335" t="s">
        <v>54</v>
      </c>
      <c r="L222" s="97" t="e">
        <f>VLOOKUP(B222,$B$11:B221,1,FALSE)</f>
        <v>#N/A</v>
      </c>
      <c r="M222" s="317">
        <f>G222*(1-FORM!$AE$28/100)</f>
        <v>250.2</v>
      </c>
      <c r="O222" s="502"/>
    </row>
    <row r="223" spans="1:15">
      <c r="A223" s="155"/>
      <c r="B223" s="406">
        <v>9255199</v>
      </c>
      <c r="C223" s="265" t="s">
        <v>724</v>
      </c>
      <c r="D223" s="266">
        <v>20</v>
      </c>
      <c r="E223" s="332"/>
      <c r="F223" s="333"/>
      <c r="G223" s="367">
        <v>250.2</v>
      </c>
      <c r="H223" s="157" t="str">
        <f t="shared" si="16"/>
        <v>CZK</v>
      </c>
      <c r="I223" s="334"/>
      <c r="J223" s="335" t="s">
        <v>54</v>
      </c>
      <c r="L223" s="97" t="e">
        <f>VLOOKUP(B223,$B$11:B222,1,FALSE)</f>
        <v>#N/A</v>
      </c>
      <c r="M223" s="317">
        <f>G223*(1-FORM!$AE$28/100)</f>
        <v>250.2</v>
      </c>
      <c r="O223" s="502"/>
    </row>
    <row r="224" spans="1:15">
      <c r="A224" s="155"/>
      <c r="B224" s="406">
        <v>9255200</v>
      </c>
      <c r="C224" s="265" t="s">
        <v>725</v>
      </c>
      <c r="D224" s="266">
        <v>20</v>
      </c>
      <c r="E224" s="332"/>
      <c r="F224" s="333"/>
      <c r="G224" s="367">
        <v>256.56</v>
      </c>
      <c r="H224" s="157" t="str">
        <f t="shared" si="16"/>
        <v>CZK</v>
      </c>
      <c r="I224" s="334"/>
      <c r="J224" s="335" t="s">
        <v>54</v>
      </c>
      <c r="L224" s="97" t="e">
        <f>VLOOKUP(B224,$B$11:B223,1,FALSE)</f>
        <v>#N/A</v>
      </c>
      <c r="M224" s="317">
        <f>G224*(1-FORM!$AE$28/100)</f>
        <v>256.56</v>
      </c>
      <c r="O224" s="502"/>
    </row>
    <row r="225" spans="1:15">
      <c r="A225" s="155"/>
      <c r="B225" s="411">
        <v>9255201</v>
      </c>
      <c r="C225" s="412" t="s">
        <v>726</v>
      </c>
      <c r="D225" s="275">
        <v>20</v>
      </c>
      <c r="E225" s="356"/>
      <c r="F225" s="357"/>
      <c r="G225" s="373">
        <v>256.56</v>
      </c>
      <c r="H225" s="158" t="str">
        <f t="shared" si="16"/>
        <v>CZK</v>
      </c>
      <c r="I225" s="358"/>
      <c r="J225" s="359" t="s">
        <v>54</v>
      </c>
      <c r="L225" s="97" t="e">
        <f>VLOOKUP(B225,$B$11:B224,1,FALSE)</f>
        <v>#N/A</v>
      </c>
      <c r="M225" s="317">
        <f>G225*(1-FORM!$AE$28/100)</f>
        <v>256.56</v>
      </c>
      <c r="O225" s="502"/>
    </row>
    <row r="226" spans="1:15">
      <c r="A226" s="180"/>
      <c r="B226" s="409">
        <v>9257884</v>
      </c>
      <c r="C226" s="271" t="s">
        <v>727</v>
      </c>
      <c r="D226" s="272">
        <v>200</v>
      </c>
      <c r="E226" s="350"/>
      <c r="F226" s="351"/>
      <c r="G226" s="371">
        <v>35.43</v>
      </c>
      <c r="H226" s="254" t="str">
        <f t="shared" si="16"/>
        <v>CZK</v>
      </c>
      <c r="I226" s="352"/>
      <c r="J226" s="353" t="s">
        <v>54</v>
      </c>
      <c r="L226" s="97" t="e">
        <f>VLOOKUP(B226,$B$11:B225,1,FALSE)</f>
        <v>#N/A</v>
      </c>
      <c r="M226" s="317">
        <f>G226*(1-FORM!$AE$28/100)</f>
        <v>35.43</v>
      </c>
      <c r="O226" s="502"/>
    </row>
    <row r="227" spans="1:15">
      <c r="A227" s="180"/>
      <c r="B227" s="411">
        <v>9257885</v>
      </c>
      <c r="C227" s="412" t="s">
        <v>728</v>
      </c>
      <c r="D227" s="275">
        <v>200</v>
      </c>
      <c r="E227" s="356"/>
      <c r="F227" s="357"/>
      <c r="G227" s="373">
        <v>36.090000000000003</v>
      </c>
      <c r="H227" s="158" t="str">
        <f t="shared" si="16"/>
        <v>CZK</v>
      </c>
      <c r="I227" s="358"/>
      <c r="J227" s="359" t="s">
        <v>54</v>
      </c>
      <c r="L227" s="97" t="e">
        <f>VLOOKUP(B227,$B$11:B226,1,FALSE)</f>
        <v>#N/A</v>
      </c>
      <c r="M227" s="317">
        <f>G227*(1-FORM!$AE$28/100)</f>
        <v>36.090000000000003</v>
      </c>
      <c r="O227" s="502"/>
    </row>
    <row r="228" spans="1:15">
      <c r="A228" s="180"/>
      <c r="B228" s="411"/>
      <c r="C228" s="412"/>
      <c r="D228" s="275"/>
      <c r="E228" s="356"/>
      <c r="F228" s="357"/>
      <c r="G228" s="373"/>
      <c r="H228" s="158"/>
      <c r="I228" s="358"/>
      <c r="J228" s="359"/>
      <c r="L228" s="97" t="e">
        <f>VLOOKUP(B228,$B$11:B227,1,FALSE)</f>
        <v>#N/A</v>
      </c>
      <c r="M228" s="317">
        <f>G228*(1-FORM!$AE$28/100)</f>
        <v>0</v>
      </c>
      <c r="O228" s="502"/>
    </row>
    <row r="229" spans="1:15">
      <c r="A229" s="146"/>
      <c r="B229" s="409">
        <v>9255262</v>
      </c>
      <c r="C229" s="271" t="s">
        <v>729</v>
      </c>
      <c r="D229" s="272">
        <v>1</v>
      </c>
      <c r="E229" s="350"/>
      <c r="F229" s="351"/>
      <c r="G229" s="371">
        <v>847.2</v>
      </c>
      <c r="H229" s="254" t="str">
        <f t="shared" si="16"/>
        <v>CZK</v>
      </c>
      <c r="I229" s="352"/>
      <c r="J229" s="353" t="s">
        <v>54</v>
      </c>
      <c r="L229" s="97" t="e">
        <f>VLOOKUP(B229,$B$11:B228,1,FALSE)</f>
        <v>#N/A</v>
      </c>
      <c r="M229" s="317">
        <f>G229*(1-FORM!$AE$28/100)</f>
        <v>847.2</v>
      </c>
      <c r="O229" s="502"/>
    </row>
    <row r="230" spans="1:15">
      <c r="A230" s="146"/>
      <c r="B230" s="406">
        <v>9255263</v>
      </c>
      <c r="C230" s="265" t="s">
        <v>730</v>
      </c>
      <c r="D230" s="266">
        <v>1</v>
      </c>
      <c r="E230" s="332"/>
      <c r="F230" s="333"/>
      <c r="G230" s="367">
        <v>853.97</v>
      </c>
      <c r="H230" s="157" t="str">
        <f t="shared" si="16"/>
        <v>CZK</v>
      </c>
      <c r="I230" s="334"/>
      <c r="J230" s="335" t="s">
        <v>54</v>
      </c>
      <c r="L230" s="97" t="e">
        <f>VLOOKUP(B230,$B$11:B229,1,FALSE)</f>
        <v>#N/A</v>
      </c>
      <c r="M230" s="317">
        <f>G230*(1-FORM!$AE$28/100)</f>
        <v>853.97</v>
      </c>
      <c r="O230" s="502"/>
    </row>
    <row r="231" spans="1:15">
      <c r="A231" s="146"/>
      <c r="B231" s="406">
        <v>9255264</v>
      </c>
      <c r="C231" s="265" t="s">
        <v>731</v>
      </c>
      <c r="D231" s="266">
        <v>1</v>
      </c>
      <c r="E231" s="332"/>
      <c r="F231" s="333"/>
      <c r="G231" s="367">
        <v>865.25</v>
      </c>
      <c r="H231" s="157" t="str">
        <f t="shared" si="16"/>
        <v>CZK</v>
      </c>
      <c r="I231" s="334"/>
      <c r="J231" s="335" t="s">
        <v>54</v>
      </c>
      <c r="L231" s="97" t="e">
        <f>VLOOKUP(B231,$B$11:B230,1,FALSE)</f>
        <v>#N/A</v>
      </c>
      <c r="M231" s="317">
        <f>G231*(1-FORM!$AE$28/100)</f>
        <v>865.25</v>
      </c>
      <c r="O231" s="502"/>
    </row>
    <row r="232" spans="1:15">
      <c r="A232" s="146"/>
      <c r="B232" s="406">
        <v>9255265</v>
      </c>
      <c r="C232" s="265" t="s">
        <v>732</v>
      </c>
      <c r="D232" s="266">
        <v>1</v>
      </c>
      <c r="E232" s="332"/>
      <c r="F232" s="333"/>
      <c r="G232" s="367">
        <v>876.53</v>
      </c>
      <c r="H232" s="157" t="str">
        <f>IF(G232="","",$H$10)</f>
        <v>CZK</v>
      </c>
      <c r="I232" s="334"/>
      <c r="J232" s="335" t="s">
        <v>54</v>
      </c>
      <c r="L232" s="97" t="e">
        <f>VLOOKUP(B232,$B$11:B231,1,FALSE)</f>
        <v>#N/A</v>
      </c>
      <c r="M232" s="317">
        <f>G232*(1-FORM!$AE$28/100)</f>
        <v>876.53</v>
      </c>
      <c r="O232" s="502"/>
    </row>
    <row r="233" spans="1:15">
      <c r="A233" s="146"/>
      <c r="B233" s="406">
        <v>9255266</v>
      </c>
      <c r="C233" s="265" t="s">
        <v>733</v>
      </c>
      <c r="D233" s="266">
        <v>1</v>
      </c>
      <c r="E233" s="332"/>
      <c r="F233" s="333"/>
      <c r="G233" s="367">
        <v>887.81</v>
      </c>
      <c r="H233" s="157" t="str">
        <f>IF(G233="","",$H$10)</f>
        <v>CZK</v>
      </c>
      <c r="I233" s="334"/>
      <c r="J233" s="335" t="s">
        <v>54</v>
      </c>
      <c r="L233" s="97" t="e">
        <f>VLOOKUP(B233,$B$11:B232,1,FALSE)</f>
        <v>#N/A</v>
      </c>
      <c r="M233" s="317">
        <f>G233*(1-FORM!$AE$28/100)</f>
        <v>887.81</v>
      </c>
      <c r="O233" s="502"/>
    </row>
    <row r="234" spans="1:15">
      <c r="A234" s="146"/>
      <c r="B234" s="406">
        <v>9255267</v>
      </c>
      <c r="C234" s="265" t="s">
        <v>734</v>
      </c>
      <c r="D234" s="266">
        <v>1</v>
      </c>
      <c r="E234" s="332"/>
      <c r="F234" s="333"/>
      <c r="G234" s="367">
        <v>899.09</v>
      </c>
      <c r="H234" s="157" t="str">
        <f>IF(G234="","",$H$10)</f>
        <v>CZK</v>
      </c>
      <c r="I234" s="334"/>
      <c r="J234" s="335" t="s">
        <v>54</v>
      </c>
      <c r="L234" s="97" t="e">
        <f>VLOOKUP(B234,$B$11:B233,1,FALSE)</f>
        <v>#N/A</v>
      </c>
      <c r="M234" s="317">
        <f>G234*(1-FORM!$AE$28/100)</f>
        <v>899.09</v>
      </c>
      <c r="O234" s="502"/>
    </row>
    <row r="235" spans="1:15">
      <c r="A235" s="146"/>
      <c r="B235" s="406">
        <v>9255268</v>
      </c>
      <c r="C235" s="265" t="s">
        <v>735</v>
      </c>
      <c r="D235" s="266">
        <v>1</v>
      </c>
      <c r="E235" s="332"/>
      <c r="F235" s="333"/>
      <c r="G235" s="367">
        <v>910.37</v>
      </c>
      <c r="H235" s="157" t="str">
        <f>IF(G235="","",$H$10)</f>
        <v>CZK</v>
      </c>
      <c r="I235" s="334"/>
      <c r="J235" s="335" t="s">
        <v>54</v>
      </c>
      <c r="L235" s="97" t="e">
        <f>VLOOKUP(B235,$B$11:B234,1,FALSE)</f>
        <v>#N/A</v>
      </c>
      <c r="M235" s="317">
        <f>G235*(1-FORM!$AE$28/100)</f>
        <v>910.37</v>
      </c>
      <c r="O235" s="502"/>
    </row>
    <row r="236" spans="1:15">
      <c r="A236" s="146"/>
      <c r="B236" s="406">
        <v>9255269</v>
      </c>
      <c r="C236" s="265" t="s">
        <v>736</v>
      </c>
      <c r="D236" s="266">
        <v>1</v>
      </c>
      <c r="E236" s="332"/>
      <c r="F236" s="333"/>
      <c r="G236" s="367">
        <v>927.39</v>
      </c>
      <c r="H236" s="157" t="str">
        <f>IF(G236="","",$H$10)</f>
        <v>CZK</v>
      </c>
      <c r="I236" s="334"/>
      <c r="J236" s="335" t="s">
        <v>54</v>
      </c>
      <c r="L236" s="97" t="e">
        <f>VLOOKUP(B236,$B$11:B235,1,FALSE)</f>
        <v>#N/A</v>
      </c>
      <c r="M236" s="317">
        <f>G236*(1-FORM!$AE$28/100)</f>
        <v>927.39</v>
      </c>
      <c r="O236" s="502"/>
    </row>
    <row r="237" spans="1:15">
      <c r="A237" s="146"/>
      <c r="B237" s="411">
        <v>9255270</v>
      </c>
      <c r="C237" s="412" t="s">
        <v>737</v>
      </c>
      <c r="D237" s="275">
        <v>1</v>
      </c>
      <c r="E237" s="356"/>
      <c r="F237" s="357"/>
      <c r="G237" s="373">
        <v>950.52</v>
      </c>
      <c r="H237" s="158" t="str">
        <f t="shared" si="16"/>
        <v>CZK</v>
      </c>
      <c r="I237" s="358"/>
      <c r="J237" s="359" t="s">
        <v>54</v>
      </c>
      <c r="L237" s="97" t="e">
        <f>VLOOKUP(B237,$B$11:B236,1,FALSE)</f>
        <v>#N/A</v>
      </c>
      <c r="M237" s="317">
        <f>G237*(1-FORM!$AE$28/100)</f>
        <v>950.52</v>
      </c>
      <c r="O237" s="502"/>
    </row>
    <row r="238" spans="1:15">
      <c r="A238" s="153"/>
      <c r="B238" s="409">
        <v>9255302</v>
      </c>
      <c r="C238" s="271" t="s">
        <v>738</v>
      </c>
      <c r="D238" s="272">
        <v>1</v>
      </c>
      <c r="E238" s="350"/>
      <c r="F238" s="351"/>
      <c r="G238" s="371">
        <v>847.2</v>
      </c>
      <c r="H238" s="254" t="str">
        <f t="shared" si="16"/>
        <v>CZK</v>
      </c>
      <c r="I238" s="352"/>
      <c r="J238" s="353" t="s">
        <v>54</v>
      </c>
      <c r="L238" s="97" t="e">
        <f>VLOOKUP(B238,$B$11:B237,1,FALSE)</f>
        <v>#N/A</v>
      </c>
      <c r="M238" s="317">
        <f>G238*(1-FORM!$AE$28/100)</f>
        <v>847.2</v>
      </c>
      <c r="O238" s="502"/>
    </row>
    <row r="239" spans="1:15">
      <c r="A239" s="153"/>
      <c r="B239" s="406">
        <v>9255303</v>
      </c>
      <c r="C239" s="265" t="s">
        <v>739</v>
      </c>
      <c r="D239" s="266">
        <v>1</v>
      </c>
      <c r="E239" s="332"/>
      <c r="F239" s="333"/>
      <c r="G239" s="367">
        <v>853.97</v>
      </c>
      <c r="H239" s="157" t="str">
        <f>IF(G239="","",$H$10)</f>
        <v>CZK</v>
      </c>
      <c r="I239" s="334"/>
      <c r="J239" s="335" t="s">
        <v>54</v>
      </c>
      <c r="L239" s="97" t="e">
        <f>VLOOKUP(B239,$B$11:B238,1,FALSE)</f>
        <v>#N/A</v>
      </c>
      <c r="M239" s="317">
        <f>G239*(1-FORM!$AE$28/100)</f>
        <v>853.97</v>
      </c>
      <c r="O239" s="502"/>
    </row>
    <row r="240" spans="1:15">
      <c r="A240" s="153"/>
      <c r="B240" s="406">
        <v>9255304</v>
      </c>
      <c r="C240" s="265" t="s">
        <v>740</v>
      </c>
      <c r="D240" s="266">
        <v>1</v>
      </c>
      <c r="E240" s="332"/>
      <c r="F240" s="333"/>
      <c r="G240" s="367">
        <v>865.25</v>
      </c>
      <c r="H240" s="157" t="str">
        <f>IF(G240="","",$H$10)</f>
        <v>CZK</v>
      </c>
      <c r="I240" s="334"/>
      <c r="J240" s="335" t="s">
        <v>54</v>
      </c>
      <c r="L240" s="97" t="e">
        <f>VLOOKUP(B240,$B$11:B239,1,FALSE)</f>
        <v>#N/A</v>
      </c>
      <c r="M240" s="317">
        <f>G240*(1-FORM!$AE$28/100)</f>
        <v>865.25</v>
      </c>
      <c r="O240" s="502"/>
    </row>
    <row r="241" spans="1:15">
      <c r="A241" s="153"/>
      <c r="B241" s="406">
        <v>9255305</v>
      </c>
      <c r="C241" s="265" t="s">
        <v>741</v>
      </c>
      <c r="D241" s="266">
        <v>1</v>
      </c>
      <c r="E241" s="332"/>
      <c r="F241" s="333"/>
      <c r="G241" s="367">
        <v>876.53</v>
      </c>
      <c r="H241" s="157" t="str">
        <f>IF(G241="","",$H$10)</f>
        <v>CZK</v>
      </c>
      <c r="I241" s="334"/>
      <c r="J241" s="335" t="s">
        <v>54</v>
      </c>
      <c r="L241" s="97" t="e">
        <f>VLOOKUP(B241,$B$11:B240,1,FALSE)</f>
        <v>#N/A</v>
      </c>
      <c r="M241" s="317">
        <f>G241*(1-FORM!$AE$28/100)</f>
        <v>876.53</v>
      </c>
      <c r="O241" s="502"/>
    </row>
    <row r="242" spans="1:15">
      <c r="A242" s="153"/>
      <c r="B242" s="406">
        <v>9255306</v>
      </c>
      <c r="C242" s="265" t="s">
        <v>742</v>
      </c>
      <c r="D242" s="266">
        <v>1</v>
      </c>
      <c r="E242" s="332"/>
      <c r="F242" s="333"/>
      <c r="G242" s="367">
        <v>887.81</v>
      </c>
      <c r="H242" s="157" t="str">
        <f t="shared" ref="H242:H251" si="17">IF(G242="","",$H$10)</f>
        <v>CZK</v>
      </c>
      <c r="I242" s="334"/>
      <c r="J242" s="335" t="s">
        <v>54</v>
      </c>
      <c r="L242" s="97" t="e">
        <f>VLOOKUP(B242,$B$11:B241,1,FALSE)</f>
        <v>#N/A</v>
      </c>
      <c r="M242" s="317">
        <f>G242*(1-FORM!$AE$28/100)</f>
        <v>887.81</v>
      </c>
      <c r="O242" s="502"/>
    </row>
    <row r="243" spans="1:15">
      <c r="A243" s="153"/>
      <c r="B243" s="406">
        <v>9255307</v>
      </c>
      <c r="C243" s="265" t="s">
        <v>743</v>
      </c>
      <c r="D243" s="266">
        <v>1</v>
      </c>
      <c r="E243" s="332"/>
      <c r="F243" s="333"/>
      <c r="G243" s="367">
        <v>899.09</v>
      </c>
      <c r="H243" s="157" t="str">
        <f t="shared" si="17"/>
        <v>CZK</v>
      </c>
      <c r="I243" s="334"/>
      <c r="J243" s="335" t="s">
        <v>54</v>
      </c>
      <c r="L243" s="97" t="e">
        <f>VLOOKUP(B243,$B$11:B242,1,FALSE)</f>
        <v>#N/A</v>
      </c>
      <c r="M243" s="317">
        <f>G243*(1-FORM!$AE$28/100)</f>
        <v>899.09</v>
      </c>
      <c r="O243" s="502"/>
    </row>
    <row r="244" spans="1:15">
      <c r="A244" s="153"/>
      <c r="B244" s="406">
        <v>9255308</v>
      </c>
      <c r="C244" s="265" t="s">
        <v>744</v>
      </c>
      <c r="D244" s="266">
        <v>1</v>
      </c>
      <c r="E244" s="332"/>
      <c r="F244" s="333"/>
      <c r="G244" s="367">
        <v>910.37</v>
      </c>
      <c r="H244" s="157" t="str">
        <f t="shared" si="17"/>
        <v>CZK</v>
      </c>
      <c r="I244" s="334"/>
      <c r="J244" s="335" t="s">
        <v>54</v>
      </c>
      <c r="L244" s="97" t="e">
        <f>VLOOKUP(B244,$B$11:B243,1,FALSE)</f>
        <v>#N/A</v>
      </c>
      <c r="M244" s="317">
        <f>G244*(1-FORM!$AE$28/100)</f>
        <v>910.37</v>
      </c>
      <c r="O244" s="502"/>
    </row>
    <row r="245" spans="1:15">
      <c r="A245" s="153"/>
      <c r="B245" s="406">
        <v>9255309</v>
      </c>
      <c r="C245" s="265" t="s">
        <v>745</v>
      </c>
      <c r="D245" s="266">
        <v>1</v>
      </c>
      <c r="E245" s="332"/>
      <c r="F245" s="333"/>
      <c r="G245" s="367">
        <v>927.39</v>
      </c>
      <c r="H245" s="157" t="str">
        <f t="shared" si="17"/>
        <v>CZK</v>
      </c>
      <c r="I245" s="334"/>
      <c r="J245" s="335" t="s">
        <v>54</v>
      </c>
      <c r="L245" s="97" t="e">
        <f>VLOOKUP(B245,$B$11:B244,1,FALSE)</f>
        <v>#N/A</v>
      </c>
      <c r="M245" s="317">
        <f>G245*(1-FORM!$AE$28/100)</f>
        <v>927.39</v>
      </c>
      <c r="O245" s="502"/>
    </row>
    <row r="246" spans="1:15">
      <c r="A246" s="153"/>
      <c r="B246" s="411">
        <v>9255310</v>
      </c>
      <c r="C246" s="412" t="s">
        <v>746</v>
      </c>
      <c r="D246" s="275">
        <v>1</v>
      </c>
      <c r="E246" s="356"/>
      <c r="F246" s="357"/>
      <c r="G246" s="373">
        <v>950.52</v>
      </c>
      <c r="H246" s="158" t="str">
        <f t="shared" si="17"/>
        <v>CZK</v>
      </c>
      <c r="I246" s="358"/>
      <c r="J246" s="359" t="s">
        <v>54</v>
      </c>
      <c r="L246" s="97" t="e">
        <f>VLOOKUP(B246,$B$11:B245,1,FALSE)</f>
        <v>#N/A</v>
      </c>
      <c r="M246" s="317">
        <f>G246*(1-FORM!$AE$28/100)</f>
        <v>950.52</v>
      </c>
      <c r="O246" s="502"/>
    </row>
    <row r="247" spans="1:15">
      <c r="A247" s="155"/>
      <c r="B247" s="409">
        <v>9255342</v>
      </c>
      <c r="C247" s="271" t="s">
        <v>747</v>
      </c>
      <c r="D247" s="272">
        <v>1</v>
      </c>
      <c r="E247" s="350"/>
      <c r="F247" s="351"/>
      <c r="G247" s="371">
        <v>847.2</v>
      </c>
      <c r="H247" s="254" t="str">
        <f t="shared" si="17"/>
        <v>CZK</v>
      </c>
      <c r="I247" s="352"/>
      <c r="J247" s="353" t="s">
        <v>54</v>
      </c>
      <c r="L247" s="97" t="e">
        <f>VLOOKUP(B247,$B$11:B246,1,FALSE)</f>
        <v>#N/A</v>
      </c>
      <c r="M247" s="317">
        <f>G247*(1-FORM!$AE$28/100)</f>
        <v>847.2</v>
      </c>
      <c r="O247" s="502"/>
    </row>
    <row r="248" spans="1:15">
      <c r="A248" s="155"/>
      <c r="B248" s="406">
        <v>9255343</v>
      </c>
      <c r="C248" s="265" t="s">
        <v>748</v>
      </c>
      <c r="D248" s="266">
        <v>1</v>
      </c>
      <c r="E248" s="332"/>
      <c r="F248" s="333"/>
      <c r="G248" s="367">
        <v>853.97</v>
      </c>
      <c r="H248" s="157" t="str">
        <f t="shared" si="17"/>
        <v>CZK</v>
      </c>
      <c r="I248" s="334"/>
      <c r="J248" s="335" t="s">
        <v>54</v>
      </c>
      <c r="L248" s="97" t="e">
        <f>VLOOKUP(B248,$B$11:B247,1,FALSE)</f>
        <v>#N/A</v>
      </c>
      <c r="M248" s="317">
        <f>G248*(1-FORM!$AE$28/100)</f>
        <v>853.97</v>
      </c>
      <c r="O248" s="502"/>
    </row>
    <row r="249" spans="1:15">
      <c r="A249" s="155"/>
      <c r="B249" s="406">
        <v>9255344</v>
      </c>
      <c r="C249" s="265" t="s">
        <v>749</v>
      </c>
      <c r="D249" s="266">
        <v>1</v>
      </c>
      <c r="E249" s="332"/>
      <c r="F249" s="333"/>
      <c r="G249" s="367">
        <v>865.25</v>
      </c>
      <c r="H249" s="157" t="str">
        <f t="shared" si="17"/>
        <v>CZK</v>
      </c>
      <c r="I249" s="334"/>
      <c r="J249" s="335" t="s">
        <v>54</v>
      </c>
      <c r="L249" s="97" t="e">
        <f>VLOOKUP(B249,$B$11:B248,1,FALSE)</f>
        <v>#N/A</v>
      </c>
      <c r="M249" s="317">
        <f>G249*(1-FORM!$AE$28/100)</f>
        <v>865.25</v>
      </c>
      <c r="O249" s="502"/>
    </row>
    <row r="250" spans="1:15">
      <c r="A250" s="155"/>
      <c r="B250" s="406">
        <v>9255345</v>
      </c>
      <c r="C250" s="265" t="s">
        <v>750</v>
      </c>
      <c r="D250" s="266">
        <v>1</v>
      </c>
      <c r="E250" s="332"/>
      <c r="F250" s="333"/>
      <c r="G250" s="367">
        <v>876.53</v>
      </c>
      <c r="H250" s="157" t="str">
        <f t="shared" si="17"/>
        <v>CZK</v>
      </c>
      <c r="I250" s="334"/>
      <c r="J250" s="335" t="s">
        <v>54</v>
      </c>
      <c r="L250" s="97" t="e">
        <f>VLOOKUP(B250,$B$11:B249,1,FALSE)</f>
        <v>#N/A</v>
      </c>
      <c r="M250" s="317">
        <f>G250*(1-FORM!$AE$28/100)</f>
        <v>876.53</v>
      </c>
      <c r="O250" s="502"/>
    </row>
    <row r="251" spans="1:15">
      <c r="A251" s="155"/>
      <c r="B251" s="406">
        <v>9255346</v>
      </c>
      <c r="C251" s="265" t="s">
        <v>751</v>
      </c>
      <c r="D251" s="266">
        <v>1</v>
      </c>
      <c r="E251" s="332"/>
      <c r="F251" s="333"/>
      <c r="G251" s="367">
        <v>887.81</v>
      </c>
      <c r="H251" s="157" t="str">
        <f t="shared" si="17"/>
        <v>CZK</v>
      </c>
      <c r="I251" s="334"/>
      <c r="J251" s="335" t="s">
        <v>54</v>
      </c>
      <c r="L251" s="97" t="e">
        <f>VLOOKUP(B251,$B$11:B250,1,FALSE)</f>
        <v>#N/A</v>
      </c>
      <c r="M251" s="317">
        <f>G251*(1-FORM!$AE$28/100)</f>
        <v>887.81</v>
      </c>
      <c r="O251" s="502"/>
    </row>
    <row r="252" spans="1:15">
      <c r="A252" s="155"/>
      <c r="B252" s="406">
        <v>9255347</v>
      </c>
      <c r="C252" s="265" t="s">
        <v>752</v>
      </c>
      <c r="D252" s="266">
        <v>1</v>
      </c>
      <c r="E252" s="332"/>
      <c r="F252" s="333"/>
      <c r="G252" s="367">
        <v>899.09</v>
      </c>
      <c r="H252" s="157" t="str">
        <f t="shared" ref="H252:H261" si="18">IF(G252="","",$H$10)</f>
        <v>CZK</v>
      </c>
      <c r="I252" s="334"/>
      <c r="J252" s="335" t="s">
        <v>54</v>
      </c>
      <c r="L252" s="97" t="e">
        <f>VLOOKUP(B252,$B$11:B251,1,FALSE)</f>
        <v>#N/A</v>
      </c>
      <c r="M252" s="317">
        <f>G252*(1-FORM!$AE$28/100)</f>
        <v>899.09</v>
      </c>
      <c r="O252" s="502"/>
    </row>
    <row r="253" spans="1:15">
      <c r="A253" s="155"/>
      <c r="B253" s="406">
        <v>9255348</v>
      </c>
      <c r="C253" s="265" t="s">
        <v>753</v>
      </c>
      <c r="D253" s="266">
        <v>1</v>
      </c>
      <c r="E253" s="332"/>
      <c r="F253" s="333"/>
      <c r="G253" s="367">
        <v>910.37</v>
      </c>
      <c r="H253" s="157" t="str">
        <f t="shared" si="18"/>
        <v>CZK</v>
      </c>
      <c r="I253" s="334"/>
      <c r="J253" s="335" t="s">
        <v>54</v>
      </c>
      <c r="L253" s="97" t="e">
        <f>VLOOKUP(B253,$B$11:B252,1,FALSE)</f>
        <v>#N/A</v>
      </c>
      <c r="M253" s="317">
        <f>G253*(1-FORM!$AE$28/100)</f>
        <v>910.37</v>
      </c>
      <c r="O253" s="502"/>
    </row>
    <row r="254" spans="1:15">
      <c r="A254" s="155"/>
      <c r="B254" s="406">
        <v>9255349</v>
      </c>
      <c r="C254" s="265" t="s">
        <v>754</v>
      </c>
      <c r="D254" s="266">
        <v>1</v>
      </c>
      <c r="E254" s="332"/>
      <c r="F254" s="333"/>
      <c r="G254" s="367">
        <v>927.39</v>
      </c>
      <c r="H254" s="157" t="str">
        <f t="shared" si="18"/>
        <v>CZK</v>
      </c>
      <c r="I254" s="334"/>
      <c r="J254" s="335" t="s">
        <v>54</v>
      </c>
      <c r="L254" s="97" t="e">
        <f>VLOOKUP(B254,$B$11:B253,1,FALSE)</f>
        <v>#N/A</v>
      </c>
      <c r="M254" s="317">
        <f>G254*(1-FORM!$AE$28/100)</f>
        <v>927.39</v>
      </c>
      <c r="O254" s="502"/>
    </row>
    <row r="255" spans="1:15">
      <c r="A255" s="155"/>
      <c r="B255" s="411">
        <v>9255350</v>
      </c>
      <c r="C255" s="412" t="s">
        <v>755</v>
      </c>
      <c r="D255" s="275">
        <v>1</v>
      </c>
      <c r="E255" s="356"/>
      <c r="F255" s="357"/>
      <c r="G255" s="373">
        <v>950.52</v>
      </c>
      <c r="H255" s="158" t="str">
        <f t="shared" si="18"/>
        <v>CZK</v>
      </c>
      <c r="I255" s="358"/>
      <c r="J255" s="359" t="s">
        <v>54</v>
      </c>
      <c r="L255" s="97" t="e">
        <f>VLOOKUP(B255,$B$11:B254,1,FALSE)</f>
        <v>#N/A</v>
      </c>
      <c r="M255" s="317">
        <f>G255*(1-FORM!$AE$28/100)</f>
        <v>950.52</v>
      </c>
      <c r="O255" s="502"/>
    </row>
    <row r="256" spans="1:15">
      <c r="A256" s="146"/>
      <c r="B256" s="409">
        <v>9255044</v>
      </c>
      <c r="C256" s="271" t="s">
        <v>756</v>
      </c>
      <c r="D256" s="272">
        <v>10</v>
      </c>
      <c r="E256" s="350"/>
      <c r="F256" s="351"/>
      <c r="G256" s="371">
        <v>293.88</v>
      </c>
      <c r="H256" s="254" t="str">
        <f t="shared" si="18"/>
        <v>CZK</v>
      </c>
      <c r="I256" s="352"/>
      <c r="J256" s="353" t="s">
        <v>54</v>
      </c>
      <c r="L256" s="97" t="e">
        <f>VLOOKUP(B256,$B$11:B255,1,FALSE)</f>
        <v>#N/A</v>
      </c>
      <c r="M256" s="317">
        <f>G256*(1-FORM!$AE$28/100)</f>
        <v>293.88</v>
      </c>
      <c r="O256" s="502"/>
    </row>
    <row r="257" spans="1:15">
      <c r="A257" s="146"/>
      <c r="B257" s="406">
        <v>9255045</v>
      </c>
      <c r="C257" s="265" t="s">
        <v>757</v>
      </c>
      <c r="D257" s="266">
        <v>10</v>
      </c>
      <c r="E257" s="332"/>
      <c r="F257" s="333"/>
      <c r="G257" s="367">
        <v>293.88</v>
      </c>
      <c r="H257" s="157" t="str">
        <f t="shared" si="18"/>
        <v>CZK</v>
      </c>
      <c r="I257" s="334"/>
      <c r="J257" s="335" t="s">
        <v>54</v>
      </c>
      <c r="L257" s="97" t="e">
        <f>VLOOKUP(B257,$B$11:B256,1,FALSE)</f>
        <v>#N/A</v>
      </c>
      <c r="M257" s="317">
        <f>G257*(1-FORM!$AE$28/100)</f>
        <v>293.88</v>
      </c>
      <c r="O257" s="502"/>
    </row>
    <row r="258" spans="1:15">
      <c r="A258" s="146"/>
      <c r="B258" s="406">
        <v>9255046</v>
      </c>
      <c r="C258" s="265" t="s">
        <v>758</v>
      </c>
      <c r="D258" s="266">
        <v>10</v>
      </c>
      <c r="E258" s="332"/>
      <c r="F258" s="333"/>
      <c r="G258" s="367">
        <v>297.16000000000003</v>
      </c>
      <c r="H258" s="157" t="str">
        <f t="shared" si="18"/>
        <v>CZK</v>
      </c>
      <c r="I258" s="334"/>
      <c r="J258" s="335" t="s">
        <v>54</v>
      </c>
      <c r="L258" s="97" t="e">
        <f>VLOOKUP(B258,$B$11:B257,1,FALSE)</f>
        <v>#N/A</v>
      </c>
      <c r="M258" s="317">
        <f>G258*(1-FORM!$AE$28/100)</f>
        <v>297.16000000000003</v>
      </c>
      <c r="O258" s="502"/>
    </row>
    <row r="259" spans="1:15">
      <c r="A259" s="146"/>
      <c r="B259" s="406">
        <v>9255047</v>
      </c>
      <c r="C259" s="265" t="s">
        <v>759</v>
      </c>
      <c r="D259" s="266">
        <v>10</v>
      </c>
      <c r="E259" s="332"/>
      <c r="F259" s="333"/>
      <c r="G259" s="367">
        <v>297.16000000000003</v>
      </c>
      <c r="H259" s="157" t="str">
        <f t="shared" si="18"/>
        <v>CZK</v>
      </c>
      <c r="I259" s="334"/>
      <c r="J259" s="335" t="s">
        <v>54</v>
      </c>
      <c r="L259" s="97" t="e">
        <f>VLOOKUP(B259,$B$11:B258,1,FALSE)</f>
        <v>#N/A</v>
      </c>
      <c r="M259" s="317">
        <f>G259*(1-FORM!$AE$28/100)</f>
        <v>297.16000000000003</v>
      </c>
      <c r="O259" s="502"/>
    </row>
    <row r="260" spans="1:15">
      <c r="A260" s="146"/>
      <c r="B260" s="406">
        <v>9255048</v>
      </c>
      <c r="C260" s="265" t="s">
        <v>760</v>
      </c>
      <c r="D260" s="266">
        <v>10</v>
      </c>
      <c r="E260" s="332"/>
      <c r="F260" s="333"/>
      <c r="G260" s="367">
        <v>302.63</v>
      </c>
      <c r="H260" s="157" t="str">
        <f t="shared" si="18"/>
        <v>CZK</v>
      </c>
      <c r="I260" s="334"/>
      <c r="J260" s="335" t="s">
        <v>54</v>
      </c>
      <c r="L260" s="97" t="e">
        <f>VLOOKUP(B260,$B$11:B259,1,FALSE)</f>
        <v>#N/A</v>
      </c>
      <c r="M260" s="317">
        <f>G260*(1-FORM!$AE$28/100)</f>
        <v>302.63</v>
      </c>
      <c r="O260" s="502"/>
    </row>
    <row r="261" spans="1:15">
      <c r="A261" s="146"/>
      <c r="B261" s="406">
        <v>9255049</v>
      </c>
      <c r="C261" s="265" t="s">
        <v>761</v>
      </c>
      <c r="D261" s="266">
        <v>10</v>
      </c>
      <c r="E261" s="332"/>
      <c r="F261" s="333"/>
      <c r="G261" s="367">
        <v>302.63</v>
      </c>
      <c r="H261" s="157" t="str">
        <f t="shared" si="18"/>
        <v>CZK</v>
      </c>
      <c r="I261" s="334"/>
      <c r="J261" s="335" t="s">
        <v>54</v>
      </c>
      <c r="L261" s="97" t="e">
        <f>VLOOKUP(B261,$B$11:B260,1,FALSE)</f>
        <v>#N/A</v>
      </c>
      <c r="M261" s="317">
        <f>G261*(1-FORM!$AE$28/100)</f>
        <v>302.63</v>
      </c>
      <c r="O261" s="502"/>
    </row>
    <row r="262" spans="1:15">
      <c r="A262" s="146"/>
      <c r="B262" s="406">
        <v>9255050</v>
      </c>
      <c r="C262" s="265" t="s">
        <v>762</v>
      </c>
      <c r="D262" s="266">
        <v>10</v>
      </c>
      <c r="E262" s="332"/>
      <c r="F262" s="333"/>
      <c r="G262" s="367">
        <v>308.10000000000002</v>
      </c>
      <c r="H262" s="157" t="str">
        <f t="shared" ref="H262:H269" si="19">IF(G262="","",$H$10)</f>
        <v>CZK</v>
      </c>
      <c r="I262" s="334"/>
      <c r="J262" s="335" t="s">
        <v>54</v>
      </c>
      <c r="L262" s="97" t="e">
        <f>VLOOKUP(B262,$B$11:B261,1,FALSE)</f>
        <v>#N/A</v>
      </c>
      <c r="M262" s="317">
        <f>G262*(1-FORM!$AE$28/100)</f>
        <v>308.10000000000002</v>
      </c>
      <c r="O262" s="502"/>
    </row>
    <row r="263" spans="1:15">
      <c r="A263" s="146"/>
      <c r="B263" s="406">
        <v>9255051</v>
      </c>
      <c r="C263" s="265" t="s">
        <v>763</v>
      </c>
      <c r="D263" s="266">
        <v>10</v>
      </c>
      <c r="E263" s="332"/>
      <c r="F263" s="333"/>
      <c r="G263" s="367">
        <v>308.10000000000002</v>
      </c>
      <c r="H263" s="157" t="str">
        <f t="shared" si="19"/>
        <v>CZK</v>
      </c>
      <c r="I263" s="334"/>
      <c r="J263" s="335" t="s">
        <v>54</v>
      </c>
      <c r="L263" s="97" t="e">
        <f>VLOOKUP(B263,$B$11:B262,1,FALSE)</f>
        <v>#N/A</v>
      </c>
      <c r="M263" s="317">
        <f>G263*(1-FORM!$AE$28/100)</f>
        <v>308.10000000000002</v>
      </c>
      <c r="O263" s="502"/>
    </row>
    <row r="264" spans="1:15">
      <c r="A264" s="146"/>
      <c r="B264" s="406">
        <v>9255052</v>
      </c>
      <c r="C264" s="265" t="s">
        <v>764</v>
      </c>
      <c r="D264" s="266">
        <v>10</v>
      </c>
      <c r="E264" s="332"/>
      <c r="F264" s="333"/>
      <c r="G264" s="367">
        <v>313.57</v>
      </c>
      <c r="H264" s="157" t="str">
        <f t="shared" si="19"/>
        <v>CZK</v>
      </c>
      <c r="I264" s="334"/>
      <c r="J264" s="335" t="s">
        <v>54</v>
      </c>
      <c r="L264" s="97" t="e">
        <f>VLOOKUP(B264,$B$11:B263,1,FALSE)</f>
        <v>#N/A</v>
      </c>
      <c r="M264" s="317">
        <f>G264*(1-FORM!$AE$28/100)</f>
        <v>313.57</v>
      </c>
      <c r="O264" s="502"/>
    </row>
    <row r="265" spans="1:15">
      <c r="A265" s="146"/>
      <c r="B265" s="406">
        <v>9255053</v>
      </c>
      <c r="C265" s="265" t="s">
        <v>765</v>
      </c>
      <c r="D265" s="266">
        <v>10</v>
      </c>
      <c r="E265" s="332"/>
      <c r="F265" s="333"/>
      <c r="G265" s="367">
        <v>313.57</v>
      </c>
      <c r="H265" s="157" t="str">
        <f t="shared" si="19"/>
        <v>CZK</v>
      </c>
      <c r="I265" s="334"/>
      <c r="J265" s="335" t="s">
        <v>54</v>
      </c>
      <c r="L265" s="97" t="e">
        <f>VLOOKUP(B265,$B$11:B264,1,FALSE)</f>
        <v>#N/A</v>
      </c>
      <c r="M265" s="317">
        <f>G265*(1-FORM!$AE$28/100)</f>
        <v>313.57</v>
      </c>
      <c r="O265" s="502"/>
    </row>
    <row r="266" spans="1:15">
      <c r="A266" s="146"/>
      <c r="B266" s="406">
        <v>9255054</v>
      </c>
      <c r="C266" s="265" t="s">
        <v>766</v>
      </c>
      <c r="D266" s="266">
        <v>10</v>
      </c>
      <c r="E266" s="332"/>
      <c r="F266" s="333"/>
      <c r="G266" s="367">
        <v>319.02999999999997</v>
      </c>
      <c r="H266" s="157" t="str">
        <f t="shared" si="19"/>
        <v>CZK</v>
      </c>
      <c r="I266" s="334"/>
      <c r="J266" s="335" t="s">
        <v>54</v>
      </c>
      <c r="L266" s="97" t="e">
        <f>VLOOKUP(B266,$B$11:B265,1,FALSE)</f>
        <v>#N/A</v>
      </c>
      <c r="M266" s="317">
        <f>G266*(1-FORM!$AE$28/100)</f>
        <v>319.02999999999997</v>
      </c>
      <c r="O266" s="502"/>
    </row>
    <row r="267" spans="1:15">
      <c r="A267" s="146"/>
      <c r="B267" s="406">
        <v>9255055</v>
      </c>
      <c r="C267" s="265" t="s">
        <v>767</v>
      </c>
      <c r="D267" s="266">
        <v>10</v>
      </c>
      <c r="E267" s="332"/>
      <c r="F267" s="333"/>
      <c r="G267" s="367">
        <v>319.02999999999997</v>
      </c>
      <c r="H267" s="157" t="str">
        <f t="shared" si="19"/>
        <v>CZK</v>
      </c>
      <c r="I267" s="334"/>
      <c r="J267" s="335" t="s">
        <v>54</v>
      </c>
      <c r="L267" s="97" t="e">
        <f>VLOOKUP(B267,$B$11:B266,1,FALSE)</f>
        <v>#N/A</v>
      </c>
      <c r="M267" s="317">
        <f>G267*(1-FORM!$AE$28/100)</f>
        <v>319.02999999999997</v>
      </c>
      <c r="O267" s="502"/>
    </row>
    <row r="268" spans="1:15">
      <c r="A268" s="146"/>
      <c r="B268" s="406">
        <v>9255056</v>
      </c>
      <c r="C268" s="265" t="s">
        <v>768</v>
      </c>
      <c r="D268" s="266">
        <v>10</v>
      </c>
      <c r="E268" s="332"/>
      <c r="F268" s="333"/>
      <c r="G268" s="367">
        <v>324.5</v>
      </c>
      <c r="H268" s="157" t="str">
        <f t="shared" si="19"/>
        <v>CZK</v>
      </c>
      <c r="I268" s="334"/>
      <c r="J268" s="335" t="s">
        <v>54</v>
      </c>
      <c r="L268" s="97" t="e">
        <f>VLOOKUP(B268,$B$11:B267,1,FALSE)</f>
        <v>#N/A</v>
      </c>
      <c r="M268" s="317">
        <f>G268*(1-FORM!$AE$28/100)</f>
        <v>324.5</v>
      </c>
      <c r="O268" s="502"/>
    </row>
    <row r="269" spans="1:15">
      <c r="A269" s="146"/>
      <c r="B269" s="406">
        <v>9255057</v>
      </c>
      <c r="C269" s="265" t="s">
        <v>769</v>
      </c>
      <c r="D269" s="266">
        <v>10</v>
      </c>
      <c r="E269" s="332"/>
      <c r="F269" s="333"/>
      <c r="G269" s="367">
        <v>324.5</v>
      </c>
      <c r="H269" s="157" t="str">
        <f t="shared" si="19"/>
        <v>CZK</v>
      </c>
      <c r="I269" s="334"/>
      <c r="J269" s="335" t="s">
        <v>54</v>
      </c>
      <c r="L269" s="97" t="e">
        <f>VLOOKUP(B269,$B$11:B268,1,FALSE)</f>
        <v>#N/A</v>
      </c>
      <c r="M269" s="317">
        <f>G269*(1-FORM!$AE$28/100)</f>
        <v>324.5</v>
      </c>
      <c r="O269" s="502"/>
    </row>
    <row r="270" spans="1:15">
      <c r="A270" s="146"/>
      <c r="B270" s="406">
        <v>9255058</v>
      </c>
      <c r="C270" s="265" t="s">
        <v>770</v>
      </c>
      <c r="D270" s="266">
        <v>10</v>
      </c>
      <c r="E270" s="332"/>
      <c r="F270" s="333"/>
      <c r="G270" s="367">
        <v>332.75</v>
      </c>
      <c r="H270" s="157" t="str">
        <f t="shared" ref="H270:H285" si="20">IF(G270="","",$H$10)</f>
        <v>CZK</v>
      </c>
      <c r="I270" s="334"/>
      <c r="J270" s="335" t="s">
        <v>54</v>
      </c>
      <c r="L270" s="97" t="e">
        <f>VLOOKUP(B270,$B$11:B269,1,FALSE)</f>
        <v>#N/A</v>
      </c>
      <c r="M270" s="317">
        <f>G270*(1-FORM!$AE$28/100)</f>
        <v>332.75</v>
      </c>
      <c r="O270" s="502"/>
    </row>
    <row r="271" spans="1:15">
      <c r="A271" s="146"/>
      <c r="B271" s="406">
        <v>9255059</v>
      </c>
      <c r="C271" s="265" t="s">
        <v>771</v>
      </c>
      <c r="D271" s="266">
        <v>10</v>
      </c>
      <c r="E271" s="332"/>
      <c r="F271" s="333"/>
      <c r="G271" s="367">
        <v>332.75</v>
      </c>
      <c r="H271" s="157" t="str">
        <f t="shared" si="20"/>
        <v>CZK</v>
      </c>
      <c r="I271" s="334"/>
      <c r="J271" s="335" t="s">
        <v>54</v>
      </c>
      <c r="L271" s="97" t="e">
        <f>VLOOKUP(B271,$B$11:B270,1,FALSE)</f>
        <v>#N/A</v>
      </c>
      <c r="M271" s="317">
        <f>G271*(1-FORM!$AE$28/100)</f>
        <v>332.75</v>
      </c>
      <c r="O271" s="502"/>
    </row>
    <row r="272" spans="1:15">
      <c r="A272" s="146"/>
      <c r="B272" s="406">
        <v>9255060</v>
      </c>
      <c r="C272" s="265" t="s">
        <v>772</v>
      </c>
      <c r="D272" s="266">
        <v>10</v>
      </c>
      <c r="E272" s="332"/>
      <c r="F272" s="333"/>
      <c r="G272" s="367">
        <v>343.97</v>
      </c>
      <c r="H272" s="157" t="str">
        <f t="shared" si="20"/>
        <v>CZK</v>
      </c>
      <c r="I272" s="334"/>
      <c r="J272" s="335" t="s">
        <v>54</v>
      </c>
      <c r="L272" s="97" t="e">
        <f>VLOOKUP(B272,$B$11:B271,1,FALSE)</f>
        <v>#N/A</v>
      </c>
      <c r="M272" s="317">
        <f>G272*(1-FORM!$AE$28/100)</f>
        <v>343.97</v>
      </c>
      <c r="O272" s="502"/>
    </row>
    <row r="273" spans="1:15">
      <c r="A273" s="146"/>
      <c r="B273" s="411">
        <v>9255061</v>
      </c>
      <c r="C273" s="412" t="s">
        <v>773</v>
      </c>
      <c r="D273" s="275">
        <v>10</v>
      </c>
      <c r="E273" s="356"/>
      <c r="F273" s="357"/>
      <c r="G273" s="373">
        <v>343.97</v>
      </c>
      <c r="H273" s="158" t="str">
        <f t="shared" si="20"/>
        <v>CZK</v>
      </c>
      <c r="I273" s="358"/>
      <c r="J273" s="359" t="s">
        <v>54</v>
      </c>
      <c r="L273" s="97" t="e">
        <f>VLOOKUP(B273,$B$11:B272,1,FALSE)</f>
        <v>#N/A</v>
      </c>
      <c r="M273" s="317">
        <f>G273*(1-FORM!$AE$28/100)</f>
        <v>343.97</v>
      </c>
      <c r="O273" s="502"/>
    </row>
    <row r="274" spans="1:15">
      <c r="A274" s="153"/>
      <c r="B274" s="409">
        <v>9255124</v>
      </c>
      <c r="C274" s="271" t="s">
        <v>774</v>
      </c>
      <c r="D274" s="272">
        <v>10</v>
      </c>
      <c r="E274" s="350"/>
      <c r="F274" s="351"/>
      <c r="G274" s="371">
        <v>293.88</v>
      </c>
      <c r="H274" s="254" t="str">
        <f t="shared" si="20"/>
        <v>CZK</v>
      </c>
      <c r="I274" s="352"/>
      <c r="J274" s="353" t="s">
        <v>54</v>
      </c>
      <c r="L274" s="97" t="e">
        <f>VLOOKUP(B274,$B$11:B273,1,FALSE)</f>
        <v>#N/A</v>
      </c>
      <c r="M274" s="317">
        <f>G274*(1-FORM!$AE$28/100)</f>
        <v>293.88</v>
      </c>
      <c r="O274" s="502"/>
    </row>
    <row r="275" spans="1:15">
      <c r="A275" s="153"/>
      <c r="B275" s="406">
        <v>9255125</v>
      </c>
      <c r="C275" s="265" t="s">
        <v>775</v>
      </c>
      <c r="D275" s="266">
        <v>10</v>
      </c>
      <c r="E275" s="332"/>
      <c r="F275" s="333"/>
      <c r="G275" s="367">
        <v>293.88</v>
      </c>
      <c r="H275" s="157" t="str">
        <f t="shared" si="20"/>
        <v>CZK</v>
      </c>
      <c r="I275" s="334"/>
      <c r="J275" s="335" t="s">
        <v>54</v>
      </c>
      <c r="L275" s="97" t="e">
        <f>VLOOKUP(B275,$B$11:B274,1,FALSE)</f>
        <v>#N/A</v>
      </c>
      <c r="M275" s="317">
        <f>G275*(1-FORM!$AE$28/100)</f>
        <v>293.88</v>
      </c>
      <c r="O275" s="502"/>
    </row>
    <row r="276" spans="1:15">
      <c r="A276" s="153"/>
      <c r="B276" s="406">
        <v>9255126</v>
      </c>
      <c r="C276" s="265" t="s">
        <v>776</v>
      </c>
      <c r="D276" s="266">
        <v>10</v>
      </c>
      <c r="E276" s="332"/>
      <c r="F276" s="333"/>
      <c r="G276" s="367">
        <v>297.16000000000003</v>
      </c>
      <c r="H276" s="157" t="str">
        <f t="shared" si="20"/>
        <v>CZK</v>
      </c>
      <c r="I276" s="334"/>
      <c r="J276" s="335" t="s">
        <v>54</v>
      </c>
      <c r="L276" s="97" t="e">
        <f>VLOOKUP(B276,$B$11:B275,1,FALSE)</f>
        <v>#N/A</v>
      </c>
      <c r="M276" s="317">
        <f>G276*(1-FORM!$AE$28/100)</f>
        <v>297.16000000000003</v>
      </c>
      <c r="O276" s="502"/>
    </row>
    <row r="277" spans="1:15">
      <c r="A277" s="153"/>
      <c r="B277" s="406">
        <v>9255127</v>
      </c>
      <c r="C277" s="265" t="s">
        <v>777</v>
      </c>
      <c r="D277" s="266">
        <v>10</v>
      </c>
      <c r="E277" s="332"/>
      <c r="F277" s="333"/>
      <c r="G277" s="367">
        <v>297.16000000000003</v>
      </c>
      <c r="H277" s="157" t="str">
        <f t="shared" si="20"/>
        <v>CZK</v>
      </c>
      <c r="I277" s="334"/>
      <c r="J277" s="335" t="s">
        <v>54</v>
      </c>
      <c r="L277" s="97" t="e">
        <f>VLOOKUP(B277,$B$11:B276,1,FALSE)</f>
        <v>#N/A</v>
      </c>
      <c r="M277" s="317">
        <f>G277*(1-FORM!$AE$28/100)</f>
        <v>297.16000000000003</v>
      </c>
      <c r="O277" s="502"/>
    </row>
    <row r="278" spans="1:15">
      <c r="A278" s="153"/>
      <c r="B278" s="406">
        <v>9255128</v>
      </c>
      <c r="C278" s="265" t="s">
        <v>778</v>
      </c>
      <c r="D278" s="266">
        <v>10</v>
      </c>
      <c r="E278" s="332"/>
      <c r="F278" s="333"/>
      <c r="G278" s="367">
        <v>302.63</v>
      </c>
      <c r="H278" s="157" t="str">
        <f t="shared" si="20"/>
        <v>CZK</v>
      </c>
      <c r="I278" s="334"/>
      <c r="J278" s="335" t="s">
        <v>54</v>
      </c>
      <c r="L278" s="97" t="e">
        <f>VLOOKUP(B278,$B$11:B277,1,FALSE)</f>
        <v>#N/A</v>
      </c>
      <c r="M278" s="317">
        <f>G278*(1-FORM!$AE$28/100)</f>
        <v>302.63</v>
      </c>
      <c r="O278" s="502"/>
    </row>
    <row r="279" spans="1:15">
      <c r="A279" s="153"/>
      <c r="B279" s="406">
        <v>9255129</v>
      </c>
      <c r="C279" s="265" t="s">
        <v>779</v>
      </c>
      <c r="D279" s="266">
        <v>10</v>
      </c>
      <c r="E279" s="332"/>
      <c r="F279" s="333"/>
      <c r="G279" s="367">
        <v>302.63</v>
      </c>
      <c r="H279" s="157" t="str">
        <f t="shared" si="20"/>
        <v>CZK</v>
      </c>
      <c r="I279" s="334"/>
      <c r="J279" s="335" t="s">
        <v>54</v>
      </c>
      <c r="L279" s="97" t="e">
        <f>VLOOKUP(B279,$B$11:B278,1,FALSE)</f>
        <v>#N/A</v>
      </c>
      <c r="M279" s="317">
        <f>G279*(1-FORM!$AE$28/100)</f>
        <v>302.63</v>
      </c>
      <c r="O279" s="502"/>
    </row>
    <row r="280" spans="1:15">
      <c r="A280" s="153"/>
      <c r="B280" s="406">
        <v>9255130</v>
      </c>
      <c r="C280" s="265" t="s">
        <v>780</v>
      </c>
      <c r="D280" s="266">
        <v>10</v>
      </c>
      <c r="E280" s="332"/>
      <c r="F280" s="333"/>
      <c r="G280" s="367">
        <v>308.10000000000002</v>
      </c>
      <c r="H280" s="157" t="str">
        <f t="shared" si="20"/>
        <v>CZK</v>
      </c>
      <c r="I280" s="334"/>
      <c r="J280" s="335" t="s">
        <v>54</v>
      </c>
      <c r="L280" s="97" t="e">
        <f>VLOOKUP(B280,$B$11:B279,1,FALSE)</f>
        <v>#N/A</v>
      </c>
      <c r="M280" s="317">
        <f>G280*(1-FORM!$AE$28/100)</f>
        <v>308.10000000000002</v>
      </c>
      <c r="O280" s="502"/>
    </row>
    <row r="281" spans="1:15">
      <c r="A281" s="153"/>
      <c r="B281" s="406">
        <v>9255131</v>
      </c>
      <c r="C281" s="265" t="s">
        <v>781</v>
      </c>
      <c r="D281" s="266">
        <v>10</v>
      </c>
      <c r="E281" s="332"/>
      <c r="F281" s="333"/>
      <c r="G281" s="367">
        <v>308.10000000000002</v>
      </c>
      <c r="H281" s="157" t="str">
        <f t="shared" si="20"/>
        <v>CZK</v>
      </c>
      <c r="I281" s="334"/>
      <c r="J281" s="335" t="s">
        <v>54</v>
      </c>
      <c r="L281" s="97" t="e">
        <f>VLOOKUP(B281,$B$11:B280,1,FALSE)</f>
        <v>#N/A</v>
      </c>
      <c r="M281" s="317">
        <f>G281*(1-FORM!$AE$28/100)</f>
        <v>308.10000000000002</v>
      </c>
      <c r="O281" s="502"/>
    </row>
    <row r="282" spans="1:15">
      <c r="A282" s="153"/>
      <c r="B282" s="406">
        <v>9255132</v>
      </c>
      <c r="C282" s="265" t="s">
        <v>782</v>
      </c>
      <c r="D282" s="266">
        <v>10</v>
      </c>
      <c r="E282" s="332"/>
      <c r="F282" s="333"/>
      <c r="G282" s="367">
        <v>313.57</v>
      </c>
      <c r="H282" s="157" t="str">
        <f t="shared" si="20"/>
        <v>CZK</v>
      </c>
      <c r="I282" s="334"/>
      <c r="J282" s="335" t="s">
        <v>54</v>
      </c>
      <c r="L282" s="97" t="e">
        <f>VLOOKUP(B282,$B$11:B281,1,FALSE)</f>
        <v>#N/A</v>
      </c>
      <c r="M282" s="317">
        <f>G282*(1-FORM!$AE$28/100)</f>
        <v>313.57</v>
      </c>
      <c r="O282" s="502"/>
    </row>
    <row r="283" spans="1:15">
      <c r="A283" s="153"/>
      <c r="B283" s="406">
        <v>9255133</v>
      </c>
      <c r="C283" s="265" t="s">
        <v>783</v>
      </c>
      <c r="D283" s="266">
        <v>10</v>
      </c>
      <c r="E283" s="332"/>
      <c r="F283" s="333"/>
      <c r="G283" s="367">
        <v>313.57</v>
      </c>
      <c r="H283" s="157" t="str">
        <f t="shared" si="20"/>
        <v>CZK</v>
      </c>
      <c r="I283" s="334"/>
      <c r="J283" s="335" t="s">
        <v>54</v>
      </c>
      <c r="L283" s="97" t="e">
        <f>VLOOKUP(B283,$B$11:B282,1,FALSE)</f>
        <v>#N/A</v>
      </c>
      <c r="M283" s="317">
        <f>G283*(1-FORM!$AE$28/100)</f>
        <v>313.57</v>
      </c>
      <c r="O283" s="502"/>
    </row>
    <row r="284" spans="1:15">
      <c r="A284" s="153"/>
      <c r="B284" s="406">
        <v>9255134</v>
      </c>
      <c r="C284" s="265" t="s">
        <v>784</v>
      </c>
      <c r="D284" s="266">
        <v>10</v>
      </c>
      <c r="E284" s="332"/>
      <c r="F284" s="333"/>
      <c r="G284" s="367">
        <v>319.02999999999997</v>
      </c>
      <c r="H284" s="157" t="str">
        <f t="shared" si="20"/>
        <v>CZK</v>
      </c>
      <c r="I284" s="334"/>
      <c r="J284" s="335" t="s">
        <v>54</v>
      </c>
      <c r="L284" s="97" t="e">
        <f>VLOOKUP(B284,$B$11:B283,1,FALSE)</f>
        <v>#N/A</v>
      </c>
      <c r="M284" s="317">
        <f>G284*(1-FORM!$AE$28/100)</f>
        <v>319.02999999999997</v>
      </c>
      <c r="O284" s="502"/>
    </row>
    <row r="285" spans="1:15">
      <c r="A285" s="153"/>
      <c r="B285" s="406">
        <v>9255135</v>
      </c>
      <c r="C285" s="265" t="s">
        <v>785</v>
      </c>
      <c r="D285" s="266">
        <v>10</v>
      </c>
      <c r="E285" s="332"/>
      <c r="F285" s="333"/>
      <c r="G285" s="367">
        <v>319.02999999999997</v>
      </c>
      <c r="H285" s="157" t="str">
        <f t="shared" si="20"/>
        <v>CZK</v>
      </c>
      <c r="I285" s="334"/>
      <c r="J285" s="335" t="s">
        <v>54</v>
      </c>
      <c r="L285" s="97" t="e">
        <f>VLOOKUP(B285,$B$11:B284,1,FALSE)</f>
        <v>#N/A</v>
      </c>
      <c r="M285" s="317">
        <f>G285*(1-FORM!$AE$28/100)</f>
        <v>319.02999999999997</v>
      </c>
      <c r="O285" s="502"/>
    </row>
    <row r="286" spans="1:15">
      <c r="A286" s="153"/>
      <c r="B286" s="406">
        <v>9255136</v>
      </c>
      <c r="C286" s="265" t="s">
        <v>786</v>
      </c>
      <c r="D286" s="266">
        <v>10</v>
      </c>
      <c r="E286" s="332"/>
      <c r="F286" s="333"/>
      <c r="G286" s="367">
        <v>324.5</v>
      </c>
      <c r="H286" s="157" t="str">
        <f t="shared" ref="H286:H292" si="21">IF(G286="","",$H$10)</f>
        <v>CZK</v>
      </c>
      <c r="I286" s="334"/>
      <c r="J286" s="335" t="s">
        <v>54</v>
      </c>
      <c r="L286" s="97" t="e">
        <f>VLOOKUP(B286,$B$11:B285,1,FALSE)</f>
        <v>#N/A</v>
      </c>
      <c r="M286" s="317">
        <f>G286*(1-FORM!$AE$28/100)</f>
        <v>324.5</v>
      </c>
      <c r="O286" s="502"/>
    </row>
    <row r="287" spans="1:15">
      <c r="A287" s="153"/>
      <c r="B287" s="406">
        <v>9255137</v>
      </c>
      <c r="C287" s="265" t="s">
        <v>787</v>
      </c>
      <c r="D287" s="266">
        <v>10</v>
      </c>
      <c r="E287" s="332"/>
      <c r="F287" s="333"/>
      <c r="G287" s="367">
        <v>324.5</v>
      </c>
      <c r="H287" s="157" t="str">
        <f t="shared" si="21"/>
        <v>CZK</v>
      </c>
      <c r="I287" s="334"/>
      <c r="J287" s="335" t="s">
        <v>54</v>
      </c>
      <c r="L287" s="97" t="e">
        <f>VLOOKUP(B287,$B$11:B286,1,FALSE)</f>
        <v>#N/A</v>
      </c>
      <c r="M287" s="317">
        <f>G287*(1-FORM!$AE$28/100)</f>
        <v>324.5</v>
      </c>
      <c r="O287" s="502"/>
    </row>
    <row r="288" spans="1:15">
      <c r="A288" s="153"/>
      <c r="B288" s="406">
        <v>9255138</v>
      </c>
      <c r="C288" s="265" t="s">
        <v>788</v>
      </c>
      <c r="D288" s="266">
        <v>10</v>
      </c>
      <c r="E288" s="332"/>
      <c r="F288" s="333"/>
      <c r="G288" s="367">
        <v>332.75</v>
      </c>
      <c r="H288" s="157" t="str">
        <f t="shared" si="21"/>
        <v>CZK</v>
      </c>
      <c r="I288" s="334"/>
      <c r="J288" s="335" t="s">
        <v>54</v>
      </c>
      <c r="L288" s="97" t="e">
        <f>VLOOKUP(B288,$B$11:B287,1,FALSE)</f>
        <v>#N/A</v>
      </c>
      <c r="M288" s="317">
        <f>G288*(1-FORM!$AE$28/100)</f>
        <v>332.75</v>
      </c>
      <c r="O288" s="502"/>
    </row>
    <row r="289" spans="1:15">
      <c r="A289" s="153"/>
      <c r="B289" s="406">
        <v>9255139</v>
      </c>
      <c r="C289" s="265" t="s">
        <v>789</v>
      </c>
      <c r="D289" s="266">
        <v>10</v>
      </c>
      <c r="E289" s="332"/>
      <c r="F289" s="333"/>
      <c r="G289" s="367">
        <v>332.75</v>
      </c>
      <c r="H289" s="157" t="str">
        <f t="shared" si="21"/>
        <v>CZK</v>
      </c>
      <c r="I289" s="334"/>
      <c r="J289" s="335" t="s">
        <v>54</v>
      </c>
      <c r="L289" s="97" t="e">
        <f>VLOOKUP(B289,$B$11:B288,1,FALSE)</f>
        <v>#N/A</v>
      </c>
      <c r="M289" s="317">
        <f>G289*(1-FORM!$AE$28/100)</f>
        <v>332.75</v>
      </c>
      <c r="O289" s="502"/>
    </row>
    <row r="290" spans="1:15">
      <c r="A290" s="153"/>
      <c r="B290" s="406">
        <v>9255140</v>
      </c>
      <c r="C290" s="265" t="s">
        <v>790</v>
      </c>
      <c r="D290" s="266">
        <v>10</v>
      </c>
      <c r="E290" s="332"/>
      <c r="F290" s="333"/>
      <c r="G290" s="367">
        <v>343.97</v>
      </c>
      <c r="H290" s="157" t="str">
        <f t="shared" si="21"/>
        <v>CZK</v>
      </c>
      <c r="I290" s="334"/>
      <c r="J290" s="335" t="s">
        <v>54</v>
      </c>
      <c r="L290" s="97" t="e">
        <f>VLOOKUP(B290,$B$11:B289,1,FALSE)</f>
        <v>#N/A</v>
      </c>
      <c r="M290" s="317">
        <f>G290*(1-FORM!$AE$28/100)</f>
        <v>343.97</v>
      </c>
      <c r="O290" s="502"/>
    </row>
    <row r="291" spans="1:15">
      <c r="A291" s="153"/>
      <c r="B291" s="411">
        <v>9255141</v>
      </c>
      <c r="C291" s="412" t="s">
        <v>791</v>
      </c>
      <c r="D291" s="275">
        <v>10</v>
      </c>
      <c r="E291" s="356"/>
      <c r="F291" s="357"/>
      <c r="G291" s="373">
        <v>343.97</v>
      </c>
      <c r="H291" s="158" t="str">
        <f t="shared" si="21"/>
        <v>CZK</v>
      </c>
      <c r="I291" s="358"/>
      <c r="J291" s="359" t="s">
        <v>54</v>
      </c>
      <c r="L291" s="97" t="e">
        <f>VLOOKUP(B291,$B$11:B290,1,FALSE)</f>
        <v>#N/A</v>
      </c>
      <c r="M291" s="317">
        <f>G291*(1-FORM!$AE$28/100)</f>
        <v>343.97</v>
      </c>
      <c r="O291" s="502"/>
    </row>
    <row r="292" spans="1:15">
      <c r="A292" s="155"/>
      <c r="B292" s="409">
        <v>9255204</v>
      </c>
      <c r="C292" s="271" t="s">
        <v>792</v>
      </c>
      <c r="D292" s="272">
        <v>10</v>
      </c>
      <c r="E292" s="350"/>
      <c r="F292" s="351"/>
      <c r="G292" s="371">
        <v>293.88</v>
      </c>
      <c r="H292" s="254" t="str">
        <f t="shared" si="21"/>
        <v>CZK</v>
      </c>
      <c r="I292" s="352"/>
      <c r="J292" s="353" t="s">
        <v>54</v>
      </c>
      <c r="L292" s="97" t="e">
        <f>VLOOKUP(B292,$B$11:B291,1,FALSE)</f>
        <v>#N/A</v>
      </c>
      <c r="M292" s="317">
        <f>G292*(1-FORM!$AE$28/100)</f>
        <v>293.88</v>
      </c>
      <c r="O292" s="502"/>
    </row>
    <row r="293" spans="1:15">
      <c r="A293" s="155"/>
      <c r="B293" s="406">
        <v>9255205</v>
      </c>
      <c r="C293" s="265" t="s">
        <v>793</v>
      </c>
      <c r="D293" s="266">
        <v>10</v>
      </c>
      <c r="E293" s="332"/>
      <c r="F293" s="333"/>
      <c r="G293" s="367">
        <v>293.88</v>
      </c>
      <c r="H293" s="157" t="str">
        <f t="shared" ref="H293:H298" si="22">IF(G293="","",$H$10)</f>
        <v>CZK</v>
      </c>
      <c r="I293" s="334"/>
      <c r="J293" s="335" t="s">
        <v>54</v>
      </c>
      <c r="L293" s="97" t="e">
        <f>VLOOKUP(B293,$B$11:B292,1,FALSE)</f>
        <v>#N/A</v>
      </c>
      <c r="M293" s="317">
        <f>G293*(1-FORM!$AE$28/100)</f>
        <v>293.88</v>
      </c>
      <c r="O293" s="502"/>
    </row>
    <row r="294" spans="1:15">
      <c r="A294" s="155"/>
      <c r="B294" s="406">
        <v>9255206</v>
      </c>
      <c r="C294" s="265" t="s">
        <v>794</v>
      </c>
      <c r="D294" s="266">
        <v>10</v>
      </c>
      <c r="E294" s="332"/>
      <c r="F294" s="333"/>
      <c r="G294" s="367">
        <v>297.16000000000003</v>
      </c>
      <c r="H294" s="157" t="str">
        <f t="shared" si="22"/>
        <v>CZK</v>
      </c>
      <c r="I294" s="334"/>
      <c r="J294" s="335" t="s">
        <v>54</v>
      </c>
      <c r="L294" s="97" t="e">
        <f>VLOOKUP(B294,$B$11:B293,1,FALSE)</f>
        <v>#N/A</v>
      </c>
      <c r="M294" s="317">
        <f>G294*(1-FORM!$AE$28/100)</f>
        <v>297.16000000000003</v>
      </c>
      <c r="O294" s="502"/>
    </row>
    <row r="295" spans="1:15">
      <c r="A295" s="155"/>
      <c r="B295" s="406">
        <v>9255207</v>
      </c>
      <c r="C295" s="265" t="s">
        <v>795</v>
      </c>
      <c r="D295" s="266">
        <v>10</v>
      </c>
      <c r="E295" s="332"/>
      <c r="F295" s="333"/>
      <c r="G295" s="367">
        <v>297.16000000000003</v>
      </c>
      <c r="H295" s="157" t="str">
        <f t="shared" si="22"/>
        <v>CZK</v>
      </c>
      <c r="I295" s="334"/>
      <c r="J295" s="335" t="s">
        <v>54</v>
      </c>
      <c r="L295" s="97" t="e">
        <f>VLOOKUP(B295,$B$11:B294,1,FALSE)</f>
        <v>#N/A</v>
      </c>
      <c r="M295" s="317">
        <f>G295*(1-FORM!$AE$28/100)</f>
        <v>297.16000000000003</v>
      </c>
      <c r="O295" s="502"/>
    </row>
    <row r="296" spans="1:15">
      <c r="A296" s="155"/>
      <c r="B296" s="406">
        <v>9255208</v>
      </c>
      <c r="C296" s="265" t="s">
        <v>796</v>
      </c>
      <c r="D296" s="266">
        <v>10</v>
      </c>
      <c r="E296" s="332"/>
      <c r="F296" s="333"/>
      <c r="G296" s="367">
        <v>302.63</v>
      </c>
      <c r="H296" s="157" t="str">
        <f t="shared" si="22"/>
        <v>CZK</v>
      </c>
      <c r="I296" s="334"/>
      <c r="J296" s="335" t="s">
        <v>54</v>
      </c>
      <c r="L296" s="97" t="e">
        <f>VLOOKUP(B296,$B$11:B295,1,FALSE)</f>
        <v>#N/A</v>
      </c>
      <c r="M296" s="317">
        <f>G296*(1-FORM!$AE$28/100)</f>
        <v>302.63</v>
      </c>
      <c r="O296" s="502"/>
    </row>
    <row r="297" spans="1:15">
      <c r="A297" s="155"/>
      <c r="B297" s="406">
        <v>9255209</v>
      </c>
      <c r="C297" s="265" t="s">
        <v>797</v>
      </c>
      <c r="D297" s="266">
        <v>10</v>
      </c>
      <c r="E297" s="332"/>
      <c r="F297" s="333"/>
      <c r="G297" s="367">
        <v>302.63</v>
      </c>
      <c r="H297" s="157" t="str">
        <f t="shared" si="22"/>
        <v>CZK</v>
      </c>
      <c r="I297" s="334"/>
      <c r="J297" s="335" t="s">
        <v>54</v>
      </c>
      <c r="L297" s="97" t="e">
        <f>VLOOKUP(B297,$B$11:B296,1,FALSE)</f>
        <v>#N/A</v>
      </c>
      <c r="M297" s="317">
        <f>G297*(1-FORM!$AE$28/100)</f>
        <v>302.63</v>
      </c>
      <c r="O297" s="502"/>
    </row>
    <row r="298" spans="1:15">
      <c r="A298" s="155"/>
      <c r="B298" s="406">
        <v>9255210</v>
      </c>
      <c r="C298" s="265" t="s">
        <v>798</v>
      </c>
      <c r="D298" s="266">
        <v>10</v>
      </c>
      <c r="E298" s="332"/>
      <c r="F298" s="333"/>
      <c r="G298" s="367">
        <v>308.10000000000002</v>
      </c>
      <c r="H298" s="157" t="str">
        <f t="shared" si="22"/>
        <v>CZK</v>
      </c>
      <c r="I298" s="334"/>
      <c r="J298" s="335" t="s">
        <v>54</v>
      </c>
      <c r="L298" s="97" t="e">
        <f>VLOOKUP(B298,$B$11:B297,1,FALSE)</f>
        <v>#N/A</v>
      </c>
      <c r="M298" s="317">
        <f>G298*(1-FORM!$AE$28/100)</f>
        <v>308.10000000000002</v>
      </c>
      <c r="O298" s="502"/>
    </row>
    <row r="299" spans="1:15">
      <c r="A299" s="155"/>
      <c r="B299" s="406">
        <v>9255211</v>
      </c>
      <c r="C299" s="265" t="s">
        <v>799</v>
      </c>
      <c r="D299" s="266">
        <v>10</v>
      </c>
      <c r="E299" s="332"/>
      <c r="F299" s="333"/>
      <c r="G299" s="367">
        <v>308.10000000000002</v>
      </c>
      <c r="H299" s="157" t="str">
        <f t="shared" ref="H299:H341" si="23">IF(G299="","",$H$10)</f>
        <v>CZK</v>
      </c>
      <c r="I299" s="334"/>
      <c r="J299" s="335" t="s">
        <v>54</v>
      </c>
      <c r="L299" s="97" t="e">
        <f>VLOOKUP(B299,$B$11:B298,1,FALSE)</f>
        <v>#N/A</v>
      </c>
      <c r="M299" s="317">
        <f>G299*(1-FORM!$AE$28/100)</f>
        <v>308.10000000000002</v>
      </c>
      <c r="O299" s="502"/>
    </row>
    <row r="300" spans="1:15">
      <c r="A300" s="155"/>
      <c r="B300" s="406">
        <v>9255212</v>
      </c>
      <c r="C300" s="265" t="s">
        <v>800</v>
      </c>
      <c r="D300" s="266">
        <v>10</v>
      </c>
      <c r="E300" s="332"/>
      <c r="F300" s="333"/>
      <c r="G300" s="367">
        <v>313.57</v>
      </c>
      <c r="H300" s="157" t="str">
        <f t="shared" si="23"/>
        <v>CZK</v>
      </c>
      <c r="I300" s="334"/>
      <c r="J300" s="335" t="s">
        <v>54</v>
      </c>
      <c r="L300" s="97" t="e">
        <f>VLOOKUP(B300,$B$11:B299,1,FALSE)</f>
        <v>#N/A</v>
      </c>
      <c r="M300" s="317">
        <f>G300*(1-FORM!$AE$28/100)</f>
        <v>313.57</v>
      </c>
      <c r="O300" s="502"/>
    </row>
    <row r="301" spans="1:15">
      <c r="A301" s="155"/>
      <c r="B301" s="406">
        <v>9255213</v>
      </c>
      <c r="C301" s="265" t="s">
        <v>801</v>
      </c>
      <c r="D301" s="266">
        <v>10</v>
      </c>
      <c r="E301" s="332"/>
      <c r="F301" s="333"/>
      <c r="G301" s="367">
        <v>313.57</v>
      </c>
      <c r="H301" s="157" t="str">
        <f t="shared" si="23"/>
        <v>CZK</v>
      </c>
      <c r="I301" s="334"/>
      <c r="J301" s="335" t="s">
        <v>54</v>
      </c>
      <c r="L301" s="97" t="e">
        <f>VLOOKUP(B301,$B$11:B300,1,FALSE)</f>
        <v>#N/A</v>
      </c>
      <c r="M301" s="317">
        <f>G301*(1-FORM!$AE$28/100)</f>
        <v>313.57</v>
      </c>
      <c r="O301" s="502"/>
    </row>
    <row r="302" spans="1:15">
      <c r="A302" s="155"/>
      <c r="B302" s="406">
        <v>9255214</v>
      </c>
      <c r="C302" s="265" t="s">
        <v>802</v>
      </c>
      <c r="D302" s="266">
        <v>10</v>
      </c>
      <c r="E302" s="332"/>
      <c r="F302" s="333"/>
      <c r="G302" s="367">
        <v>319.02999999999997</v>
      </c>
      <c r="H302" s="157" t="str">
        <f t="shared" si="23"/>
        <v>CZK</v>
      </c>
      <c r="I302" s="334"/>
      <c r="J302" s="335" t="s">
        <v>54</v>
      </c>
      <c r="L302" s="97" t="e">
        <f>VLOOKUP(B302,$B$11:B301,1,FALSE)</f>
        <v>#N/A</v>
      </c>
      <c r="M302" s="317">
        <f>G302*(1-FORM!$AE$28/100)</f>
        <v>319.02999999999997</v>
      </c>
      <c r="O302" s="502"/>
    </row>
    <row r="303" spans="1:15">
      <c r="A303" s="155"/>
      <c r="B303" s="406">
        <v>9255215</v>
      </c>
      <c r="C303" s="265" t="s">
        <v>803</v>
      </c>
      <c r="D303" s="266">
        <v>10</v>
      </c>
      <c r="E303" s="332"/>
      <c r="F303" s="333"/>
      <c r="G303" s="367">
        <v>319.02999999999997</v>
      </c>
      <c r="H303" s="157" t="str">
        <f t="shared" si="23"/>
        <v>CZK</v>
      </c>
      <c r="I303" s="334"/>
      <c r="J303" s="335" t="s">
        <v>54</v>
      </c>
      <c r="L303" s="97" t="e">
        <f>VLOOKUP(B303,$B$11:B302,1,FALSE)</f>
        <v>#N/A</v>
      </c>
      <c r="M303" s="317">
        <f>G303*(1-FORM!$AE$28/100)</f>
        <v>319.02999999999997</v>
      </c>
      <c r="O303" s="502"/>
    </row>
    <row r="304" spans="1:15">
      <c r="A304" s="155"/>
      <c r="B304" s="406">
        <v>9255216</v>
      </c>
      <c r="C304" s="265" t="s">
        <v>804</v>
      </c>
      <c r="D304" s="266">
        <v>10</v>
      </c>
      <c r="E304" s="332"/>
      <c r="F304" s="333"/>
      <c r="G304" s="367">
        <v>324.5</v>
      </c>
      <c r="H304" s="157" t="str">
        <f t="shared" si="23"/>
        <v>CZK</v>
      </c>
      <c r="I304" s="334"/>
      <c r="J304" s="335" t="s">
        <v>54</v>
      </c>
      <c r="L304" s="97" t="e">
        <f>VLOOKUP(B304,$B$11:B303,1,FALSE)</f>
        <v>#N/A</v>
      </c>
      <c r="M304" s="317">
        <f>G304*(1-FORM!$AE$28/100)</f>
        <v>324.5</v>
      </c>
      <c r="O304" s="502"/>
    </row>
    <row r="305" spans="1:15">
      <c r="A305" s="155"/>
      <c r="B305" s="406">
        <v>9255217</v>
      </c>
      <c r="C305" s="265" t="s">
        <v>805</v>
      </c>
      <c r="D305" s="266">
        <v>10</v>
      </c>
      <c r="E305" s="332"/>
      <c r="F305" s="333"/>
      <c r="G305" s="367">
        <v>324.5</v>
      </c>
      <c r="H305" s="157" t="str">
        <f t="shared" si="23"/>
        <v>CZK</v>
      </c>
      <c r="I305" s="334"/>
      <c r="J305" s="335" t="s">
        <v>54</v>
      </c>
      <c r="L305" s="97" t="e">
        <f>VLOOKUP(B305,$B$11:B304,1,FALSE)</f>
        <v>#N/A</v>
      </c>
      <c r="M305" s="317">
        <f>G305*(1-FORM!$AE$28/100)</f>
        <v>324.5</v>
      </c>
      <c r="O305" s="502"/>
    </row>
    <row r="306" spans="1:15">
      <c r="A306" s="155"/>
      <c r="B306" s="406">
        <v>9255218</v>
      </c>
      <c r="C306" s="265" t="s">
        <v>806</v>
      </c>
      <c r="D306" s="266">
        <v>10</v>
      </c>
      <c r="E306" s="332"/>
      <c r="F306" s="333"/>
      <c r="G306" s="367">
        <v>332.75</v>
      </c>
      <c r="H306" s="157" t="str">
        <f t="shared" si="23"/>
        <v>CZK</v>
      </c>
      <c r="I306" s="334"/>
      <c r="J306" s="335" t="s">
        <v>54</v>
      </c>
      <c r="L306" s="97" t="e">
        <f>VLOOKUP(B306,$B$11:B305,1,FALSE)</f>
        <v>#N/A</v>
      </c>
      <c r="M306" s="317">
        <f>G306*(1-FORM!$AE$28/100)</f>
        <v>332.75</v>
      </c>
      <c r="O306" s="502"/>
    </row>
    <row r="307" spans="1:15">
      <c r="A307" s="155"/>
      <c r="B307" s="406">
        <v>9255219</v>
      </c>
      <c r="C307" s="265" t="s">
        <v>807</v>
      </c>
      <c r="D307" s="266">
        <v>10</v>
      </c>
      <c r="E307" s="332"/>
      <c r="F307" s="333"/>
      <c r="G307" s="367">
        <v>332.75</v>
      </c>
      <c r="H307" s="157" t="str">
        <f t="shared" si="23"/>
        <v>CZK</v>
      </c>
      <c r="I307" s="334"/>
      <c r="J307" s="335" t="s">
        <v>54</v>
      </c>
      <c r="L307" s="97" t="e">
        <f>VLOOKUP(B307,$B$11:B306,1,FALSE)</f>
        <v>#N/A</v>
      </c>
      <c r="M307" s="317">
        <f>G307*(1-FORM!$AE$28/100)</f>
        <v>332.75</v>
      </c>
      <c r="O307" s="502"/>
    </row>
    <row r="308" spans="1:15">
      <c r="A308" s="155"/>
      <c r="B308" s="406">
        <v>9255220</v>
      </c>
      <c r="C308" s="265" t="s">
        <v>808</v>
      </c>
      <c r="D308" s="266">
        <v>10</v>
      </c>
      <c r="E308" s="332"/>
      <c r="F308" s="333"/>
      <c r="G308" s="367">
        <v>343.97</v>
      </c>
      <c r="H308" s="157" t="str">
        <f t="shared" si="23"/>
        <v>CZK</v>
      </c>
      <c r="I308" s="334"/>
      <c r="J308" s="335" t="s">
        <v>54</v>
      </c>
      <c r="L308" s="97" t="e">
        <f>VLOOKUP(B308,$B$11:B307,1,FALSE)</f>
        <v>#N/A</v>
      </c>
      <c r="M308" s="317">
        <f>G308*(1-FORM!$AE$28/100)</f>
        <v>343.97</v>
      </c>
      <c r="O308" s="502"/>
    </row>
    <row r="309" spans="1:15">
      <c r="A309" s="155"/>
      <c r="B309" s="411">
        <v>9255221</v>
      </c>
      <c r="C309" s="412" t="s">
        <v>809</v>
      </c>
      <c r="D309" s="275">
        <v>10</v>
      </c>
      <c r="E309" s="356"/>
      <c r="F309" s="357"/>
      <c r="G309" s="373">
        <v>343.97</v>
      </c>
      <c r="H309" s="158" t="str">
        <f t="shared" si="23"/>
        <v>CZK</v>
      </c>
      <c r="I309" s="358"/>
      <c r="J309" s="359" t="s">
        <v>54</v>
      </c>
      <c r="L309" s="97" t="e">
        <f>VLOOKUP(B309,$B$11:B308,1,FALSE)</f>
        <v>#N/A</v>
      </c>
      <c r="M309" s="317">
        <f>G309*(1-FORM!$AE$28/100)</f>
        <v>343.97</v>
      </c>
      <c r="O309" s="502"/>
    </row>
    <row r="310" spans="1:15">
      <c r="A310" s="180"/>
      <c r="B310" s="409">
        <v>9255838</v>
      </c>
      <c r="C310" s="271" t="s">
        <v>810</v>
      </c>
      <c r="D310" s="272">
        <v>200</v>
      </c>
      <c r="E310" s="350"/>
      <c r="F310" s="351"/>
      <c r="G310" s="371">
        <v>53.15</v>
      </c>
      <c r="H310" s="254" t="str">
        <f t="shared" si="23"/>
        <v>CZK</v>
      </c>
      <c r="I310" s="352"/>
      <c r="J310" s="353" t="s">
        <v>54</v>
      </c>
      <c r="L310" s="97" t="e">
        <f>VLOOKUP(B310,$B$11:B309,1,FALSE)</f>
        <v>#N/A</v>
      </c>
      <c r="M310" s="317">
        <f>G310*(1-FORM!$AE$28/100)</f>
        <v>53.15</v>
      </c>
      <c r="O310" s="502"/>
    </row>
    <row r="311" spans="1:15">
      <c r="A311" s="180"/>
      <c r="B311" s="411">
        <v>9255839</v>
      </c>
      <c r="C311" s="412" t="s">
        <v>811</v>
      </c>
      <c r="D311" s="275">
        <v>200</v>
      </c>
      <c r="E311" s="356"/>
      <c r="F311" s="357"/>
      <c r="G311" s="373">
        <v>53.8</v>
      </c>
      <c r="H311" s="158" t="str">
        <f t="shared" si="23"/>
        <v>CZK</v>
      </c>
      <c r="I311" s="358"/>
      <c r="J311" s="359" t="s">
        <v>54</v>
      </c>
      <c r="L311" s="97" t="e">
        <f>VLOOKUP(B311,$B$11:B310,1,FALSE)</f>
        <v>#N/A</v>
      </c>
      <c r="M311" s="317">
        <f>G311*(1-FORM!$AE$28/100)</f>
        <v>53.8</v>
      </c>
      <c r="O311" s="502"/>
    </row>
    <row r="312" spans="1:15">
      <c r="A312" s="180"/>
      <c r="B312" s="411"/>
      <c r="C312" s="412"/>
      <c r="D312" s="275"/>
      <c r="E312" s="356"/>
      <c r="F312" s="357"/>
      <c r="G312" s="373"/>
      <c r="H312" s="158"/>
      <c r="I312" s="358"/>
      <c r="J312" s="359" t="s">
        <v>54</v>
      </c>
      <c r="L312" s="97" t="e">
        <f>VLOOKUP(B312,$B$11:B311,1,FALSE)</f>
        <v>#N/A</v>
      </c>
      <c r="M312" s="317">
        <f>G312*(1-FORM!$AE$28/100)</f>
        <v>0</v>
      </c>
      <c r="O312" s="502"/>
    </row>
    <row r="313" spans="1:15">
      <c r="A313" s="146"/>
      <c r="B313" s="409">
        <v>9255273</v>
      </c>
      <c r="C313" s="271" t="s">
        <v>812</v>
      </c>
      <c r="D313" s="272">
        <v>1</v>
      </c>
      <c r="E313" s="350"/>
      <c r="F313" s="351"/>
      <c r="G313" s="371">
        <v>1230.56</v>
      </c>
      <c r="H313" s="254" t="str">
        <f t="shared" si="23"/>
        <v>CZK</v>
      </c>
      <c r="I313" s="352"/>
      <c r="J313" s="353" t="s">
        <v>54</v>
      </c>
      <c r="L313" s="97" t="e">
        <f>VLOOKUP(B313,$B$11:B312,1,FALSE)</f>
        <v>#N/A</v>
      </c>
      <c r="M313" s="317">
        <f>G313*(1-FORM!$AE$28/100)</f>
        <v>1230.56</v>
      </c>
      <c r="O313" s="502"/>
    </row>
    <row r="314" spans="1:15">
      <c r="A314" s="146"/>
      <c r="B314" s="406">
        <v>9255274</v>
      </c>
      <c r="C314" s="265" t="s">
        <v>813</v>
      </c>
      <c r="D314" s="266">
        <v>1</v>
      </c>
      <c r="E314" s="332"/>
      <c r="F314" s="333"/>
      <c r="G314" s="367">
        <v>1248.1199999999999</v>
      </c>
      <c r="H314" s="157" t="str">
        <f t="shared" si="23"/>
        <v>CZK</v>
      </c>
      <c r="I314" s="334"/>
      <c r="J314" s="335" t="s">
        <v>54</v>
      </c>
      <c r="L314" s="97" t="e">
        <f>VLOOKUP(B314,$B$11:B313,1,FALSE)</f>
        <v>#N/A</v>
      </c>
      <c r="M314" s="317">
        <f>G314*(1-FORM!$AE$28/100)</f>
        <v>1248.1199999999999</v>
      </c>
      <c r="O314" s="502"/>
    </row>
    <row r="315" spans="1:15">
      <c r="A315" s="146"/>
      <c r="B315" s="406">
        <v>9255275</v>
      </c>
      <c r="C315" s="265" t="s">
        <v>814</v>
      </c>
      <c r="D315" s="266">
        <v>1</v>
      </c>
      <c r="E315" s="332"/>
      <c r="F315" s="333"/>
      <c r="G315" s="367">
        <v>1265.68</v>
      </c>
      <c r="H315" s="157" t="str">
        <f t="shared" si="23"/>
        <v>CZK</v>
      </c>
      <c r="I315" s="334"/>
      <c r="J315" s="335" t="s">
        <v>54</v>
      </c>
      <c r="L315" s="97" t="e">
        <f>VLOOKUP(B315,$B$11:B314,1,FALSE)</f>
        <v>#N/A</v>
      </c>
      <c r="M315" s="317">
        <f>G315*(1-FORM!$AE$28/100)</f>
        <v>1265.68</v>
      </c>
      <c r="O315" s="502"/>
    </row>
    <row r="316" spans="1:15">
      <c r="A316" s="146"/>
      <c r="B316" s="406">
        <v>9255276</v>
      </c>
      <c r="C316" s="265" t="s">
        <v>815</v>
      </c>
      <c r="D316" s="266">
        <v>1</v>
      </c>
      <c r="E316" s="332"/>
      <c r="F316" s="333"/>
      <c r="G316" s="367">
        <v>1283.24</v>
      </c>
      <c r="H316" s="157" t="str">
        <f t="shared" si="23"/>
        <v>CZK</v>
      </c>
      <c r="I316" s="334"/>
      <c r="J316" s="335" t="s">
        <v>54</v>
      </c>
      <c r="L316" s="97" t="e">
        <f>VLOOKUP(B316,$B$11:B315,1,FALSE)</f>
        <v>#N/A</v>
      </c>
      <c r="M316" s="317">
        <f>G316*(1-FORM!$AE$28/100)</f>
        <v>1283.24</v>
      </c>
      <c r="O316" s="502"/>
    </row>
    <row r="317" spans="1:15">
      <c r="A317" s="146"/>
      <c r="B317" s="406">
        <v>9255277</v>
      </c>
      <c r="C317" s="265" t="s">
        <v>816</v>
      </c>
      <c r="D317" s="266">
        <v>1</v>
      </c>
      <c r="E317" s="332"/>
      <c r="F317" s="333"/>
      <c r="G317" s="367">
        <v>1300.81</v>
      </c>
      <c r="H317" s="157" t="str">
        <f t="shared" si="23"/>
        <v>CZK</v>
      </c>
      <c r="I317" s="334"/>
      <c r="J317" s="335" t="s">
        <v>54</v>
      </c>
      <c r="L317" s="97" t="e">
        <f>VLOOKUP(B317,$B$11:B316,1,FALSE)</f>
        <v>#N/A</v>
      </c>
      <c r="M317" s="317">
        <f>G317*(1-FORM!$AE$28/100)</f>
        <v>1300.81</v>
      </c>
      <c r="O317" s="502"/>
    </row>
    <row r="318" spans="1:15">
      <c r="A318" s="146"/>
      <c r="B318" s="406">
        <v>9255278</v>
      </c>
      <c r="C318" s="265" t="s">
        <v>817</v>
      </c>
      <c r="D318" s="266">
        <v>1</v>
      </c>
      <c r="E318" s="332"/>
      <c r="F318" s="333"/>
      <c r="G318" s="367">
        <v>1327.3</v>
      </c>
      <c r="H318" s="157" t="str">
        <f t="shared" si="23"/>
        <v>CZK</v>
      </c>
      <c r="I318" s="334"/>
      <c r="J318" s="335" t="s">
        <v>54</v>
      </c>
      <c r="L318" s="97" t="e">
        <f>VLOOKUP(B318,$B$11:B317,1,FALSE)</f>
        <v>#N/A</v>
      </c>
      <c r="M318" s="317">
        <f>G318*(1-FORM!$AE$28/100)</f>
        <v>1327.3</v>
      </c>
      <c r="O318" s="502"/>
    </row>
    <row r="319" spans="1:15">
      <c r="A319" s="146"/>
      <c r="B319" s="411">
        <v>9255279</v>
      </c>
      <c r="C319" s="412" t="s">
        <v>818</v>
      </c>
      <c r="D319" s="275">
        <v>1</v>
      </c>
      <c r="E319" s="356"/>
      <c r="F319" s="357"/>
      <c r="G319" s="373">
        <v>1363.32</v>
      </c>
      <c r="H319" s="158" t="str">
        <f t="shared" si="23"/>
        <v>CZK</v>
      </c>
      <c r="I319" s="358"/>
      <c r="J319" s="359" t="s">
        <v>54</v>
      </c>
      <c r="L319" s="97" t="e">
        <f>VLOOKUP(B319,$B$11:B318,1,FALSE)</f>
        <v>#N/A</v>
      </c>
      <c r="M319" s="317">
        <f>G319*(1-FORM!$AE$28/100)</f>
        <v>1363.32</v>
      </c>
      <c r="O319" s="502"/>
    </row>
    <row r="320" spans="1:15">
      <c r="A320" s="153"/>
      <c r="B320" s="409">
        <v>9255313</v>
      </c>
      <c r="C320" s="271" t="s">
        <v>819</v>
      </c>
      <c r="D320" s="272">
        <v>1</v>
      </c>
      <c r="E320" s="350"/>
      <c r="F320" s="351"/>
      <c r="G320" s="371">
        <v>1230.56</v>
      </c>
      <c r="H320" s="254" t="str">
        <f t="shared" si="23"/>
        <v>CZK</v>
      </c>
      <c r="I320" s="352"/>
      <c r="J320" s="353" t="s">
        <v>54</v>
      </c>
      <c r="L320" s="97" t="e">
        <f>VLOOKUP(B320,$B$11:B319,1,FALSE)</f>
        <v>#N/A</v>
      </c>
      <c r="M320" s="317">
        <f>G320*(1-FORM!$AE$28/100)</f>
        <v>1230.56</v>
      </c>
      <c r="O320" s="502"/>
    </row>
    <row r="321" spans="1:15">
      <c r="A321" s="153"/>
      <c r="B321" s="406">
        <v>9255314</v>
      </c>
      <c r="C321" s="265" t="s">
        <v>820</v>
      </c>
      <c r="D321" s="266">
        <v>1</v>
      </c>
      <c r="E321" s="332"/>
      <c r="F321" s="333"/>
      <c r="G321" s="367">
        <v>1248.1199999999999</v>
      </c>
      <c r="H321" s="157" t="str">
        <f t="shared" si="23"/>
        <v>CZK</v>
      </c>
      <c r="I321" s="334"/>
      <c r="J321" s="335" t="s">
        <v>54</v>
      </c>
      <c r="L321" s="97" t="e">
        <f>VLOOKUP(B321,$B$11:B320,1,FALSE)</f>
        <v>#N/A</v>
      </c>
      <c r="M321" s="317">
        <f>G321*(1-FORM!$AE$28/100)</f>
        <v>1248.1199999999999</v>
      </c>
      <c r="O321" s="502"/>
    </row>
    <row r="322" spans="1:15">
      <c r="A322" s="153"/>
      <c r="B322" s="406">
        <v>9255315</v>
      </c>
      <c r="C322" s="265" t="s">
        <v>821</v>
      </c>
      <c r="D322" s="266">
        <v>1</v>
      </c>
      <c r="E322" s="332"/>
      <c r="F322" s="333"/>
      <c r="G322" s="367">
        <v>1265.68</v>
      </c>
      <c r="H322" s="157" t="str">
        <f t="shared" si="23"/>
        <v>CZK</v>
      </c>
      <c r="I322" s="334"/>
      <c r="J322" s="335" t="s">
        <v>54</v>
      </c>
      <c r="L322" s="97" t="e">
        <f>VLOOKUP(B322,$B$11:B321,1,FALSE)</f>
        <v>#N/A</v>
      </c>
      <c r="M322" s="317">
        <f>G322*(1-FORM!$AE$28/100)</f>
        <v>1265.68</v>
      </c>
      <c r="O322" s="502"/>
    </row>
    <row r="323" spans="1:15">
      <c r="A323" s="153"/>
      <c r="B323" s="406">
        <v>9255316</v>
      </c>
      <c r="C323" s="265" t="s">
        <v>822</v>
      </c>
      <c r="D323" s="266">
        <v>1</v>
      </c>
      <c r="E323" s="332"/>
      <c r="F323" s="333"/>
      <c r="G323" s="367">
        <v>1283.24</v>
      </c>
      <c r="H323" s="157" t="str">
        <f t="shared" si="23"/>
        <v>CZK</v>
      </c>
      <c r="I323" s="334"/>
      <c r="J323" s="335" t="s">
        <v>54</v>
      </c>
      <c r="L323" s="97" t="e">
        <f>VLOOKUP(B323,$B$11:B322,1,FALSE)</f>
        <v>#N/A</v>
      </c>
      <c r="M323" s="317">
        <f>G323*(1-FORM!$AE$28/100)</f>
        <v>1283.24</v>
      </c>
      <c r="O323" s="502"/>
    </row>
    <row r="324" spans="1:15">
      <c r="A324" s="153"/>
      <c r="B324" s="406">
        <v>9255317</v>
      </c>
      <c r="C324" s="265" t="s">
        <v>823</v>
      </c>
      <c r="D324" s="266">
        <v>1</v>
      </c>
      <c r="E324" s="332"/>
      <c r="F324" s="333"/>
      <c r="G324" s="367">
        <v>1300.81</v>
      </c>
      <c r="H324" s="157" t="str">
        <f t="shared" si="23"/>
        <v>CZK</v>
      </c>
      <c r="I324" s="334"/>
      <c r="J324" s="335" t="s">
        <v>54</v>
      </c>
      <c r="L324" s="97" t="e">
        <f>VLOOKUP(B324,$B$11:B323,1,FALSE)</f>
        <v>#N/A</v>
      </c>
      <c r="M324" s="317">
        <f>G324*(1-FORM!$AE$28/100)</f>
        <v>1300.81</v>
      </c>
      <c r="O324" s="502"/>
    </row>
    <row r="325" spans="1:15">
      <c r="A325" s="153"/>
      <c r="B325" s="406">
        <v>9255318</v>
      </c>
      <c r="C325" s="265" t="s">
        <v>824</v>
      </c>
      <c r="D325" s="266">
        <v>1</v>
      </c>
      <c r="E325" s="332"/>
      <c r="F325" s="333"/>
      <c r="G325" s="367">
        <v>1327.3</v>
      </c>
      <c r="H325" s="157" t="str">
        <f t="shared" si="23"/>
        <v>CZK</v>
      </c>
      <c r="I325" s="334"/>
      <c r="J325" s="335" t="s">
        <v>54</v>
      </c>
      <c r="L325" s="97" t="e">
        <f>VLOOKUP(B325,$B$11:B324,1,FALSE)</f>
        <v>#N/A</v>
      </c>
      <c r="M325" s="317">
        <f>G325*(1-FORM!$AE$28/100)</f>
        <v>1327.3</v>
      </c>
      <c r="O325" s="502"/>
    </row>
    <row r="326" spans="1:15">
      <c r="A326" s="153"/>
      <c r="B326" s="411">
        <v>9255319</v>
      </c>
      <c r="C326" s="412" t="s">
        <v>825</v>
      </c>
      <c r="D326" s="275">
        <v>1</v>
      </c>
      <c r="E326" s="356"/>
      <c r="F326" s="357"/>
      <c r="G326" s="373">
        <v>1363.32</v>
      </c>
      <c r="H326" s="158" t="str">
        <f t="shared" si="23"/>
        <v>CZK</v>
      </c>
      <c r="I326" s="358"/>
      <c r="J326" s="359" t="s">
        <v>54</v>
      </c>
      <c r="L326" s="97" t="e">
        <f>VLOOKUP(B326,$B$11:B325,1,FALSE)</f>
        <v>#N/A</v>
      </c>
      <c r="M326" s="317">
        <f>G326*(1-FORM!$AE$28/100)</f>
        <v>1363.32</v>
      </c>
      <c r="O326" s="502"/>
    </row>
    <row r="327" spans="1:15">
      <c r="A327" s="155"/>
      <c r="B327" s="409">
        <v>9255353</v>
      </c>
      <c r="C327" s="271" t="s">
        <v>826</v>
      </c>
      <c r="D327" s="272">
        <v>1</v>
      </c>
      <c r="E327" s="350"/>
      <c r="F327" s="351"/>
      <c r="G327" s="371">
        <v>1230.56</v>
      </c>
      <c r="H327" s="254" t="str">
        <f t="shared" si="23"/>
        <v>CZK</v>
      </c>
      <c r="I327" s="352"/>
      <c r="J327" s="353" t="s">
        <v>54</v>
      </c>
      <c r="L327" s="97" t="e">
        <f>VLOOKUP(B327,$B$11:B326,1,FALSE)</f>
        <v>#N/A</v>
      </c>
      <c r="M327" s="317">
        <f>G327*(1-FORM!$AE$28/100)</f>
        <v>1230.56</v>
      </c>
      <c r="O327" s="502"/>
    </row>
    <row r="328" spans="1:15">
      <c r="A328" s="155"/>
      <c r="B328" s="406">
        <v>9255354</v>
      </c>
      <c r="C328" s="265" t="s">
        <v>827</v>
      </c>
      <c r="D328" s="266">
        <v>1</v>
      </c>
      <c r="E328" s="332"/>
      <c r="F328" s="333"/>
      <c r="G328" s="367">
        <v>1248.1199999999999</v>
      </c>
      <c r="H328" s="157" t="str">
        <f t="shared" si="23"/>
        <v>CZK</v>
      </c>
      <c r="I328" s="334"/>
      <c r="J328" s="335" t="s">
        <v>54</v>
      </c>
      <c r="L328" s="97" t="e">
        <f>VLOOKUP(B328,$B$11:B327,1,FALSE)</f>
        <v>#N/A</v>
      </c>
      <c r="M328" s="317">
        <f>G328*(1-FORM!$AE$28/100)</f>
        <v>1248.1199999999999</v>
      </c>
      <c r="O328" s="502"/>
    </row>
    <row r="329" spans="1:15">
      <c r="A329" s="155"/>
      <c r="B329" s="406">
        <v>9255355</v>
      </c>
      <c r="C329" s="265" t="s">
        <v>828</v>
      </c>
      <c r="D329" s="266">
        <v>1</v>
      </c>
      <c r="E329" s="332"/>
      <c r="F329" s="333"/>
      <c r="G329" s="367">
        <v>1265.68</v>
      </c>
      <c r="H329" s="157" t="str">
        <f t="shared" si="23"/>
        <v>CZK</v>
      </c>
      <c r="I329" s="334"/>
      <c r="J329" s="335" t="s">
        <v>54</v>
      </c>
      <c r="L329" s="97" t="e">
        <f>VLOOKUP(B329,$B$11:B328,1,FALSE)</f>
        <v>#N/A</v>
      </c>
      <c r="M329" s="317">
        <f>G329*(1-FORM!$AE$28/100)</f>
        <v>1265.68</v>
      </c>
      <c r="O329" s="502"/>
    </row>
    <row r="330" spans="1:15">
      <c r="A330" s="155"/>
      <c r="B330" s="406">
        <v>9255356</v>
      </c>
      <c r="C330" s="265" t="s">
        <v>829</v>
      </c>
      <c r="D330" s="266">
        <v>1</v>
      </c>
      <c r="E330" s="332"/>
      <c r="F330" s="333"/>
      <c r="G330" s="367">
        <v>1283.24</v>
      </c>
      <c r="H330" s="157" t="str">
        <f t="shared" si="23"/>
        <v>CZK</v>
      </c>
      <c r="I330" s="334"/>
      <c r="J330" s="335" t="s">
        <v>54</v>
      </c>
      <c r="L330" s="97" t="e">
        <f>VLOOKUP(B330,$B$11:B329,1,FALSE)</f>
        <v>#N/A</v>
      </c>
      <c r="M330" s="317">
        <f>G330*(1-FORM!$AE$28/100)</f>
        <v>1283.24</v>
      </c>
      <c r="O330" s="502"/>
    </row>
    <row r="331" spans="1:15">
      <c r="A331" s="155"/>
      <c r="B331" s="406">
        <v>9255357</v>
      </c>
      <c r="C331" s="265" t="s">
        <v>830</v>
      </c>
      <c r="D331" s="266">
        <v>1</v>
      </c>
      <c r="E331" s="332"/>
      <c r="F331" s="333"/>
      <c r="G331" s="367">
        <v>1300.81</v>
      </c>
      <c r="H331" s="157" t="str">
        <f t="shared" si="23"/>
        <v>CZK</v>
      </c>
      <c r="I331" s="334"/>
      <c r="J331" s="335" t="s">
        <v>54</v>
      </c>
      <c r="L331" s="97" t="e">
        <f>VLOOKUP(B331,$B$11:B330,1,FALSE)</f>
        <v>#N/A</v>
      </c>
      <c r="M331" s="317">
        <f>G331*(1-FORM!$AE$28/100)</f>
        <v>1300.81</v>
      </c>
      <c r="O331" s="502"/>
    </row>
    <row r="332" spans="1:15">
      <c r="A332" s="155"/>
      <c r="B332" s="406">
        <v>9255358</v>
      </c>
      <c r="C332" s="265" t="s">
        <v>831</v>
      </c>
      <c r="D332" s="266">
        <v>1</v>
      </c>
      <c r="E332" s="332"/>
      <c r="F332" s="333"/>
      <c r="G332" s="367">
        <v>1327.3</v>
      </c>
      <c r="H332" s="157" t="str">
        <f t="shared" si="23"/>
        <v>CZK</v>
      </c>
      <c r="I332" s="334"/>
      <c r="J332" s="335" t="s">
        <v>54</v>
      </c>
      <c r="L332" s="97" t="e">
        <f>VLOOKUP(B332,$B$11:B331,1,FALSE)</f>
        <v>#N/A</v>
      </c>
      <c r="M332" s="317">
        <f>G332*(1-FORM!$AE$28/100)</f>
        <v>1327.3</v>
      </c>
      <c r="O332" s="502"/>
    </row>
    <row r="333" spans="1:15">
      <c r="A333" s="155"/>
      <c r="B333" s="411">
        <v>9255359</v>
      </c>
      <c r="C333" s="412" t="s">
        <v>832</v>
      </c>
      <c r="D333" s="275">
        <v>1</v>
      </c>
      <c r="E333" s="356"/>
      <c r="F333" s="357"/>
      <c r="G333" s="373">
        <v>1363.32</v>
      </c>
      <c r="H333" s="158" t="str">
        <f t="shared" si="23"/>
        <v>CZK</v>
      </c>
      <c r="I333" s="358"/>
      <c r="J333" s="359" t="s">
        <v>54</v>
      </c>
      <c r="L333" s="97" t="e">
        <f>VLOOKUP(B333,$B$11:B332,1,FALSE)</f>
        <v>#N/A</v>
      </c>
      <c r="M333" s="317">
        <f>G333*(1-FORM!$AE$28/100)</f>
        <v>1363.32</v>
      </c>
      <c r="O333" s="502"/>
    </row>
    <row r="334" spans="1:15">
      <c r="A334" s="146"/>
      <c r="B334" s="406">
        <v>9255066</v>
      </c>
      <c r="C334" s="265" t="s">
        <v>833</v>
      </c>
      <c r="D334" s="266">
        <v>10</v>
      </c>
      <c r="E334" s="332"/>
      <c r="F334" s="333"/>
      <c r="G334" s="367">
        <v>476.42</v>
      </c>
      <c r="H334" s="157" t="str">
        <f>IF(G334="","",$H$10)</f>
        <v>CZK</v>
      </c>
      <c r="I334" s="334"/>
      <c r="J334" s="335" t="s">
        <v>54</v>
      </c>
      <c r="L334" s="97" t="e">
        <f>VLOOKUP(B334,$B$11:B333,1,FALSE)</f>
        <v>#N/A</v>
      </c>
      <c r="M334" s="317">
        <f>G334*(1-FORM!$AE$28/100)</f>
        <v>476.42</v>
      </c>
      <c r="O334" s="502"/>
    </row>
    <row r="335" spans="1:15">
      <c r="A335" s="146"/>
      <c r="B335" s="406">
        <v>9255067</v>
      </c>
      <c r="C335" s="265" t="s">
        <v>834</v>
      </c>
      <c r="D335" s="266">
        <v>10</v>
      </c>
      <c r="E335" s="332"/>
      <c r="F335" s="333"/>
      <c r="G335" s="367">
        <v>476.42</v>
      </c>
      <c r="H335" s="157" t="str">
        <f>IF(G335="","",$H$10)</f>
        <v>CZK</v>
      </c>
      <c r="I335" s="334"/>
      <c r="J335" s="335" t="s">
        <v>54</v>
      </c>
      <c r="L335" s="97" t="e">
        <f>VLOOKUP(B335,$B$11:B334,1,FALSE)</f>
        <v>#N/A</v>
      </c>
      <c r="M335" s="317">
        <f>G335*(1-FORM!$AE$28/100)</f>
        <v>476.42</v>
      </c>
      <c r="O335" s="502"/>
    </row>
    <row r="336" spans="1:15">
      <c r="A336" s="146"/>
      <c r="B336" s="406">
        <v>9255068</v>
      </c>
      <c r="C336" s="265" t="s">
        <v>835</v>
      </c>
      <c r="D336" s="266">
        <v>10</v>
      </c>
      <c r="E336" s="332"/>
      <c r="F336" s="333"/>
      <c r="G336" s="367">
        <v>485.03</v>
      </c>
      <c r="H336" s="157" t="str">
        <f>IF(G336="","",$H$10)</f>
        <v>CZK</v>
      </c>
      <c r="I336" s="334"/>
      <c r="J336" s="335" t="s">
        <v>54</v>
      </c>
      <c r="L336" s="97" t="e">
        <f>VLOOKUP(B336,$B$11:B335,1,FALSE)</f>
        <v>#N/A</v>
      </c>
      <c r="M336" s="317">
        <f>G336*(1-FORM!$AE$28/100)</f>
        <v>485.03</v>
      </c>
      <c r="O336" s="502"/>
    </row>
    <row r="337" spans="1:15">
      <c r="A337" s="146"/>
      <c r="B337" s="406">
        <v>9255069</v>
      </c>
      <c r="C337" s="265" t="s">
        <v>836</v>
      </c>
      <c r="D337" s="266">
        <v>10</v>
      </c>
      <c r="E337" s="332"/>
      <c r="F337" s="333"/>
      <c r="G337" s="367">
        <v>485.03</v>
      </c>
      <c r="H337" s="157" t="str">
        <f t="shared" si="23"/>
        <v>CZK</v>
      </c>
      <c r="I337" s="334"/>
      <c r="J337" s="335" t="s">
        <v>54</v>
      </c>
      <c r="L337" s="97" t="e">
        <f>VLOOKUP(B337,$B$11:B336,1,FALSE)</f>
        <v>#N/A</v>
      </c>
      <c r="M337" s="317">
        <f>G337*(1-FORM!$AE$28/100)</f>
        <v>485.03</v>
      </c>
      <c r="O337" s="502"/>
    </row>
    <row r="338" spans="1:15">
      <c r="A338" s="146"/>
      <c r="B338" s="406">
        <v>9255070</v>
      </c>
      <c r="C338" s="265" t="s">
        <v>837</v>
      </c>
      <c r="D338" s="266">
        <v>10</v>
      </c>
      <c r="E338" s="332"/>
      <c r="F338" s="333"/>
      <c r="G338" s="367">
        <v>493.64</v>
      </c>
      <c r="H338" s="157" t="str">
        <f t="shared" si="23"/>
        <v>CZK</v>
      </c>
      <c r="I338" s="334"/>
      <c r="J338" s="335" t="s">
        <v>54</v>
      </c>
      <c r="L338" s="97" t="e">
        <f>VLOOKUP(B338,$B$11:B337,1,FALSE)</f>
        <v>#N/A</v>
      </c>
      <c r="M338" s="317">
        <f>G338*(1-FORM!$AE$28/100)</f>
        <v>493.64</v>
      </c>
      <c r="O338" s="502"/>
    </row>
    <row r="339" spans="1:15">
      <c r="A339" s="146"/>
      <c r="B339" s="406">
        <v>9255071</v>
      </c>
      <c r="C339" s="265" t="s">
        <v>838</v>
      </c>
      <c r="D339" s="266">
        <v>10</v>
      </c>
      <c r="E339" s="332"/>
      <c r="F339" s="333"/>
      <c r="G339" s="367">
        <v>493.64</v>
      </c>
      <c r="H339" s="157" t="str">
        <f t="shared" si="23"/>
        <v>CZK</v>
      </c>
      <c r="I339" s="334"/>
      <c r="J339" s="335" t="s">
        <v>54</v>
      </c>
      <c r="L339" s="97" t="e">
        <f>VLOOKUP(B339,$B$11:B338,1,FALSE)</f>
        <v>#N/A</v>
      </c>
      <c r="M339" s="317">
        <f>G339*(1-FORM!$AE$28/100)</f>
        <v>493.64</v>
      </c>
      <c r="O339" s="502"/>
    </row>
    <row r="340" spans="1:15">
      <c r="A340" s="146"/>
      <c r="B340" s="406">
        <v>9255072</v>
      </c>
      <c r="C340" s="265" t="s">
        <v>839</v>
      </c>
      <c r="D340" s="266">
        <v>10</v>
      </c>
      <c r="E340" s="332"/>
      <c r="F340" s="333"/>
      <c r="G340" s="367">
        <v>502.25</v>
      </c>
      <c r="H340" s="157" t="str">
        <f t="shared" si="23"/>
        <v>CZK</v>
      </c>
      <c r="I340" s="334"/>
      <c r="J340" s="335" t="s">
        <v>54</v>
      </c>
      <c r="L340" s="97" t="e">
        <f>VLOOKUP(B340,$B$11:B339,1,FALSE)</f>
        <v>#N/A</v>
      </c>
      <c r="M340" s="317">
        <f>G340*(1-FORM!$AE$28/100)</f>
        <v>502.25</v>
      </c>
      <c r="O340" s="502"/>
    </row>
    <row r="341" spans="1:15">
      <c r="A341" s="146"/>
      <c r="B341" s="406">
        <v>9255073</v>
      </c>
      <c r="C341" s="265" t="s">
        <v>840</v>
      </c>
      <c r="D341" s="266">
        <v>10</v>
      </c>
      <c r="E341" s="332"/>
      <c r="F341" s="333"/>
      <c r="G341" s="367">
        <v>502.25</v>
      </c>
      <c r="H341" s="157" t="str">
        <f t="shared" si="23"/>
        <v>CZK</v>
      </c>
      <c r="I341" s="334"/>
      <c r="J341" s="335" t="s">
        <v>54</v>
      </c>
      <c r="L341" s="97" t="e">
        <f>VLOOKUP(B341,$B$11:B340,1,FALSE)</f>
        <v>#N/A</v>
      </c>
      <c r="M341" s="317">
        <f>G341*(1-FORM!$AE$28/100)</f>
        <v>502.25</v>
      </c>
      <c r="O341" s="502"/>
    </row>
    <row r="342" spans="1:15">
      <c r="A342" s="146"/>
      <c r="B342" s="406">
        <v>9255074</v>
      </c>
      <c r="C342" s="265" t="s">
        <v>841</v>
      </c>
      <c r="D342" s="266">
        <v>10</v>
      </c>
      <c r="E342" s="332"/>
      <c r="F342" s="333"/>
      <c r="G342" s="367">
        <v>510.86</v>
      </c>
      <c r="H342" s="157" t="str">
        <f t="shared" ref="H342:H360" si="24">IF(G342="","",$H$10)</f>
        <v>CZK</v>
      </c>
      <c r="I342" s="334"/>
      <c r="J342" s="335" t="s">
        <v>54</v>
      </c>
      <c r="L342" s="97" t="e">
        <f>VLOOKUP(B342,$B$11:B341,1,FALSE)</f>
        <v>#N/A</v>
      </c>
      <c r="M342" s="317">
        <f>G342*(1-FORM!$AE$28/100)</f>
        <v>510.86</v>
      </c>
      <c r="O342" s="502"/>
    </row>
    <row r="343" spans="1:15">
      <c r="A343" s="146"/>
      <c r="B343" s="406">
        <v>9255075</v>
      </c>
      <c r="C343" s="265" t="s">
        <v>842</v>
      </c>
      <c r="D343" s="266">
        <v>10</v>
      </c>
      <c r="E343" s="332"/>
      <c r="F343" s="333"/>
      <c r="G343" s="367">
        <v>510.86</v>
      </c>
      <c r="H343" s="157" t="str">
        <f>IF(G343="","",$H$10)</f>
        <v>CZK</v>
      </c>
      <c r="I343" s="334"/>
      <c r="J343" s="335" t="s">
        <v>54</v>
      </c>
      <c r="L343" s="97" t="e">
        <f>VLOOKUP(B343,$B$11:B342,1,FALSE)</f>
        <v>#N/A</v>
      </c>
      <c r="M343" s="317">
        <f>G343*(1-FORM!$AE$28/100)</f>
        <v>510.86</v>
      </c>
      <c r="O343" s="502"/>
    </row>
    <row r="344" spans="1:15">
      <c r="A344" s="146"/>
      <c r="B344" s="406">
        <v>9255076</v>
      </c>
      <c r="C344" s="265" t="s">
        <v>843</v>
      </c>
      <c r="D344" s="266">
        <v>10</v>
      </c>
      <c r="E344" s="332"/>
      <c r="F344" s="333"/>
      <c r="G344" s="367">
        <v>523.85</v>
      </c>
      <c r="H344" s="157" t="str">
        <f>IF(G344="","",$H$10)</f>
        <v>CZK</v>
      </c>
      <c r="I344" s="334"/>
      <c r="J344" s="335" t="s">
        <v>54</v>
      </c>
      <c r="L344" s="97" t="e">
        <f>VLOOKUP(B344,$B$11:B343,1,FALSE)</f>
        <v>#N/A</v>
      </c>
      <c r="M344" s="317">
        <f>G344*(1-FORM!$AE$28/100)</f>
        <v>523.85</v>
      </c>
      <c r="O344" s="502"/>
    </row>
    <row r="345" spans="1:15">
      <c r="A345" s="146"/>
      <c r="B345" s="406">
        <v>9255077</v>
      </c>
      <c r="C345" s="265" t="s">
        <v>844</v>
      </c>
      <c r="D345" s="266">
        <v>10</v>
      </c>
      <c r="E345" s="332"/>
      <c r="F345" s="333"/>
      <c r="G345" s="367">
        <v>523.85</v>
      </c>
      <c r="H345" s="157" t="str">
        <f t="shared" si="24"/>
        <v>CZK</v>
      </c>
      <c r="I345" s="334"/>
      <c r="J345" s="335" t="s">
        <v>54</v>
      </c>
      <c r="L345" s="97" t="e">
        <f>VLOOKUP(B345,$B$11:B344,1,FALSE)</f>
        <v>#N/A</v>
      </c>
      <c r="M345" s="317">
        <f>G345*(1-FORM!$AE$28/100)</f>
        <v>523.85</v>
      </c>
      <c r="O345" s="502"/>
    </row>
    <row r="346" spans="1:15">
      <c r="A346" s="146"/>
      <c r="B346" s="406">
        <v>9255078</v>
      </c>
      <c r="C346" s="265" t="s">
        <v>845</v>
      </c>
      <c r="D346" s="266">
        <v>10</v>
      </c>
      <c r="E346" s="332"/>
      <c r="F346" s="333"/>
      <c r="G346" s="367">
        <v>541.51</v>
      </c>
      <c r="H346" s="157" t="str">
        <f t="shared" si="24"/>
        <v>CZK</v>
      </c>
      <c r="I346" s="334"/>
      <c r="J346" s="335" t="s">
        <v>54</v>
      </c>
      <c r="L346" s="97" t="e">
        <f>VLOOKUP(B346,$B$11:B345,1,FALSE)</f>
        <v>#N/A</v>
      </c>
      <c r="M346" s="317">
        <f>G346*(1-FORM!$AE$28/100)</f>
        <v>541.51</v>
      </c>
      <c r="O346" s="502"/>
    </row>
    <row r="347" spans="1:15">
      <c r="A347" s="146"/>
      <c r="B347" s="411">
        <v>9255079</v>
      </c>
      <c r="C347" s="412" t="s">
        <v>846</v>
      </c>
      <c r="D347" s="275">
        <v>10</v>
      </c>
      <c r="E347" s="356"/>
      <c r="F347" s="357"/>
      <c r="G347" s="373">
        <v>541.51</v>
      </c>
      <c r="H347" s="158" t="str">
        <f t="shared" si="24"/>
        <v>CZK</v>
      </c>
      <c r="I347" s="358"/>
      <c r="J347" s="359" t="s">
        <v>54</v>
      </c>
      <c r="L347" s="97" t="e">
        <f>VLOOKUP(B347,$B$11:B346,1,FALSE)</f>
        <v>#N/A</v>
      </c>
      <c r="M347" s="317">
        <f>G347*(1-FORM!$AE$28/100)</f>
        <v>541.51</v>
      </c>
      <c r="O347" s="502"/>
    </row>
    <row r="348" spans="1:15">
      <c r="A348" s="153"/>
      <c r="B348" s="409">
        <v>9255146</v>
      </c>
      <c r="C348" s="271" t="s">
        <v>847</v>
      </c>
      <c r="D348" s="272">
        <v>10</v>
      </c>
      <c r="E348" s="350"/>
      <c r="F348" s="351"/>
      <c r="G348" s="371">
        <v>476.42</v>
      </c>
      <c r="H348" s="254" t="str">
        <f t="shared" si="24"/>
        <v>CZK</v>
      </c>
      <c r="I348" s="352"/>
      <c r="J348" s="353" t="s">
        <v>54</v>
      </c>
      <c r="L348" s="97" t="e">
        <f>VLOOKUP(B348,$B$11:B347,1,FALSE)</f>
        <v>#N/A</v>
      </c>
      <c r="M348" s="317">
        <f>G348*(1-FORM!$AE$28/100)</f>
        <v>476.42</v>
      </c>
      <c r="O348" s="502"/>
    </row>
    <row r="349" spans="1:15">
      <c r="A349" s="153"/>
      <c r="B349" s="406">
        <v>9255147</v>
      </c>
      <c r="C349" s="265" t="s">
        <v>848</v>
      </c>
      <c r="D349" s="266">
        <v>10</v>
      </c>
      <c r="E349" s="332"/>
      <c r="F349" s="333"/>
      <c r="G349" s="367">
        <v>476.42</v>
      </c>
      <c r="H349" s="157" t="str">
        <f t="shared" si="24"/>
        <v>CZK</v>
      </c>
      <c r="I349" s="334"/>
      <c r="J349" s="335" t="s">
        <v>54</v>
      </c>
      <c r="L349" s="97" t="e">
        <f>VLOOKUP(B349,$B$11:B348,1,FALSE)</f>
        <v>#N/A</v>
      </c>
      <c r="M349" s="317">
        <f>G349*(1-FORM!$AE$28/100)</f>
        <v>476.42</v>
      </c>
      <c r="O349" s="502"/>
    </row>
    <row r="350" spans="1:15">
      <c r="A350" s="153"/>
      <c r="B350" s="406">
        <v>9255148</v>
      </c>
      <c r="C350" s="265" t="s">
        <v>849</v>
      </c>
      <c r="D350" s="266">
        <v>10</v>
      </c>
      <c r="E350" s="332"/>
      <c r="F350" s="333"/>
      <c r="G350" s="367">
        <v>485.03</v>
      </c>
      <c r="H350" s="157" t="str">
        <f t="shared" si="24"/>
        <v>CZK</v>
      </c>
      <c r="I350" s="334"/>
      <c r="J350" s="335" t="s">
        <v>54</v>
      </c>
      <c r="L350" s="97" t="e">
        <f>VLOOKUP(B350,$B$11:B349,1,FALSE)</f>
        <v>#N/A</v>
      </c>
      <c r="M350" s="317">
        <f>G350*(1-FORM!$AE$28/100)</f>
        <v>485.03</v>
      </c>
      <c r="O350" s="502"/>
    </row>
    <row r="351" spans="1:15">
      <c r="A351" s="153"/>
      <c r="B351" s="406">
        <v>9255149</v>
      </c>
      <c r="C351" s="265" t="s">
        <v>850</v>
      </c>
      <c r="D351" s="266">
        <v>10</v>
      </c>
      <c r="E351" s="332"/>
      <c r="F351" s="333"/>
      <c r="G351" s="367">
        <v>485.03</v>
      </c>
      <c r="H351" s="157" t="str">
        <f t="shared" si="24"/>
        <v>CZK</v>
      </c>
      <c r="I351" s="334"/>
      <c r="J351" s="335" t="s">
        <v>54</v>
      </c>
      <c r="L351" s="97" t="e">
        <f>VLOOKUP(B351,$B$11:B350,1,FALSE)</f>
        <v>#N/A</v>
      </c>
      <c r="M351" s="317">
        <f>G351*(1-FORM!$AE$28/100)</f>
        <v>485.03</v>
      </c>
      <c r="O351" s="502"/>
    </row>
    <row r="352" spans="1:15">
      <c r="A352" s="153"/>
      <c r="B352" s="406">
        <v>9255150</v>
      </c>
      <c r="C352" s="265" t="s">
        <v>851</v>
      </c>
      <c r="D352" s="266">
        <v>10</v>
      </c>
      <c r="E352" s="332"/>
      <c r="F352" s="333"/>
      <c r="G352" s="367">
        <v>493.64</v>
      </c>
      <c r="H352" s="157" t="str">
        <f t="shared" si="24"/>
        <v>CZK</v>
      </c>
      <c r="I352" s="334"/>
      <c r="J352" s="335" t="s">
        <v>54</v>
      </c>
      <c r="L352" s="97" t="e">
        <f>VLOOKUP(B352,$B$11:B351,1,FALSE)</f>
        <v>#N/A</v>
      </c>
      <c r="M352" s="317">
        <f>G352*(1-FORM!$AE$28/100)</f>
        <v>493.64</v>
      </c>
      <c r="O352" s="502"/>
    </row>
    <row r="353" spans="1:15">
      <c r="A353" s="153"/>
      <c r="B353" s="406">
        <v>9255151</v>
      </c>
      <c r="C353" s="265" t="s">
        <v>852</v>
      </c>
      <c r="D353" s="266">
        <v>10</v>
      </c>
      <c r="E353" s="332"/>
      <c r="F353" s="333"/>
      <c r="G353" s="367">
        <v>493.64</v>
      </c>
      <c r="H353" s="157" t="str">
        <f t="shared" si="24"/>
        <v>CZK</v>
      </c>
      <c r="I353" s="334"/>
      <c r="J353" s="335" t="s">
        <v>54</v>
      </c>
      <c r="L353" s="97" t="e">
        <f>VLOOKUP(B353,$B$11:B352,1,FALSE)</f>
        <v>#N/A</v>
      </c>
      <c r="M353" s="317">
        <f>G353*(1-FORM!$AE$28/100)</f>
        <v>493.64</v>
      </c>
      <c r="O353" s="502"/>
    </row>
    <row r="354" spans="1:15">
      <c r="A354" s="153"/>
      <c r="B354" s="406">
        <v>9255152</v>
      </c>
      <c r="C354" s="265" t="s">
        <v>853</v>
      </c>
      <c r="D354" s="266">
        <v>10</v>
      </c>
      <c r="E354" s="332"/>
      <c r="F354" s="333"/>
      <c r="G354" s="367">
        <v>502.25</v>
      </c>
      <c r="H354" s="157" t="str">
        <f t="shared" si="24"/>
        <v>CZK</v>
      </c>
      <c r="I354" s="334"/>
      <c r="J354" s="335" t="s">
        <v>54</v>
      </c>
      <c r="L354" s="97" t="e">
        <f>VLOOKUP(B354,$B$11:B353,1,FALSE)</f>
        <v>#N/A</v>
      </c>
      <c r="M354" s="317">
        <f>G354*(1-FORM!$AE$28/100)</f>
        <v>502.25</v>
      </c>
      <c r="O354" s="502"/>
    </row>
    <row r="355" spans="1:15">
      <c r="A355" s="153"/>
      <c r="B355" s="406">
        <v>9255153</v>
      </c>
      <c r="C355" s="265" t="s">
        <v>854</v>
      </c>
      <c r="D355" s="266">
        <v>10</v>
      </c>
      <c r="E355" s="332"/>
      <c r="F355" s="333"/>
      <c r="G355" s="367">
        <v>502.25</v>
      </c>
      <c r="H355" s="157" t="str">
        <f t="shared" si="24"/>
        <v>CZK</v>
      </c>
      <c r="I355" s="334"/>
      <c r="J355" s="335" t="s">
        <v>54</v>
      </c>
      <c r="L355" s="97" t="e">
        <f>VLOOKUP(B355,$B$11:B354,1,FALSE)</f>
        <v>#N/A</v>
      </c>
      <c r="M355" s="317">
        <f>G355*(1-FORM!$AE$28/100)</f>
        <v>502.25</v>
      </c>
      <c r="O355" s="502"/>
    </row>
    <row r="356" spans="1:15">
      <c r="A356" s="153"/>
      <c r="B356" s="406">
        <v>9255154</v>
      </c>
      <c r="C356" s="265" t="s">
        <v>855</v>
      </c>
      <c r="D356" s="266">
        <v>10</v>
      </c>
      <c r="E356" s="332"/>
      <c r="F356" s="333"/>
      <c r="G356" s="367">
        <v>510.86</v>
      </c>
      <c r="H356" s="157" t="str">
        <f t="shared" si="24"/>
        <v>CZK</v>
      </c>
      <c r="I356" s="334"/>
      <c r="J356" s="335" t="s">
        <v>54</v>
      </c>
      <c r="L356" s="97" t="e">
        <f>VLOOKUP(B356,$B$11:B355,1,FALSE)</f>
        <v>#N/A</v>
      </c>
      <c r="M356" s="317">
        <f>G356*(1-FORM!$AE$28/100)</f>
        <v>510.86</v>
      </c>
      <c r="O356" s="502"/>
    </row>
    <row r="357" spans="1:15">
      <c r="A357" s="153"/>
      <c r="B357" s="406">
        <v>9255155</v>
      </c>
      <c r="C357" s="265" t="s">
        <v>856</v>
      </c>
      <c r="D357" s="266">
        <v>10</v>
      </c>
      <c r="E357" s="332"/>
      <c r="F357" s="333"/>
      <c r="G357" s="367">
        <v>510.86</v>
      </c>
      <c r="H357" s="157" t="str">
        <f t="shared" si="24"/>
        <v>CZK</v>
      </c>
      <c r="I357" s="334"/>
      <c r="J357" s="335" t="s">
        <v>54</v>
      </c>
      <c r="L357" s="97" t="e">
        <f>VLOOKUP(B357,$B$11:B356,1,FALSE)</f>
        <v>#N/A</v>
      </c>
      <c r="M357" s="317">
        <f>G357*(1-FORM!$AE$28/100)</f>
        <v>510.86</v>
      </c>
      <c r="O357" s="502"/>
    </row>
    <row r="358" spans="1:15">
      <c r="A358" s="153"/>
      <c r="B358" s="406">
        <v>9255156</v>
      </c>
      <c r="C358" s="265" t="s">
        <v>857</v>
      </c>
      <c r="D358" s="266">
        <v>10</v>
      </c>
      <c r="E358" s="332"/>
      <c r="F358" s="333"/>
      <c r="G358" s="367">
        <v>523.85</v>
      </c>
      <c r="H358" s="157" t="str">
        <f t="shared" si="24"/>
        <v>CZK</v>
      </c>
      <c r="I358" s="334"/>
      <c r="J358" s="335" t="s">
        <v>54</v>
      </c>
      <c r="L358" s="97" t="e">
        <f>VLOOKUP(B358,$B$11:B357,1,FALSE)</f>
        <v>#N/A</v>
      </c>
      <c r="M358" s="317">
        <f>G358*(1-FORM!$AE$28/100)</f>
        <v>523.85</v>
      </c>
      <c r="O358" s="502"/>
    </row>
    <row r="359" spans="1:15">
      <c r="A359" s="153"/>
      <c r="B359" s="406">
        <v>9255157</v>
      </c>
      <c r="C359" s="265" t="s">
        <v>858</v>
      </c>
      <c r="D359" s="266">
        <v>10</v>
      </c>
      <c r="E359" s="332"/>
      <c r="F359" s="333"/>
      <c r="G359" s="367">
        <v>523.85</v>
      </c>
      <c r="H359" s="157" t="str">
        <f t="shared" si="24"/>
        <v>CZK</v>
      </c>
      <c r="I359" s="334"/>
      <c r="J359" s="335" t="s">
        <v>54</v>
      </c>
      <c r="L359" s="97" t="e">
        <f>VLOOKUP(B359,$B$11:B358,1,FALSE)</f>
        <v>#N/A</v>
      </c>
      <c r="M359" s="317">
        <f>G359*(1-FORM!$AE$28/100)</f>
        <v>523.85</v>
      </c>
      <c r="O359" s="502"/>
    </row>
    <row r="360" spans="1:15">
      <c r="A360" s="153"/>
      <c r="B360" s="406">
        <v>9255158</v>
      </c>
      <c r="C360" s="265" t="s">
        <v>859</v>
      </c>
      <c r="D360" s="266">
        <v>10</v>
      </c>
      <c r="E360" s="332"/>
      <c r="F360" s="333"/>
      <c r="G360" s="367">
        <v>541.51</v>
      </c>
      <c r="H360" s="157" t="str">
        <f t="shared" si="24"/>
        <v>CZK</v>
      </c>
      <c r="I360" s="334"/>
      <c r="J360" s="335" t="s">
        <v>54</v>
      </c>
      <c r="L360" s="97" t="e">
        <f>VLOOKUP(B360,$B$11:B359,1,FALSE)</f>
        <v>#N/A</v>
      </c>
      <c r="M360" s="317">
        <f>G360*(1-FORM!$AE$28/100)</f>
        <v>541.51</v>
      </c>
      <c r="O360" s="502"/>
    </row>
    <row r="361" spans="1:15">
      <c r="A361" s="153"/>
      <c r="B361" s="411">
        <v>9255159</v>
      </c>
      <c r="C361" s="412" t="s">
        <v>860</v>
      </c>
      <c r="D361" s="275">
        <v>10</v>
      </c>
      <c r="E361" s="356"/>
      <c r="F361" s="357"/>
      <c r="G361" s="373">
        <v>541.51</v>
      </c>
      <c r="H361" s="158" t="str">
        <f t="shared" ref="H361:H376" si="25">IF(G361="","",$H$10)</f>
        <v>CZK</v>
      </c>
      <c r="I361" s="358"/>
      <c r="J361" s="359" t="s">
        <v>54</v>
      </c>
      <c r="L361" s="97" t="e">
        <f>VLOOKUP(B361,$B$11:B360,1,FALSE)</f>
        <v>#N/A</v>
      </c>
      <c r="M361" s="317">
        <f>G361*(1-FORM!$AE$28/100)</f>
        <v>541.51</v>
      </c>
      <c r="O361" s="502"/>
    </row>
    <row r="362" spans="1:15">
      <c r="A362" s="155"/>
      <c r="B362" s="409">
        <v>9255226</v>
      </c>
      <c r="C362" s="271" t="s">
        <v>861</v>
      </c>
      <c r="D362" s="272">
        <v>10</v>
      </c>
      <c r="E362" s="350"/>
      <c r="F362" s="351"/>
      <c r="G362" s="371">
        <v>476.42</v>
      </c>
      <c r="H362" s="254" t="str">
        <f t="shared" si="25"/>
        <v>CZK</v>
      </c>
      <c r="I362" s="352"/>
      <c r="J362" s="353" t="s">
        <v>54</v>
      </c>
      <c r="L362" s="97" t="e">
        <f>VLOOKUP(B362,$B$11:B361,1,FALSE)</f>
        <v>#N/A</v>
      </c>
      <c r="M362" s="317">
        <f>G362*(1-FORM!$AE$28/100)</f>
        <v>476.42</v>
      </c>
      <c r="O362" s="502"/>
    </row>
    <row r="363" spans="1:15">
      <c r="A363" s="155"/>
      <c r="B363" s="406">
        <v>9255227</v>
      </c>
      <c r="C363" s="265" t="s">
        <v>862</v>
      </c>
      <c r="D363" s="266">
        <v>10</v>
      </c>
      <c r="E363" s="332"/>
      <c r="F363" s="333"/>
      <c r="G363" s="367">
        <v>476.42</v>
      </c>
      <c r="H363" s="157" t="str">
        <f t="shared" si="25"/>
        <v>CZK</v>
      </c>
      <c r="I363" s="334"/>
      <c r="J363" s="335" t="s">
        <v>54</v>
      </c>
      <c r="L363" s="97" t="e">
        <f>VLOOKUP(B363,$B$11:B362,1,FALSE)</f>
        <v>#N/A</v>
      </c>
      <c r="M363" s="317">
        <f>G363*(1-FORM!$AE$28/100)</f>
        <v>476.42</v>
      </c>
      <c r="O363" s="502"/>
    </row>
    <row r="364" spans="1:15">
      <c r="A364" s="155"/>
      <c r="B364" s="406">
        <v>9255228</v>
      </c>
      <c r="C364" s="265" t="s">
        <v>863</v>
      </c>
      <c r="D364" s="266">
        <v>10</v>
      </c>
      <c r="E364" s="332"/>
      <c r="F364" s="333"/>
      <c r="G364" s="367">
        <v>485.03</v>
      </c>
      <c r="H364" s="157" t="str">
        <f t="shared" si="25"/>
        <v>CZK</v>
      </c>
      <c r="I364" s="334"/>
      <c r="J364" s="335" t="s">
        <v>54</v>
      </c>
      <c r="L364" s="97" t="e">
        <f>VLOOKUP(B364,$B$11:B363,1,FALSE)</f>
        <v>#N/A</v>
      </c>
      <c r="M364" s="317">
        <f>G364*(1-FORM!$AE$28/100)</f>
        <v>485.03</v>
      </c>
      <c r="O364" s="502"/>
    </row>
    <row r="365" spans="1:15">
      <c r="A365" s="155"/>
      <c r="B365" s="406">
        <v>9255229</v>
      </c>
      <c r="C365" s="265" t="s">
        <v>864</v>
      </c>
      <c r="D365" s="266">
        <v>10</v>
      </c>
      <c r="E365" s="332"/>
      <c r="F365" s="333"/>
      <c r="G365" s="367">
        <v>485.03</v>
      </c>
      <c r="H365" s="157" t="str">
        <f t="shared" si="25"/>
        <v>CZK</v>
      </c>
      <c r="I365" s="334"/>
      <c r="J365" s="335" t="s">
        <v>54</v>
      </c>
      <c r="L365" s="97" t="e">
        <f>VLOOKUP(B365,$B$11:B364,1,FALSE)</f>
        <v>#N/A</v>
      </c>
      <c r="M365" s="317">
        <f>G365*(1-FORM!$AE$28/100)</f>
        <v>485.03</v>
      </c>
      <c r="O365" s="502"/>
    </row>
    <row r="366" spans="1:15">
      <c r="A366" s="155"/>
      <c r="B366" s="406">
        <v>9255230</v>
      </c>
      <c r="C366" s="265" t="s">
        <v>865</v>
      </c>
      <c r="D366" s="266">
        <v>10</v>
      </c>
      <c r="E366" s="332"/>
      <c r="F366" s="333"/>
      <c r="G366" s="367">
        <v>493.64</v>
      </c>
      <c r="H366" s="157" t="str">
        <f t="shared" si="25"/>
        <v>CZK</v>
      </c>
      <c r="I366" s="334"/>
      <c r="J366" s="335" t="s">
        <v>54</v>
      </c>
      <c r="L366" s="97" t="e">
        <f>VLOOKUP(B366,$B$11:B365,1,FALSE)</f>
        <v>#N/A</v>
      </c>
      <c r="M366" s="317">
        <f>G366*(1-FORM!$AE$28/100)</f>
        <v>493.64</v>
      </c>
      <c r="O366" s="502"/>
    </row>
    <row r="367" spans="1:15">
      <c r="A367" s="155"/>
      <c r="B367" s="406">
        <v>9255231</v>
      </c>
      <c r="C367" s="265" t="s">
        <v>866</v>
      </c>
      <c r="D367" s="266">
        <v>10</v>
      </c>
      <c r="E367" s="332"/>
      <c r="F367" s="333"/>
      <c r="G367" s="367">
        <v>493.64</v>
      </c>
      <c r="H367" s="157" t="str">
        <f t="shared" si="25"/>
        <v>CZK</v>
      </c>
      <c r="I367" s="334"/>
      <c r="J367" s="335" t="s">
        <v>54</v>
      </c>
      <c r="L367" s="97" t="e">
        <f>VLOOKUP(B367,$B$11:B366,1,FALSE)</f>
        <v>#N/A</v>
      </c>
      <c r="M367" s="317">
        <f>G367*(1-FORM!$AE$28/100)</f>
        <v>493.64</v>
      </c>
      <c r="O367" s="502"/>
    </row>
    <row r="368" spans="1:15">
      <c r="A368" s="155"/>
      <c r="B368" s="406">
        <v>9255232</v>
      </c>
      <c r="C368" s="265" t="s">
        <v>867</v>
      </c>
      <c r="D368" s="266">
        <v>10</v>
      </c>
      <c r="E368" s="332"/>
      <c r="F368" s="333"/>
      <c r="G368" s="367">
        <v>502.25</v>
      </c>
      <c r="H368" s="157" t="str">
        <f t="shared" si="25"/>
        <v>CZK</v>
      </c>
      <c r="I368" s="334"/>
      <c r="J368" s="335" t="s">
        <v>54</v>
      </c>
      <c r="L368" s="97" t="e">
        <f>VLOOKUP(B368,$B$11:B367,1,FALSE)</f>
        <v>#N/A</v>
      </c>
      <c r="M368" s="317">
        <f>G368*(1-FORM!$AE$28/100)</f>
        <v>502.25</v>
      </c>
      <c r="O368" s="502"/>
    </row>
    <row r="369" spans="1:15">
      <c r="A369" s="155"/>
      <c r="B369" s="406">
        <v>9255233</v>
      </c>
      <c r="C369" s="265" t="s">
        <v>868</v>
      </c>
      <c r="D369" s="266">
        <v>10</v>
      </c>
      <c r="E369" s="332"/>
      <c r="F369" s="333"/>
      <c r="G369" s="367">
        <v>502.25</v>
      </c>
      <c r="H369" s="157" t="str">
        <f t="shared" si="25"/>
        <v>CZK</v>
      </c>
      <c r="I369" s="334"/>
      <c r="J369" s="335" t="s">
        <v>54</v>
      </c>
      <c r="L369" s="97" t="e">
        <f>VLOOKUP(B369,$B$11:B368,1,FALSE)</f>
        <v>#N/A</v>
      </c>
      <c r="M369" s="317">
        <f>G369*(1-FORM!$AE$28/100)</f>
        <v>502.25</v>
      </c>
      <c r="O369" s="502"/>
    </row>
    <row r="370" spans="1:15">
      <c r="A370" s="155"/>
      <c r="B370" s="406">
        <v>9255234</v>
      </c>
      <c r="C370" s="265" t="s">
        <v>869</v>
      </c>
      <c r="D370" s="266">
        <v>10</v>
      </c>
      <c r="E370" s="332"/>
      <c r="F370" s="333"/>
      <c r="G370" s="367">
        <v>510.86</v>
      </c>
      <c r="H370" s="157" t="str">
        <f t="shared" si="25"/>
        <v>CZK</v>
      </c>
      <c r="I370" s="334"/>
      <c r="J370" s="335" t="s">
        <v>54</v>
      </c>
      <c r="L370" s="97" t="e">
        <f>VLOOKUP(B370,$B$11:B369,1,FALSE)</f>
        <v>#N/A</v>
      </c>
      <c r="M370" s="317">
        <f>G370*(1-FORM!$AE$28/100)</f>
        <v>510.86</v>
      </c>
      <c r="O370" s="502"/>
    </row>
    <row r="371" spans="1:15">
      <c r="A371" s="155"/>
      <c r="B371" s="406">
        <v>9255235</v>
      </c>
      <c r="C371" s="265" t="s">
        <v>870</v>
      </c>
      <c r="D371" s="266">
        <v>10</v>
      </c>
      <c r="E371" s="332"/>
      <c r="F371" s="333"/>
      <c r="G371" s="367">
        <v>510.86</v>
      </c>
      <c r="H371" s="157" t="str">
        <f t="shared" si="25"/>
        <v>CZK</v>
      </c>
      <c r="I371" s="334"/>
      <c r="J371" s="335" t="s">
        <v>54</v>
      </c>
      <c r="L371" s="97" t="e">
        <f>VLOOKUP(B371,$B$11:B370,1,FALSE)</f>
        <v>#N/A</v>
      </c>
      <c r="M371" s="317">
        <f>G371*(1-FORM!$AE$28/100)</f>
        <v>510.86</v>
      </c>
      <c r="O371" s="502"/>
    </row>
    <row r="372" spans="1:15">
      <c r="A372" s="155"/>
      <c r="B372" s="406">
        <v>9255236</v>
      </c>
      <c r="C372" s="265" t="s">
        <v>871</v>
      </c>
      <c r="D372" s="266">
        <v>10</v>
      </c>
      <c r="E372" s="332"/>
      <c r="F372" s="333"/>
      <c r="G372" s="367">
        <v>523.85</v>
      </c>
      <c r="H372" s="157" t="str">
        <f t="shared" si="25"/>
        <v>CZK</v>
      </c>
      <c r="I372" s="334"/>
      <c r="J372" s="335" t="s">
        <v>54</v>
      </c>
      <c r="L372" s="97" t="e">
        <f>VLOOKUP(B372,$B$11:B371,1,FALSE)</f>
        <v>#N/A</v>
      </c>
      <c r="M372" s="317">
        <f>G372*(1-FORM!$AE$28/100)</f>
        <v>523.85</v>
      </c>
      <c r="O372" s="502"/>
    </row>
    <row r="373" spans="1:15">
      <c r="A373" s="155"/>
      <c r="B373" s="406">
        <v>9255237</v>
      </c>
      <c r="C373" s="265" t="s">
        <v>872</v>
      </c>
      <c r="D373" s="266">
        <v>10</v>
      </c>
      <c r="E373" s="332"/>
      <c r="F373" s="333"/>
      <c r="G373" s="367">
        <v>523.85</v>
      </c>
      <c r="H373" s="157" t="str">
        <f t="shared" si="25"/>
        <v>CZK</v>
      </c>
      <c r="I373" s="334"/>
      <c r="J373" s="335" t="s">
        <v>54</v>
      </c>
      <c r="L373" s="97" t="e">
        <f>VLOOKUP(B373,$B$11:B372,1,FALSE)</f>
        <v>#N/A</v>
      </c>
      <c r="M373" s="317">
        <f>G373*(1-FORM!$AE$28/100)</f>
        <v>523.85</v>
      </c>
      <c r="O373" s="502"/>
    </row>
    <row r="374" spans="1:15">
      <c r="A374" s="155"/>
      <c r="B374" s="406">
        <v>9255238</v>
      </c>
      <c r="C374" s="265" t="s">
        <v>873</v>
      </c>
      <c r="D374" s="266">
        <v>10</v>
      </c>
      <c r="E374" s="332"/>
      <c r="F374" s="333"/>
      <c r="G374" s="367">
        <v>541.51</v>
      </c>
      <c r="H374" s="157" t="str">
        <f t="shared" si="25"/>
        <v>CZK</v>
      </c>
      <c r="I374" s="334"/>
      <c r="J374" s="335" t="s">
        <v>54</v>
      </c>
      <c r="L374" s="97" t="e">
        <f>VLOOKUP(B374,$B$11:B373,1,FALSE)</f>
        <v>#N/A</v>
      </c>
      <c r="M374" s="317">
        <f>G374*(1-FORM!$AE$28/100)</f>
        <v>541.51</v>
      </c>
      <c r="O374" s="502"/>
    </row>
    <row r="375" spans="1:15">
      <c r="A375" s="155"/>
      <c r="B375" s="411">
        <v>9255239</v>
      </c>
      <c r="C375" s="412" t="s">
        <v>874</v>
      </c>
      <c r="D375" s="275">
        <v>10</v>
      </c>
      <c r="E375" s="356"/>
      <c r="F375" s="357"/>
      <c r="G375" s="373">
        <v>541.51</v>
      </c>
      <c r="H375" s="158" t="str">
        <f t="shared" si="25"/>
        <v>CZK</v>
      </c>
      <c r="I375" s="358"/>
      <c r="J375" s="359" t="s">
        <v>54</v>
      </c>
      <c r="L375" s="97" t="e">
        <f>VLOOKUP(B375,$B$11:B374,1,FALSE)</f>
        <v>#N/A</v>
      </c>
      <c r="M375" s="317">
        <f>G375*(1-FORM!$AE$28/100)</f>
        <v>541.51</v>
      </c>
      <c r="O375" s="502"/>
    </row>
    <row r="376" spans="1:15">
      <c r="A376" s="180"/>
      <c r="B376" s="409">
        <v>9257887</v>
      </c>
      <c r="C376" s="271" t="s">
        <v>875</v>
      </c>
      <c r="D376" s="272">
        <v>200</v>
      </c>
      <c r="E376" s="350"/>
      <c r="F376" s="351"/>
      <c r="G376" s="371">
        <v>8.86</v>
      </c>
      <c r="H376" s="254" t="str">
        <f t="shared" si="25"/>
        <v>CZK</v>
      </c>
      <c r="I376" s="352"/>
      <c r="J376" s="353" t="s">
        <v>54</v>
      </c>
      <c r="L376" s="97" t="e">
        <f>VLOOKUP(B376,$B$11:B375,1,FALSE)</f>
        <v>#N/A</v>
      </c>
      <c r="M376" s="317">
        <f>G376*(1-FORM!$AE$28/100)</f>
        <v>8.86</v>
      </c>
      <c r="O376" s="502"/>
    </row>
    <row r="377" spans="1:15">
      <c r="A377" s="180"/>
      <c r="B377" s="411">
        <v>9257888</v>
      </c>
      <c r="C377" s="412" t="s">
        <v>876</v>
      </c>
      <c r="D377" s="275">
        <v>200</v>
      </c>
      <c r="E377" s="356"/>
      <c r="F377" s="357"/>
      <c r="G377" s="373">
        <v>9.51</v>
      </c>
      <c r="H377" s="158" t="str">
        <f t="shared" ref="H377:H390" si="26">IF(G377="","",$H$10)</f>
        <v>CZK</v>
      </c>
      <c r="I377" s="358"/>
      <c r="J377" s="359" t="s">
        <v>54</v>
      </c>
      <c r="L377" s="97" t="e">
        <f>VLOOKUP(B377,$B$11:B376,1,FALSE)</f>
        <v>#N/A</v>
      </c>
      <c r="M377" s="317">
        <f>G377*(1-FORM!$AE$28/100)</f>
        <v>9.51</v>
      </c>
      <c r="O377" s="502"/>
    </row>
    <row r="378" spans="1:15">
      <c r="A378" s="180"/>
      <c r="B378" s="410"/>
      <c r="C378" s="17"/>
      <c r="D378" s="270"/>
      <c r="E378" s="346"/>
      <c r="F378" s="347"/>
      <c r="G378" s="370"/>
      <c r="H378" s="152"/>
      <c r="I378" s="348"/>
      <c r="J378" s="349" t="s">
        <v>54</v>
      </c>
      <c r="L378" s="97" t="e">
        <f>VLOOKUP(B378,$B$11:B377,1,FALSE)</f>
        <v>#N/A</v>
      </c>
      <c r="M378" s="317">
        <f>G378*(1-FORM!$AE$28/100)</f>
        <v>0</v>
      </c>
      <c r="O378" s="502"/>
    </row>
    <row r="379" spans="1:15">
      <c r="A379" s="146"/>
      <c r="B379" s="409">
        <v>9257173</v>
      </c>
      <c r="C379" s="271" t="s">
        <v>877</v>
      </c>
      <c r="D379" s="272">
        <v>1</v>
      </c>
      <c r="E379" s="350"/>
      <c r="F379" s="351"/>
      <c r="G379" s="371">
        <v>890.83</v>
      </c>
      <c r="H379" s="254" t="str">
        <f t="shared" si="26"/>
        <v>CZK</v>
      </c>
      <c r="I379" s="352"/>
      <c r="J379" s="353" t="s">
        <v>54</v>
      </c>
      <c r="L379" s="97" t="e">
        <f>VLOOKUP(B379,$B$11:B378,1,FALSE)</f>
        <v>#N/A</v>
      </c>
      <c r="M379" s="317">
        <f>G379*(1-FORM!$AE$28/100)</f>
        <v>890.83</v>
      </c>
      <c r="O379" s="502"/>
    </row>
    <row r="380" spans="1:15">
      <c r="A380" s="146"/>
      <c r="B380" s="406">
        <v>9257174</v>
      </c>
      <c r="C380" s="265" t="s">
        <v>878</v>
      </c>
      <c r="D380" s="266">
        <v>1</v>
      </c>
      <c r="E380" s="332"/>
      <c r="F380" s="333"/>
      <c r="G380" s="367">
        <v>902.57</v>
      </c>
      <c r="H380" s="157" t="str">
        <f t="shared" si="26"/>
        <v>CZK</v>
      </c>
      <c r="I380" s="334"/>
      <c r="J380" s="335" t="s">
        <v>54</v>
      </c>
      <c r="L380" s="97" t="e">
        <f>VLOOKUP(B380,$B$11:B379,1,FALSE)</f>
        <v>#N/A</v>
      </c>
      <c r="M380" s="317">
        <f>G380*(1-FORM!$AE$28/100)</f>
        <v>902.57</v>
      </c>
      <c r="O380" s="502"/>
    </row>
    <row r="381" spans="1:15">
      <c r="A381" s="146"/>
      <c r="B381" s="406">
        <v>9257175</v>
      </c>
      <c r="C381" s="265" t="s">
        <v>879</v>
      </c>
      <c r="D381" s="266">
        <v>1</v>
      </c>
      <c r="E381" s="332"/>
      <c r="F381" s="333"/>
      <c r="G381" s="367">
        <v>914.31</v>
      </c>
      <c r="H381" s="157" t="str">
        <f t="shared" si="26"/>
        <v>CZK</v>
      </c>
      <c r="I381" s="334"/>
      <c r="J381" s="335" t="s">
        <v>54</v>
      </c>
      <c r="L381" s="97" t="e">
        <f>VLOOKUP(B381,$B$11:B380,1,FALSE)</f>
        <v>#N/A</v>
      </c>
      <c r="M381" s="317">
        <f>G381*(1-FORM!$AE$28/100)</f>
        <v>914.31</v>
      </c>
      <c r="O381" s="502"/>
    </row>
    <row r="382" spans="1:15">
      <c r="A382" s="146"/>
      <c r="B382" s="406">
        <v>9257176</v>
      </c>
      <c r="C382" s="265" t="s">
        <v>880</v>
      </c>
      <c r="D382" s="266">
        <v>1</v>
      </c>
      <c r="E382" s="332"/>
      <c r="F382" s="333"/>
      <c r="G382" s="367">
        <v>926.05</v>
      </c>
      <c r="H382" s="157" t="str">
        <f t="shared" si="26"/>
        <v>CZK</v>
      </c>
      <c r="I382" s="334"/>
      <c r="J382" s="335" t="s">
        <v>54</v>
      </c>
      <c r="L382" s="97" t="e">
        <f>VLOOKUP(B382,$B$11:B381,1,FALSE)</f>
        <v>#N/A</v>
      </c>
      <c r="M382" s="317">
        <f>G382*(1-FORM!$AE$28/100)</f>
        <v>926.05</v>
      </c>
      <c r="O382" s="502"/>
    </row>
    <row r="383" spans="1:15">
      <c r="A383" s="146"/>
      <c r="B383" s="406">
        <v>9257177</v>
      </c>
      <c r="C383" s="265" t="s">
        <v>881</v>
      </c>
      <c r="D383" s="266">
        <v>1</v>
      </c>
      <c r="E383" s="332"/>
      <c r="F383" s="333"/>
      <c r="G383" s="367">
        <v>937.8</v>
      </c>
      <c r="H383" s="157" t="str">
        <f t="shared" si="26"/>
        <v>CZK</v>
      </c>
      <c r="I383" s="334"/>
      <c r="J383" s="335" t="s">
        <v>54</v>
      </c>
      <c r="L383" s="97" t="e">
        <f>VLOOKUP(B383,$B$11:B382,1,FALSE)</f>
        <v>#N/A</v>
      </c>
      <c r="M383" s="317">
        <f>G383*(1-FORM!$AE$28/100)</f>
        <v>937.8</v>
      </c>
      <c r="O383" s="502"/>
    </row>
    <row r="384" spans="1:15">
      <c r="A384" s="146"/>
      <c r="B384" s="406">
        <v>9257178</v>
      </c>
      <c r="C384" s="265" t="s">
        <v>882</v>
      </c>
      <c r="D384" s="266">
        <v>1</v>
      </c>
      <c r="E384" s="332"/>
      <c r="F384" s="333"/>
      <c r="G384" s="367">
        <v>955.51</v>
      </c>
      <c r="H384" s="157" t="str">
        <f t="shared" si="26"/>
        <v>CZK</v>
      </c>
      <c r="I384" s="334"/>
      <c r="J384" s="335" t="s">
        <v>54</v>
      </c>
      <c r="L384" s="97" t="e">
        <f>VLOOKUP(B384,$B$11:B383,1,FALSE)</f>
        <v>#N/A</v>
      </c>
      <c r="M384" s="317">
        <f>G384*(1-FORM!$AE$28/100)</f>
        <v>955.51</v>
      </c>
      <c r="O384" s="502"/>
    </row>
    <row r="385" spans="1:15">
      <c r="A385" s="146"/>
      <c r="B385" s="411">
        <v>9257179</v>
      </c>
      <c r="C385" s="412" t="s">
        <v>883</v>
      </c>
      <c r="D385" s="275">
        <v>1</v>
      </c>
      <c r="E385" s="356"/>
      <c r="F385" s="357"/>
      <c r="G385" s="373">
        <v>979.59</v>
      </c>
      <c r="H385" s="158" t="str">
        <f t="shared" si="26"/>
        <v>CZK</v>
      </c>
      <c r="I385" s="358"/>
      <c r="J385" s="359" t="s">
        <v>54</v>
      </c>
      <c r="L385" s="97" t="e">
        <f>VLOOKUP(B385,$B$11:B384,1,FALSE)</f>
        <v>#N/A</v>
      </c>
      <c r="M385" s="317">
        <f>G385*(1-FORM!$AE$28/100)</f>
        <v>979.59</v>
      </c>
      <c r="O385" s="502"/>
    </row>
    <row r="386" spans="1:15">
      <c r="A386" s="153"/>
      <c r="B386" s="409">
        <v>9257180</v>
      </c>
      <c r="C386" s="271" t="s">
        <v>884</v>
      </c>
      <c r="D386" s="272">
        <v>1</v>
      </c>
      <c r="E386" s="350"/>
      <c r="F386" s="351"/>
      <c r="G386" s="371">
        <v>890.83</v>
      </c>
      <c r="H386" s="254" t="str">
        <f t="shared" si="26"/>
        <v>CZK</v>
      </c>
      <c r="I386" s="352"/>
      <c r="J386" s="353" t="s">
        <v>54</v>
      </c>
      <c r="L386" s="97" t="e">
        <f>VLOOKUP(B386,$B$11:B385,1,FALSE)</f>
        <v>#N/A</v>
      </c>
      <c r="M386" s="317">
        <f>G386*(1-FORM!$AE$28/100)</f>
        <v>890.83</v>
      </c>
      <c r="O386" s="502"/>
    </row>
    <row r="387" spans="1:15">
      <c r="A387" s="153"/>
      <c r="B387" s="406">
        <v>9257181</v>
      </c>
      <c r="C387" s="265" t="s">
        <v>885</v>
      </c>
      <c r="D387" s="266">
        <v>1</v>
      </c>
      <c r="E387" s="332"/>
      <c r="F387" s="333"/>
      <c r="G387" s="367">
        <v>902.57</v>
      </c>
      <c r="H387" s="157" t="str">
        <f t="shared" si="26"/>
        <v>CZK</v>
      </c>
      <c r="I387" s="334"/>
      <c r="J387" s="335" t="s">
        <v>54</v>
      </c>
      <c r="L387" s="97" t="e">
        <f>VLOOKUP(B387,$B$11:B386,1,FALSE)</f>
        <v>#N/A</v>
      </c>
      <c r="M387" s="317">
        <f>G387*(1-FORM!$AE$28/100)</f>
        <v>902.57</v>
      </c>
      <c r="O387" s="502"/>
    </row>
    <row r="388" spans="1:15">
      <c r="A388" s="153"/>
      <c r="B388" s="406">
        <v>9257182</v>
      </c>
      <c r="C388" s="265" t="s">
        <v>886</v>
      </c>
      <c r="D388" s="266">
        <v>1</v>
      </c>
      <c r="E388" s="332"/>
      <c r="F388" s="333"/>
      <c r="G388" s="367">
        <v>914.31</v>
      </c>
      <c r="H388" s="157" t="str">
        <f t="shared" si="26"/>
        <v>CZK</v>
      </c>
      <c r="I388" s="334"/>
      <c r="J388" s="335" t="s">
        <v>54</v>
      </c>
      <c r="L388" s="97" t="e">
        <f>VLOOKUP(B388,$B$11:B387,1,FALSE)</f>
        <v>#N/A</v>
      </c>
      <c r="M388" s="317">
        <f>G388*(1-FORM!$AE$28/100)</f>
        <v>914.31</v>
      </c>
      <c r="O388" s="502"/>
    </row>
    <row r="389" spans="1:15">
      <c r="A389" s="153"/>
      <c r="B389" s="406">
        <v>9257183</v>
      </c>
      <c r="C389" s="265" t="s">
        <v>887</v>
      </c>
      <c r="D389" s="266">
        <v>1</v>
      </c>
      <c r="E389" s="332"/>
      <c r="F389" s="333"/>
      <c r="G389" s="367">
        <v>926.05</v>
      </c>
      <c r="H389" s="157" t="str">
        <f t="shared" si="26"/>
        <v>CZK</v>
      </c>
      <c r="I389" s="334"/>
      <c r="J389" s="335" t="s">
        <v>54</v>
      </c>
      <c r="L389" s="97" t="e">
        <f>VLOOKUP(B389,$B$11:B388,1,FALSE)</f>
        <v>#N/A</v>
      </c>
      <c r="M389" s="317">
        <f>G389*(1-FORM!$AE$28/100)</f>
        <v>926.05</v>
      </c>
      <c r="O389" s="502"/>
    </row>
    <row r="390" spans="1:15">
      <c r="A390" s="153"/>
      <c r="B390" s="406">
        <v>9257184</v>
      </c>
      <c r="C390" s="265" t="s">
        <v>888</v>
      </c>
      <c r="D390" s="266">
        <v>1</v>
      </c>
      <c r="E390" s="332"/>
      <c r="F390" s="333"/>
      <c r="G390" s="367">
        <v>937.8</v>
      </c>
      <c r="H390" s="157" t="str">
        <f t="shared" si="26"/>
        <v>CZK</v>
      </c>
      <c r="I390" s="334"/>
      <c r="J390" s="335" t="s">
        <v>54</v>
      </c>
      <c r="L390" s="97" t="e">
        <f>VLOOKUP(B390,$B$11:B389,1,FALSE)</f>
        <v>#N/A</v>
      </c>
      <c r="M390" s="317">
        <f>G390*(1-FORM!$AE$28/100)</f>
        <v>937.8</v>
      </c>
      <c r="O390" s="502"/>
    </row>
    <row r="391" spans="1:15">
      <c r="A391" s="153"/>
      <c r="B391" s="406">
        <v>9257185</v>
      </c>
      <c r="C391" s="265" t="s">
        <v>889</v>
      </c>
      <c r="D391" s="266">
        <v>1</v>
      </c>
      <c r="E391" s="332"/>
      <c r="F391" s="333"/>
      <c r="G391" s="367">
        <v>955.51</v>
      </c>
      <c r="H391" s="157" t="str">
        <f>IF(G391="","",$H$10)</f>
        <v>CZK</v>
      </c>
      <c r="I391" s="334"/>
      <c r="J391" s="335" t="s">
        <v>54</v>
      </c>
      <c r="L391" s="97" t="e">
        <f>VLOOKUP(B391,$B$11:B390,1,FALSE)</f>
        <v>#N/A</v>
      </c>
      <c r="M391" s="317">
        <f>G391*(1-FORM!$AE$28/100)</f>
        <v>955.51</v>
      </c>
      <c r="O391" s="502"/>
    </row>
    <row r="392" spans="1:15">
      <c r="A392" s="153"/>
      <c r="B392" s="411">
        <v>9257186</v>
      </c>
      <c r="C392" s="412" t="s">
        <v>890</v>
      </c>
      <c r="D392" s="275">
        <v>1</v>
      </c>
      <c r="E392" s="356"/>
      <c r="F392" s="357"/>
      <c r="G392" s="373">
        <v>979.59</v>
      </c>
      <c r="H392" s="158" t="str">
        <f t="shared" ref="H392:H399" si="27">IF(G392="","",$H$10)</f>
        <v>CZK</v>
      </c>
      <c r="I392" s="358"/>
      <c r="J392" s="359" t="s">
        <v>54</v>
      </c>
      <c r="L392" s="97" t="e">
        <f>VLOOKUP(B392,$B$11:B391,1,FALSE)</f>
        <v>#N/A</v>
      </c>
      <c r="M392" s="317">
        <f>G392*(1-FORM!$AE$28/100)</f>
        <v>979.59</v>
      </c>
      <c r="O392" s="502"/>
    </row>
    <row r="393" spans="1:15">
      <c r="A393" s="155"/>
      <c r="B393" s="409">
        <v>9257187</v>
      </c>
      <c r="C393" s="271" t="s">
        <v>891</v>
      </c>
      <c r="D393" s="272">
        <v>1</v>
      </c>
      <c r="E393" s="350"/>
      <c r="F393" s="351"/>
      <c r="G393" s="371">
        <v>890.83</v>
      </c>
      <c r="H393" s="254" t="str">
        <f t="shared" si="27"/>
        <v>CZK</v>
      </c>
      <c r="I393" s="352"/>
      <c r="J393" s="353" t="s">
        <v>54</v>
      </c>
      <c r="L393" s="97" t="e">
        <f>VLOOKUP(B393,$B$11:B392,1,FALSE)</f>
        <v>#N/A</v>
      </c>
      <c r="M393" s="317">
        <f>G393*(1-FORM!$AE$28/100)</f>
        <v>890.83</v>
      </c>
      <c r="O393" s="502"/>
    </row>
    <row r="394" spans="1:15">
      <c r="A394" s="155"/>
      <c r="B394" s="406">
        <v>9257188</v>
      </c>
      <c r="C394" s="265" t="s">
        <v>892</v>
      </c>
      <c r="D394" s="266">
        <v>1</v>
      </c>
      <c r="E394" s="332"/>
      <c r="F394" s="333"/>
      <c r="G394" s="367">
        <v>902.57</v>
      </c>
      <c r="H394" s="157" t="str">
        <f t="shared" si="27"/>
        <v>CZK</v>
      </c>
      <c r="I394" s="334"/>
      <c r="J394" s="335" t="s">
        <v>54</v>
      </c>
      <c r="L394" s="97" t="e">
        <f>VLOOKUP(B394,$B$11:B393,1,FALSE)</f>
        <v>#N/A</v>
      </c>
      <c r="M394" s="317">
        <f>G394*(1-FORM!$AE$28/100)</f>
        <v>902.57</v>
      </c>
      <c r="O394" s="502"/>
    </row>
    <row r="395" spans="1:15">
      <c r="A395" s="155"/>
      <c r="B395" s="406">
        <v>9257189</v>
      </c>
      <c r="C395" s="265" t="s">
        <v>893</v>
      </c>
      <c r="D395" s="266">
        <v>1</v>
      </c>
      <c r="E395" s="332"/>
      <c r="F395" s="333"/>
      <c r="G395" s="367">
        <v>914.31</v>
      </c>
      <c r="H395" s="157" t="str">
        <f t="shared" si="27"/>
        <v>CZK</v>
      </c>
      <c r="I395" s="334"/>
      <c r="J395" s="335" t="s">
        <v>54</v>
      </c>
      <c r="L395" s="97" t="e">
        <f>VLOOKUP(B395,$B$11:B394,1,FALSE)</f>
        <v>#N/A</v>
      </c>
      <c r="M395" s="317">
        <f>G395*(1-FORM!$AE$28/100)</f>
        <v>914.31</v>
      </c>
      <c r="O395" s="502"/>
    </row>
    <row r="396" spans="1:15">
      <c r="A396" s="155"/>
      <c r="B396" s="406">
        <v>9257190</v>
      </c>
      <c r="C396" s="265" t="s">
        <v>894</v>
      </c>
      <c r="D396" s="266">
        <v>1</v>
      </c>
      <c r="E396" s="332"/>
      <c r="F396" s="333"/>
      <c r="G396" s="367">
        <v>926.05</v>
      </c>
      <c r="H396" s="157" t="str">
        <f t="shared" si="27"/>
        <v>CZK</v>
      </c>
      <c r="I396" s="334"/>
      <c r="J396" s="335" t="s">
        <v>54</v>
      </c>
      <c r="L396" s="97" t="e">
        <f>VLOOKUP(B396,$B$11:B395,1,FALSE)</f>
        <v>#N/A</v>
      </c>
      <c r="M396" s="317">
        <f>G396*(1-FORM!$AE$28/100)</f>
        <v>926.05</v>
      </c>
      <c r="O396" s="502"/>
    </row>
    <row r="397" spans="1:15">
      <c r="A397" s="155"/>
      <c r="B397" s="406">
        <v>9257191</v>
      </c>
      <c r="C397" s="265" t="s">
        <v>895</v>
      </c>
      <c r="D397" s="266">
        <v>1</v>
      </c>
      <c r="E397" s="332"/>
      <c r="F397" s="333"/>
      <c r="G397" s="367">
        <v>937.8</v>
      </c>
      <c r="H397" s="157" t="str">
        <f t="shared" si="27"/>
        <v>CZK</v>
      </c>
      <c r="I397" s="334"/>
      <c r="J397" s="335" t="s">
        <v>54</v>
      </c>
      <c r="L397" s="97" t="e">
        <f>VLOOKUP(B397,$B$11:B396,1,FALSE)</f>
        <v>#N/A</v>
      </c>
      <c r="M397" s="317">
        <f>G397*(1-FORM!$AE$28/100)</f>
        <v>937.8</v>
      </c>
      <c r="O397" s="502"/>
    </row>
    <row r="398" spans="1:15">
      <c r="A398" s="155"/>
      <c r="B398" s="406">
        <v>9257192</v>
      </c>
      <c r="C398" s="265" t="s">
        <v>896</v>
      </c>
      <c r="D398" s="266">
        <v>1</v>
      </c>
      <c r="E398" s="332"/>
      <c r="F398" s="333"/>
      <c r="G398" s="367">
        <v>955.51</v>
      </c>
      <c r="H398" s="157" t="str">
        <f t="shared" si="27"/>
        <v>CZK</v>
      </c>
      <c r="I398" s="334"/>
      <c r="J398" s="335" t="s">
        <v>54</v>
      </c>
      <c r="L398" s="97" t="e">
        <f>VLOOKUP(B398,$B$11:B397,1,FALSE)</f>
        <v>#N/A</v>
      </c>
      <c r="M398" s="317">
        <f>G398*(1-FORM!$AE$28/100)</f>
        <v>955.51</v>
      </c>
      <c r="O398" s="502"/>
    </row>
    <row r="399" spans="1:15">
      <c r="A399" s="155"/>
      <c r="B399" s="411">
        <v>9257193</v>
      </c>
      <c r="C399" s="412" t="s">
        <v>897</v>
      </c>
      <c r="D399" s="275">
        <v>1</v>
      </c>
      <c r="E399" s="356"/>
      <c r="F399" s="357"/>
      <c r="G399" s="373">
        <v>979.59</v>
      </c>
      <c r="H399" s="158" t="str">
        <f t="shared" si="27"/>
        <v>CZK</v>
      </c>
      <c r="I399" s="358"/>
      <c r="J399" s="359" t="s">
        <v>54</v>
      </c>
      <c r="L399" s="97" t="e">
        <f>VLOOKUP(B399,$B$11:B398,1,FALSE)</f>
        <v>#N/A</v>
      </c>
      <c r="M399" s="317">
        <f>G399*(1-FORM!$AE$28/100)</f>
        <v>979.59</v>
      </c>
      <c r="O399" s="502"/>
    </row>
    <row r="400" spans="1:15">
      <c r="A400" s="146"/>
      <c r="B400" s="409">
        <v>9257131</v>
      </c>
      <c r="C400" s="271" t="s">
        <v>898</v>
      </c>
      <c r="D400" s="272">
        <v>10</v>
      </c>
      <c r="E400" s="350"/>
      <c r="F400" s="351"/>
      <c r="G400" s="371">
        <v>324.87</v>
      </c>
      <c r="H400" s="254" t="str">
        <f>IF(G400="","",$H$10)</f>
        <v>CZK</v>
      </c>
      <c r="I400" s="352"/>
      <c r="J400" s="353" t="s">
        <v>54</v>
      </c>
      <c r="L400" s="97" t="e">
        <f>VLOOKUP(B400,$B$11:B399,1,FALSE)</f>
        <v>#N/A</v>
      </c>
      <c r="M400" s="317">
        <f>G400*(1-FORM!$AE$28/100)</f>
        <v>324.87</v>
      </c>
      <c r="O400" s="502"/>
    </row>
    <row r="401" spans="1:15">
      <c r="A401" s="146"/>
      <c r="B401" s="406">
        <v>9257132</v>
      </c>
      <c r="C401" s="265" t="s">
        <v>899</v>
      </c>
      <c r="D401" s="266">
        <v>10</v>
      </c>
      <c r="E401" s="332"/>
      <c r="F401" s="333"/>
      <c r="G401" s="367">
        <v>324.87</v>
      </c>
      <c r="H401" s="157" t="str">
        <f>IF(G401="","",$H$10)</f>
        <v>CZK</v>
      </c>
      <c r="I401" s="334"/>
      <c r="J401" s="335" t="s">
        <v>54</v>
      </c>
      <c r="L401" s="97" t="e">
        <f>VLOOKUP(B401,$B$11:B400,1,FALSE)</f>
        <v>#N/A</v>
      </c>
      <c r="M401" s="317">
        <f>G401*(1-FORM!$AE$28/100)</f>
        <v>324.87</v>
      </c>
      <c r="O401" s="502"/>
    </row>
    <row r="402" spans="1:15">
      <c r="A402" s="146"/>
      <c r="B402" s="406">
        <v>9257133</v>
      </c>
      <c r="C402" s="265" t="s">
        <v>900</v>
      </c>
      <c r="D402" s="266">
        <v>10</v>
      </c>
      <c r="E402" s="332"/>
      <c r="F402" s="333"/>
      <c r="G402" s="367">
        <v>330.74</v>
      </c>
      <c r="H402" s="157" t="str">
        <f t="shared" ref="H402:H428" si="28">IF(G402="","",$H$10)</f>
        <v>CZK</v>
      </c>
      <c r="I402" s="334"/>
      <c r="J402" s="335" t="s">
        <v>54</v>
      </c>
      <c r="L402" s="97" t="e">
        <f>VLOOKUP(B402,$B$11:B401,1,FALSE)</f>
        <v>#N/A</v>
      </c>
      <c r="M402" s="317">
        <f>G402*(1-FORM!$AE$28/100)</f>
        <v>330.74</v>
      </c>
      <c r="O402" s="502"/>
    </row>
    <row r="403" spans="1:15">
      <c r="A403" s="146"/>
      <c r="B403" s="406">
        <v>9257134</v>
      </c>
      <c r="C403" s="265" t="s">
        <v>901</v>
      </c>
      <c r="D403" s="266">
        <v>10</v>
      </c>
      <c r="E403" s="332"/>
      <c r="F403" s="333"/>
      <c r="G403" s="367">
        <v>330.74</v>
      </c>
      <c r="H403" s="157" t="str">
        <f t="shared" si="28"/>
        <v>CZK</v>
      </c>
      <c r="I403" s="334"/>
      <c r="J403" s="335" t="s">
        <v>54</v>
      </c>
      <c r="L403" s="97" t="e">
        <f>VLOOKUP(B403,$B$11:B402,1,FALSE)</f>
        <v>#N/A</v>
      </c>
      <c r="M403" s="317">
        <f>G403*(1-FORM!$AE$28/100)</f>
        <v>330.74</v>
      </c>
      <c r="O403" s="502"/>
    </row>
    <row r="404" spans="1:15">
      <c r="A404" s="146"/>
      <c r="B404" s="406">
        <v>9257135</v>
      </c>
      <c r="C404" s="265" t="s">
        <v>902</v>
      </c>
      <c r="D404" s="266">
        <v>10</v>
      </c>
      <c r="E404" s="332"/>
      <c r="F404" s="333"/>
      <c r="G404" s="367">
        <v>336.61</v>
      </c>
      <c r="H404" s="157" t="str">
        <f t="shared" si="28"/>
        <v>CZK</v>
      </c>
      <c r="I404" s="334"/>
      <c r="J404" s="335" t="s">
        <v>54</v>
      </c>
      <c r="L404" s="97" t="e">
        <f>VLOOKUP(B404,$B$11:B403,1,FALSE)</f>
        <v>#N/A</v>
      </c>
      <c r="M404" s="317">
        <f>G404*(1-FORM!$AE$28/100)</f>
        <v>336.61</v>
      </c>
      <c r="O404" s="502"/>
    </row>
    <row r="405" spans="1:15">
      <c r="A405" s="146"/>
      <c r="B405" s="406">
        <v>9257136</v>
      </c>
      <c r="C405" s="265" t="s">
        <v>903</v>
      </c>
      <c r="D405" s="266">
        <v>10</v>
      </c>
      <c r="E405" s="332"/>
      <c r="F405" s="333"/>
      <c r="G405" s="367">
        <v>336.61</v>
      </c>
      <c r="H405" s="157" t="str">
        <f t="shared" si="28"/>
        <v>CZK</v>
      </c>
      <c r="I405" s="334"/>
      <c r="J405" s="335" t="s">
        <v>54</v>
      </c>
      <c r="L405" s="97" t="e">
        <f>VLOOKUP(B405,$B$11:B404,1,FALSE)</f>
        <v>#N/A</v>
      </c>
      <c r="M405" s="317">
        <f>G405*(1-FORM!$AE$28/100)</f>
        <v>336.61</v>
      </c>
      <c r="O405" s="502"/>
    </row>
    <row r="406" spans="1:15">
      <c r="A406" s="146"/>
      <c r="B406" s="406">
        <v>9257137</v>
      </c>
      <c r="C406" s="265" t="s">
        <v>904</v>
      </c>
      <c r="D406" s="266">
        <v>10</v>
      </c>
      <c r="E406" s="332"/>
      <c r="F406" s="333"/>
      <c r="G406" s="367">
        <v>342.48</v>
      </c>
      <c r="H406" s="157" t="str">
        <f t="shared" si="28"/>
        <v>CZK</v>
      </c>
      <c r="I406" s="334"/>
      <c r="J406" s="335" t="s">
        <v>54</v>
      </c>
      <c r="L406" s="97" t="e">
        <f>VLOOKUP(B406,$B$11:B405,1,FALSE)</f>
        <v>#N/A</v>
      </c>
      <c r="M406" s="317">
        <f>G406*(1-FORM!$AE$28/100)</f>
        <v>342.48</v>
      </c>
      <c r="O406" s="502"/>
    </row>
    <row r="407" spans="1:15">
      <c r="A407" s="146"/>
      <c r="B407" s="406">
        <v>9257138</v>
      </c>
      <c r="C407" s="265" t="s">
        <v>905</v>
      </c>
      <c r="D407" s="266">
        <v>10</v>
      </c>
      <c r="E407" s="332"/>
      <c r="F407" s="333"/>
      <c r="G407" s="367">
        <v>342.48</v>
      </c>
      <c r="H407" s="157" t="str">
        <f t="shared" si="28"/>
        <v>CZK</v>
      </c>
      <c r="I407" s="334"/>
      <c r="J407" s="335" t="s">
        <v>54</v>
      </c>
      <c r="L407" s="97" t="e">
        <f>VLOOKUP(B407,$B$11:B406,1,FALSE)</f>
        <v>#N/A</v>
      </c>
      <c r="M407" s="317">
        <f>G407*(1-FORM!$AE$28/100)</f>
        <v>342.48</v>
      </c>
      <c r="O407" s="502"/>
    </row>
    <row r="408" spans="1:15">
      <c r="A408" s="146"/>
      <c r="B408" s="406">
        <v>9257139</v>
      </c>
      <c r="C408" s="265" t="s">
        <v>906</v>
      </c>
      <c r="D408" s="266">
        <v>10</v>
      </c>
      <c r="E408" s="332"/>
      <c r="F408" s="333"/>
      <c r="G408" s="367">
        <v>348.35</v>
      </c>
      <c r="H408" s="157" t="str">
        <f>IF(G408="","",$H$10)</f>
        <v>CZK</v>
      </c>
      <c r="I408" s="334"/>
      <c r="J408" s="335" t="s">
        <v>54</v>
      </c>
      <c r="L408" s="97" t="e">
        <f>VLOOKUP(B408,$B$11:B407,1,FALSE)</f>
        <v>#N/A</v>
      </c>
      <c r="M408" s="317">
        <f>G408*(1-FORM!$AE$28/100)</f>
        <v>348.35</v>
      </c>
      <c r="O408" s="502"/>
    </row>
    <row r="409" spans="1:15">
      <c r="A409" s="146"/>
      <c r="B409" s="406">
        <v>9257140</v>
      </c>
      <c r="C409" s="265" t="s">
        <v>907</v>
      </c>
      <c r="D409" s="266">
        <v>10</v>
      </c>
      <c r="E409" s="332"/>
      <c r="F409" s="333"/>
      <c r="G409" s="367">
        <v>348.35</v>
      </c>
      <c r="H409" s="157" t="str">
        <f>IF(G409="","",$H$10)</f>
        <v>CZK</v>
      </c>
      <c r="I409" s="334"/>
      <c r="J409" s="335" t="s">
        <v>54</v>
      </c>
      <c r="L409" s="97" t="e">
        <f>VLOOKUP(B409,$B$11:B408,1,FALSE)</f>
        <v>#N/A</v>
      </c>
      <c r="M409" s="317">
        <f>G409*(1-FORM!$AE$28/100)</f>
        <v>348.35</v>
      </c>
      <c r="O409" s="502"/>
    </row>
    <row r="410" spans="1:15">
      <c r="A410" s="146"/>
      <c r="B410" s="406">
        <v>9257141</v>
      </c>
      <c r="C410" s="265" t="s">
        <v>908</v>
      </c>
      <c r="D410" s="266">
        <v>10</v>
      </c>
      <c r="E410" s="332"/>
      <c r="F410" s="333"/>
      <c r="G410" s="367">
        <v>357.21</v>
      </c>
      <c r="H410" s="157" t="str">
        <f t="shared" si="28"/>
        <v>CZK</v>
      </c>
      <c r="I410" s="334"/>
      <c r="J410" s="335" t="s">
        <v>54</v>
      </c>
      <c r="L410" s="97" t="e">
        <f>VLOOKUP(B410,$B$11:B409,1,FALSE)</f>
        <v>#N/A</v>
      </c>
      <c r="M410" s="317">
        <f>G410*(1-FORM!$AE$28/100)</f>
        <v>357.21</v>
      </c>
      <c r="O410" s="502"/>
    </row>
    <row r="411" spans="1:15">
      <c r="A411" s="146"/>
      <c r="B411" s="406">
        <v>9257142</v>
      </c>
      <c r="C411" s="265" t="s">
        <v>909</v>
      </c>
      <c r="D411" s="266">
        <v>10</v>
      </c>
      <c r="E411" s="332"/>
      <c r="F411" s="333"/>
      <c r="G411" s="367">
        <v>357.21</v>
      </c>
      <c r="H411" s="157" t="str">
        <f t="shared" si="28"/>
        <v>CZK</v>
      </c>
      <c r="I411" s="334"/>
      <c r="J411" s="335" t="s">
        <v>54</v>
      </c>
      <c r="L411" s="97" t="e">
        <f>VLOOKUP(B411,$B$11:B410,1,FALSE)</f>
        <v>#N/A</v>
      </c>
      <c r="M411" s="317">
        <f>G411*(1-FORM!$AE$28/100)</f>
        <v>357.21</v>
      </c>
      <c r="O411" s="502"/>
    </row>
    <row r="412" spans="1:15">
      <c r="A412" s="146"/>
      <c r="B412" s="406">
        <v>9257143</v>
      </c>
      <c r="C412" s="265" t="s">
        <v>910</v>
      </c>
      <c r="D412" s="266">
        <v>10</v>
      </c>
      <c r="E412" s="332"/>
      <c r="F412" s="333"/>
      <c r="G412" s="367">
        <v>369.25</v>
      </c>
      <c r="H412" s="157" t="str">
        <f t="shared" si="28"/>
        <v>CZK</v>
      </c>
      <c r="I412" s="334"/>
      <c r="J412" s="335" t="s">
        <v>54</v>
      </c>
      <c r="L412" s="97" t="e">
        <f>VLOOKUP(B412,$B$11:B411,1,FALSE)</f>
        <v>#N/A</v>
      </c>
      <c r="M412" s="317">
        <f>G412*(1-FORM!$AE$28/100)</f>
        <v>369.25</v>
      </c>
      <c r="O412" s="502"/>
    </row>
    <row r="413" spans="1:15">
      <c r="A413" s="146"/>
      <c r="B413" s="411">
        <v>9257144</v>
      </c>
      <c r="C413" s="412" t="s">
        <v>911</v>
      </c>
      <c r="D413" s="275">
        <v>10</v>
      </c>
      <c r="E413" s="356"/>
      <c r="F413" s="357"/>
      <c r="G413" s="373">
        <v>369.25</v>
      </c>
      <c r="H413" s="158" t="str">
        <f t="shared" si="28"/>
        <v>CZK</v>
      </c>
      <c r="I413" s="358"/>
      <c r="J413" s="359" t="s">
        <v>54</v>
      </c>
      <c r="L413" s="97" t="e">
        <f>VLOOKUP(B413,$B$11:B412,1,FALSE)</f>
        <v>#N/A</v>
      </c>
      <c r="M413" s="317">
        <f>G413*(1-FORM!$AE$28/100)</f>
        <v>369.25</v>
      </c>
      <c r="O413" s="502"/>
    </row>
    <row r="414" spans="1:15">
      <c r="A414" s="153"/>
      <c r="B414" s="409">
        <v>9257145</v>
      </c>
      <c r="C414" s="271" t="s">
        <v>912</v>
      </c>
      <c r="D414" s="272">
        <v>10</v>
      </c>
      <c r="E414" s="350"/>
      <c r="F414" s="351"/>
      <c r="G414" s="371">
        <v>324.87</v>
      </c>
      <c r="H414" s="254" t="str">
        <f t="shared" si="28"/>
        <v>CZK</v>
      </c>
      <c r="I414" s="352"/>
      <c r="J414" s="353" t="s">
        <v>54</v>
      </c>
      <c r="L414" s="97" t="e">
        <f>VLOOKUP(B414,$B$11:B413,1,FALSE)</f>
        <v>#N/A</v>
      </c>
      <c r="M414" s="317">
        <f>G414*(1-FORM!$AE$28/100)</f>
        <v>324.87</v>
      </c>
      <c r="O414" s="502"/>
    </row>
    <row r="415" spans="1:15">
      <c r="A415" s="153"/>
      <c r="B415" s="406">
        <v>9257146</v>
      </c>
      <c r="C415" s="265" t="s">
        <v>913</v>
      </c>
      <c r="D415" s="266">
        <v>10</v>
      </c>
      <c r="E415" s="332"/>
      <c r="F415" s="333"/>
      <c r="G415" s="367">
        <v>324.87</v>
      </c>
      <c r="H415" s="157" t="str">
        <f t="shared" si="28"/>
        <v>CZK</v>
      </c>
      <c r="I415" s="334"/>
      <c r="J415" s="335" t="s">
        <v>54</v>
      </c>
      <c r="L415" s="97" t="e">
        <f>VLOOKUP(B415,$B$11:B414,1,FALSE)</f>
        <v>#N/A</v>
      </c>
      <c r="M415" s="317">
        <f>G415*(1-FORM!$AE$28/100)</f>
        <v>324.87</v>
      </c>
      <c r="O415" s="502"/>
    </row>
    <row r="416" spans="1:15">
      <c r="A416" s="153"/>
      <c r="B416" s="406">
        <v>9257147</v>
      </c>
      <c r="C416" s="265" t="s">
        <v>914</v>
      </c>
      <c r="D416" s="266">
        <v>10</v>
      </c>
      <c r="E416" s="332"/>
      <c r="F416" s="333"/>
      <c r="G416" s="367">
        <v>330.74</v>
      </c>
      <c r="H416" s="157" t="str">
        <f t="shared" si="28"/>
        <v>CZK</v>
      </c>
      <c r="I416" s="334"/>
      <c r="J416" s="335" t="s">
        <v>54</v>
      </c>
      <c r="L416" s="97" t="e">
        <f>VLOOKUP(B416,$B$11:B415,1,FALSE)</f>
        <v>#N/A</v>
      </c>
      <c r="M416" s="317">
        <f>G416*(1-FORM!$AE$28/100)</f>
        <v>330.74</v>
      </c>
      <c r="O416" s="502"/>
    </row>
    <row r="417" spans="1:15">
      <c r="A417" s="153"/>
      <c r="B417" s="406">
        <v>9257148</v>
      </c>
      <c r="C417" s="265" t="s">
        <v>915</v>
      </c>
      <c r="D417" s="266">
        <v>10</v>
      </c>
      <c r="E417" s="332"/>
      <c r="F417" s="333"/>
      <c r="G417" s="367">
        <v>330.74</v>
      </c>
      <c r="H417" s="157" t="str">
        <f t="shared" si="28"/>
        <v>CZK</v>
      </c>
      <c r="I417" s="334"/>
      <c r="J417" s="335" t="s">
        <v>54</v>
      </c>
      <c r="L417" s="97" t="e">
        <f>VLOOKUP(B417,$B$11:B416,1,FALSE)</f>
        <v>#N/A</v>
      </c>
      <c r="M417" s="317">
        <f>G417*(1-FORM!$AE$28/100)</f>
        <v>330.74</v>
      </c>
      <c r="O417" s="502"/>
    </row>
    <row r="418" spans="1:15">
      <c r="A418" s="153"/>
      <c r="B418" s="406">
        <v>9257149</v>
      </c>
      <c r="C418" s="265" t="s">
        <v>916</v>
      </c>
      <c r="D418" s="266">
        <v>10</v>
      </c>
      <c r="E418" s="332"/>
      <c r="F418" s="333"/>
      <c r="G418" s="367">
        <v>336.61</v>
      </c>
      <c r="H418" s="157" t="str">
        <f t="shared" si="28"/>
        <v>CZK</v>
      </c>
      <c r="I418" s="334"/>
      <c r="J418" s="335" t="s">
        <v>54</v>
      </c>
      <c r="L418" s="97" t="e">
        <f>VLOOKUP(B418,$B$11:B417,1,FALSE)</f>
        <v>#N/A</v>
      </c>
      <c r="M418" s="317">
        <f>G418*(1-FORM!$AE$28/100)</f>
        <v>336.61</v>
      </c>
      <c r="O418" s="502"/>
    </row>
    <row r="419" spans="1:15">
      <c r="A419" s="153"/>
      <c r="B419" s="406">
        <v>9257150</v>
      </c>
      <c r="C419" s="265" t="s">
        <v>917</v>
      </c>
      <c r="D419" s="266">
        <v>10</v>
      </c>
      <c r="E419" s="332"/>
      <c r="F419" s="333"/>
      <c r="G419" s="367">
        <v>336.61</v>
      </c>
      <c r="H419" s="157" t="str">
        <f t="shared" si="28"/>
        <v>CZK</v>
      </c>
      <c r="I419" s="334"/>
      <c r="J419" s="335" t="s">
        <v>54</v>
      </c>
      <c r="L419" s="97" t="e">
        <f>VLOOKUP(B419,$B$11:B418,1,FALSE)</f>
        <v>#N/A</v>
      </c>
      <c r="M419" s="317">
        <f>G419*(1-FORM!$AE$28/100)</f>
        <v>336.61</v>
      </c>
      <c r="O419" s="502"/>
    </row>
    <row r="420" spans="1:15">
      <c r="A420" s="153"/>
      <c r="B420" s="406">
        <v>9257151</v>
      </c>
      <c r="C420" s="265" t="s">
        <v>918</v>
      </c>
      <c r="D420" s="266">
        <v>10</v>
      </c>
      <c r="E420" s="332"/>
      <c r="F420" s="333"/>
      <c r="G420" s="367">
        <v>342.48</v>
      </c>
      <c r="H420" s="157" t="str">
        <f t="shared" si="28"/>
        <v>CZK</v>
      </c>
      <c r="I420" s="334"/>
      <c r="J420" s="335" t="s">
        <v>54</v>
      </c>
      <c r="L420" s="97" t="e">
        <f>VLOOKUP(B420,$B$11:B419,1,FALSE)</f>
        <v>#N/A</v>
      </c>
      <c r="M420" s="317">
        <f>G420*(1-FORM!$AE$28/100)</f>
        <v>342.48</v>
      </c>
      <c r="O420" s="502"/>
    </row>
    <row r="421" spans="1:15">
      <c r="A421" s="153"/>
      <c r="B421" s="406">
        <v>9257152</v>
      </c>
      <c r="C421" s="265" t="s">
        <v>919</v>
      </c>
      <c r="D421" s="266">
        <v>10</v>
      </c>
      <c r="E421" s="332"/>
      <c r="F421" s="333"/>
      <c r="G421" s="367">
        <v>342.48</v>
      </c>
      <c r="H421" s="157" t="str">
        <f t="shared" si="28"/>
        <v>CZK</v>
      </c>
      <c r="I421" s="334"/>
      <c r="J421" s="335" t="s">
        <v>54</v>
      </c>
      <c r="L421" s="97" t="e">
        <f>VLOOKUP(B421,$B$11:B420,1,FALSE)</f>
        <v>#N/A</v>
      </c>
      <c r="M421" s="317">
        <f>G421*(1-FORM!$AE$28/100)</f>
        <v>342.48</v>
      </c>
      <c r="O421" s="502"/>
    </row>
    <row r="422" spans="1:15">
      <c r="A422" s="153"/>
      <c r="B422" s="406">
        <v>9257153</v>
      </c>
      <c r="C422" s="265" t="s">
        <v>920</v>
      </c>
      <c r="D422" s="266">
        <v>10</v>
      </c>
      <c r="E422" s="332"/>
      <c r="F422" s="333"/>
      <c r="G422" s="367">
        <v>348.35</v>
      </c>
      <c r="H422" s="157" t="str">
        <f t="shared" si="28"/>
        <v>CZK</v>
      </c>
      <c r="I422" s="334"/>
      <c r="J422" s="335" t="s">
        <v>54</v>
      </c>
      <c r="L422" s="97" t="e">
        <f>VLOOKUP(B422,$B$11:B421,1,FALSE)</f>
        <v>#N/A</v>
      </c>
      <c r="M422" s="317">
        <f>G422*(1-FORM!$AE$28/100)</f>
        <v>348.35</v>
      </c>
      <c r="O422" s="502"/>
    </row>
    <row r="423" spans="1:15">
      <c r="A423" s="153"/>
      <c r="B423" s="406">
        <v>9257154</v>
      </c>
      <c r="C423" s="265" t="s">
        <v>921</v>
      </c>
      <c r="D423" s="266">
        <v>10</v>
      </c>
      <c r="E423" s="332"/>
      <c r="F423" s="333"/>
      <c r="G423" s="367">
        <v>348.35</v>
      </c>
      <c r="H423" s="157" t="str">
        <f t="shared" si="28"/>
        <v>CZK</v>
      </c>
      <c r="I423" s="334"/>
      <c r="J423" s="335" t="s">
        <v>54</v>
      </c>
      <c r="L423" s="97" t="e">
        <f>VLOOKUP(B423,$B$11:B422,1,FALSE)</f>
        <v>#N/A</v>
      </c>
      <c r="M423" s="317">
        <f>G423*(1-FORM!$AE$28/100)</f>
        <v>348.35</v>
      </c>
      <c r="O423" s="502"/>
    </row>
    <row r="424" spans="1:15">
      <c r="A424" s="153"/>
      <c r="B424" s="406">
        <v>9257155</v>
      </c>
      <c r="C424" s="265" t="s">
        <v>922</v>
      </c>
      <c r="D424" s="266">
        <v>10</v>
      </c>
      <c r="E424" s="332"/>
      <c r="F424" s="333"/>
      <c r="G424" s="367">
        <v>357.21</v>
      </c>
      <c r="H424" s="157" t="str">
        <f t="shared" si="28"/>
        <v>CZK</v>
      </c>
      <c r="I424" s="334"/>
      <c r="J424" s="335" t="s">
        <v>54</v>
      </c>
      <c r="L424" s="97" t="e">
        <f>VLOOKUP(B424,$B$11:B423,1,FALSE)</f>
        <v>#N/A</v>
      </c>
      <c r="M424" s="317">
        <f>G424*(1-FORM!$AE$28/100)</f>
        <v>357.21</v>
      </c>
      <c r="O424" s="502"/>
    </row>
    <row r="425" spans="1:15">
      <c r="A425" s="153"/>
      <c r="B425" s="406">
        <v>9257156</v>
      </c>
      <c r="C425" s="265" t="s">
        <v>923</v>
      </c>
      <c r="D425" s="266">
        <v>10</v>
      </c>
      <c r="E425" s="332"/>
      <c r="F425" s="333"/>
      <c r="G425" s="367">
        <v>357.21</v>
      </c>
      <c r="H425" s="157" t="str">
        <f t="shared" si="28"/>
        <v>CZK</v>
      </c>
      <c r="I425" s="334"/>
      <c r="J425" s="335" t="s">
        <v>54</v>
      </c>
      <c r="L425" s="97" t="e">
        <f>VLOOKUP(B425,$B$11:B424,1,FALSE)</f>
        <v>#N/A</v>
      </c>
      <c r="M425" s="317">
        <f>G425*(1-FORM!$AE$28/100)</f>
        <v>357.21</v>
      </c>
      <c r="O425" s="502"/>
    </row>
    <row r="426" spans="1:15">
      <c r="A426" s="153"/>
      <c r="B426" s="406">
        <v>9257157</v>
      </c>
      <c r="C426" s="265" t="s">
        <v>924</v>
      </c>
      <c r="D426" s="266">
        <v>10</v>
      </c>
      <c r="E426" s="332"/>
      <c r="F426" s="333"/>
      <c r="G426" s="367">
        <v>369.25</v>
      </c>
      <c r="H426" s="157" t="str">
        <f t="shared" si="28"/>
        <v>CZK</v>
      </c>
      <c r="I426" s="334"/>
      <c r="J426" s="335" t="s">
        <v>54</v>
      </c>
      <c r="L426" s="97" t="e">
        <f>VLOOKUP(B426,$B$11:B425,1,FALSE)</f>
        <v>#N/A</v>
      </c>
      <c r="M426" s="317">
        <f>G426*(1-FORM!$AE$28/100)</f>
        <v>369.25</v>
      </c>
      <c r="O426" s="502"/>
    </row>
    <row r="427" spans="1:15">
      <c r="A427" s="153"/>
      <c r="B427" s="411">
        <v>9257158</v>
      </c>
      <c r="C427" s="412" t="s">
        <v>925</v>
      </c>
      <c r="D427" s="275">
        <v>10</v>
      </c>
      <c r="E427" s="356"/>
      <c r="F427" s="357"/>
      <c r="G427" s="373">
        <v>369.25</v>
      </c>
      <c r="H427" s="158" t="str">
        <f t="shared" si="28"/>
        <v>CZK</v>
      </c>
      <c r="I427" s="358"/>
      <c r="J427" s="359" t="s">
        <v>54</v>
      </c>
      <c r="L427" s="97" t="e">
        <f>VLOOKUP(B427,$B$11:B426,1,FALSE)</f>
        <v>#N/A</v>
      </c>
      <c r="M427" s="317">
        <f>G427*(1-FORM!$AE$28/100)</f>
        <v>369.25</v>
      </c>
      <c r="O427" s="502"/>
    </row>
    <row r="428" spans="1:15">
      <c r="A428" s="155"/>
      <c r="B428" s="409">
        <v>9257159</v>
      </c>
      <c r="C428" s="271" t="s">
        <v>926</v>
      </c>
      <c r="D428" s="272">
        <v>10</v>
      </c>
      <c r="E428" s="350"/>
      <c r="F428" s="351"/>
      <c r="G428" s="371">
        <v>324.87</v>
      </c>
      <c r="H428" s="254" t="str">
        <f t="shared" si="28"/>
        <v>CZK</v>
      </c>
      <c r="I428" s="352"/>
      <c r="J428" s="353" t="s">
        <v>54</v>
      </c>
      <c r="L428" s="97" t="e">
        <f>VLOOKUP(B428,$B$11:B427,1,FALSE)</f>
        <v>#N/A</v>
      </c>
      <c r="M428" s="317">
        <f>G428*(1-FORM!$AE$28/100)</f>
        <v>324.87</v>
      </c>
      <c r="O428" s="502"/>
    </row>
    <row r="429" spans="1:15">
      <c r="A429" s="155"/>
      <c r="B429" s="406">
        <v>9257160</v>
      </c>
      <c r="C429" s="265" t="s">
        <v>927</v>
      </c>
      <c r="D429" s="266">
        <v>10</v>
      </c>
      <c r="E429" s="332"/>
      <c r="F429" s="333"/>
      <c r="G429" s="367">
        <v>324.87</v>
      </c>
      <c r="H429" s="157" t="str">
        <f t="shared" ref="H429:H443" si="29">IF(G429="","",$H$10)</f>
        <v>CZK</v>
      </c>
      <c r="I429" s="334"/>
      <c r="J429" s="335" t="s">
        <v>54</v>
      </c>
      <c r="L429" s="97" t="e">
        <f>VLOOKUP(B429,$B$11:B428,1,FALSE)</f>
        <v>#N/A</v>
      </c>
      <c r="M429" s="317">
        <f>G429*(1-FORM!$AE$28/100)</f>
        <v>324.87</v>
      </c>
      <c r="O429" s="502"/>
    </row>
    <row r="430" spans="1:15">
      <c r="A430" s="155"/>
      <c r="B430" s="406">
        <v>9257161</v>
      </c>
      <c r="C430" s="265" t="s">
        <v>928</v>
      </c>
      <c r="D430" s="266">
        <v>10</v>
      </c>
      <c r="E430" s="332"/>
      <c r="F430" s="333"/>
      <c r="G430" s="367">
        <v>330.74</v>
      </c>
      <c r="H430" s="157" t="str">
        <f t="shared" si="29"/>
        <v>CZK</v>
      </c>
      <c r="I430" s="334"/>
      <c r="J430" s="335" t="s">
        <v>54</v>
      </c>
      <c r="L430" s="97" t="e">
        <f>VLOOKUP(B430,$B$11:B429,1,FALSE)</f>
        <v>#N/A</v>
      </c>
      <c r="M430" s="317">
        <f>G430*(1-FORM!$AE$28/100)</f>
        <v>330.74</v>
      </c>
      <c r="O430" s="502"/>
    </row>
    <row r="431" spans="1:15">
      <c r="A431" s="155"/>
      <c r="B431" s="406">
        <v>9257162</v>
      </c>
      <c r="C431" s="265" t="s">
        <v>929</v>
      </c>
      <c r="D431" s="266">
        <v>10</v>
      </c>
      <c r="E431" s="332"/>
      <c r="F431" s="333"/>
      <c r="G431" s="367">
        <v>330.74</v>
      </c>
      <c r="H431" s="157" t="str">
        <f t="shared" si="29"/>
        <v>CZK</v>
      </c>
      <c r="I431" s="334"/>
      <c r="J431" s="335" t="s">
        <v>54</v>
      </c>
      <c r="L431" s="97" t="e">
        <f>VLOOKUP(B431,$B$11:B430,1,FALSE)</f>
        <v>#N/A</v>
      </c>
      <c r="M431" s="317">
        <f>G431*(1-FORM!$AE$28/100)</f>
        <v>330.74</v>
      </c>
      <c r="O431" s="502"/>
    </row>
    <row r="432" spans="1:15">
      <c r="A432" s="155"/>
      <c r="B432" s="406">
        <v>9257163</v>
      </c>
      <c r="C432" s="265" t="s">
        <v>930</v>
      </c>
      <c r="D432" s="266">
        <v>10</v>
      </c>
      <c r="E432" s="332"/>
      <c r="F432" s="333"/>
      <c r="G432" s="367">
        <v>336.61</v>
      </c>
      <c r="H432" s="157" t="str">
        <f t="shared" si="29"/>
        <v>CZK</v>
      </c>
      <c r="I432" s="334"/>
      <c r="J432" s="335" t="s">
        <v>54</v>
      </c>
      <c r="L432" s="97" t="e">
        <f>VLOOKUP(B432,$B$11:B431,1,FALSE)</f>
        <v>#N/A</v>
      </c>
      <c r="M432" s="317">
        <f>G432*(1-FORM!$AE$28/100)</f>
        <v>336.61</v>
      </c>
      <c r="O432" s="502"/>
    </row>
    <row r="433" spans="1:15">
      <c r="A433" s="155"/>
      <c r="B433" s="406">
        <v>9257164</v>
      </c>
      <c r="C433" s="265" t="s">
        <v>931</v>
      </c>
      <c r="D433" s="266">
        <v>10</v>
      </c>
      <c r="E433" s="332"/>
      <c r="F433" s="333"/>
      <c r="G433" s="367">
        <v>336.61</v>
      </c>
      <c r="H433" s="157" t="str">
        <f t="shared" si="29"/>
        <v>CZK</v>
      </c>
      <c r="I433" s="334"/>
      <c r="J433" s="335" t="s">
        <v>54</v>
      </c>
      <c r="L433" s="97" t="e">
        <f>VLOOKUP(B433,$B$11:B432,1,FALSE)</f>
        <v>#N/A</v>
      </c>
      <c r="M433" s="317">
        <f>G433*(1-FORM!$AE$28/100)</f>
        <v>336.61</v>
      </c>
      <c r="O433" s="502"/>
    </row>
    <row r="434" spans="1:15">
      <c r="A434" s="155"/>
      <c r="B434" s="406">
        <v>9257165</v>
      </c>
      <c r="C434" s="265" t="s">
        <v>932</v>
      </c>
      <c r="D434" s="266">
        <v>10</v>
      </c>
      <c r="E434" s="332"/>
      <c r="F434" s="333"/>
      <c r="G434" s="367">
        <v>342.48</v>
      </c>
      <c r="H434" s="157" t="str">
        <f t="shared" si="29"/>
        <v>CZK</v>
      </c>
      <c r="I434" s="334"/>
      <c r="J434" s="335" t="s">
        <v>54</v>
      </c>
      <c r="L434" s="97" t="e">
        <f>VLOOKUP(B434,$B$11:B433,1,FALSE)</f>
        <v>#N/A</v>
      </c>
      <c r="M434" s="317">
        <f>G434*(1-FORM!$AE$28/100)</f>
        <v>342.48</v>
      </c>
      <c r="O434" s="502"/>
    </row>
    <row r="435" spans="1:15">
      <c r="A435" s="155"/>
      <c r="B435" s="406">
        <v>9257166</v>
      </c>
      <c r="C435" s="265" t="s">
        <v>933</v>
      </c>
      <c r="D435" s="266">
        <v>10</v>
      </c>
      <c r="E435" s="332"/>
      <c r="F435" s="333"/>
      <c r="G435" s="367">
        <v>342.48</v>
      </c>
      <c r="H435" s="157" t="str">
        <f t="shared" si="29"/>
        <v>CZK</v>
      </c>
      <c r="I435" s="334"/>
      <c r="J435" s="335" t="s">
        <v>54</v>
      </c>
      <c r="L435" s="97" t="e">
        <f>VLOOKUP(B435,$B$11:B434,1,FALSE)</f>
        <v>#N/A</v>
      </c>
      <c r="M435" s="317">
        <f>G435*(1-FORM!$AE$28/100)</f>
        <v>342.48</v>
      </c>
      <c r="O435" s="502"/>
    </row>
    <row r="436" spans="1:15">
      <c r="A436" s="155"/>
      <c r="B436" s="406">
        <v>9257167</v>
      </c>
      <c r="C436" s="265" t="s">
        <v>934</v>
      </c>
      <c r="D436" s="266">
        <v>10</v>
      </c>
      <c r="E436" s="332"/>
      <c r="F436" s="333"/>
      <c r="G436" s="367">
        <v>348.35</v>
      </c>
      <c r="H436" s="157" t="str">
        <f t="shared" si="29"/>
        <v>CZK</v>
      </c>
      <c r="I436" s="334"/>
      <c r="J436" s="335" t="s">
        <v>54</v>
      </c>
      <c r="L436" s="97" t="e">
        <f>VLOOKUP(B436,$B$11:B435,1,FALSE)</f>
        <v>#N/A</v>
      </c>
      <c r="M436" s="317">
        <f>G436*(1-FORM!$AE$28/100)</f>
        <v>348.35</v>
      </c>
      <c r="O436" s="502"/>
    </row>
    <row r="437" spans="1:15">
      <c r="A437" s="155"/>
      <c r="B437" s="406">
        <v>9257168</v>
      </c>
      <c r="C437" s="265" t="s">
        <v>935</v>
      </c>
      <c r="D437" s="266">
        <v>10</v>
      </c>
      <c r="E437" s="332"/>
      <c r="F437" s="333"/>
      <c r="G437" s="367">
        <v>348.35</v>
      </c>
      <c r="H437" s="157" t="str">
        <f t="shared" si="29"/>
        <v>CZK</v>
      </c>
      <c r="I437" s="334"/>
      <c r="J437" s="335" t="s">
        <v>54</v>
      </c>
      <c r="L437" s="97" t="e">
        <f>VLOOKUP(B437,$B$11:B436,1,FALSE)</f>
        <v>#N/A</v>
      </c>
      <c r="M437" s="317">
        <f>G437*(1-FORM!$AE$28/100)</f>
        <v>348.35</v>
      </c>
      <c r="O437" s="502"/>
    </row>
    <row r="438" spans="1:15">
      <c r="A438" s="155"/>
      <c r="B438" s="406">
        <v>9257169</v>
      </c>
      <c r="C438" s="265" t="s">
        <v>936</v>
      </c>
      <c r="D438" s="266">
        <v>10</v>
      </c>
      <c r="E438" s="332"/>
      <c r="F438" s="333"/>
      <c r="G438" s="367">
        <v>357.21</v>
      </c>
      <c r="H438" s="157" t="str">
        <f t="shared" si="29"/>
        <v>CZK</v>
      </c>
      <c r="I438" s="334"/>
      <c r="J438" s="335" t="s">
        <v>54</v>
      </c>
      <c r="L438" s="97" t="e">
        <f>VLOOKUP(B438,$B$11:B437,1,FALSE)</f>
        <v>#N/A</v>
      </c>
      <c r="M438" s="317">
        <f>G438*(1-FORM!$AE$28/100)</f>
        <v>357.21</v>
      </c>
      <c r="O438" s="502"/>
    </row>
    <row r="439" spans="1:15">
      <c r="A439" s="155"/>
      <c r="B439" s="406">
        <v>9257170</v>
      </c>
      <c r="C439" s="265" t="s">
        <v>937</v>
      </c>
      <c r="D439" s="266">
        <v>10</v>
      </c>
      <c r="E439" s="332"/>
      <c r="F439" s="333"/>
      <c r="G439" s="367">
        <v>357.21</v>
      </c>
      <c r="H439" s="157" t="str">
        <f t="shared" si="29"/>
        <v>CZK</v>
      </c>
      <c r="I439" s="334"/>
      <c r="J439" s="335" t="s">
        <v>54</v>
      </c>
      <c r="L439" s="97" t="e">
        <f>VLOOKUP(B439,$B$11:B438,1,FALSE)</f>
        <v>#N/A</v>
      </c>
      <c r="M439" s="317">
        <f>G439*(1-FORM!$AE$28/100)</f>
        <v>357.21</v>
      </c>
      <c r="O439" s="502"/>
    </row>
    <row r="440" spans="1:15">
      <c r="A440" s="155"/>
      <c r="B440" s="406">
        <v>9257171</v>
      </c>
      <c r="C440" s="265" t="s">
        <v>938</v>
      </c>
      <c r="D440" s="266">
        <v>10</v>
      </c>
      <c r="E440" s="332"/>
      <c r="F440" s="333"/>
      <c r="G440" s="367">
        <v>369.25</v>
      </c>
      <c r="H440" s="157" t="str">
        <f t="shared" si="29"/>
        <v>CZK</v>
      </c>
      <c r="I440" s="334"/>
      <c r="J440" s="335" t="s">
        <v>54</v>
      </c>
      <c r="L440" s="97" t="e">
        <f>VLOOKUP(B440,$B$11:B439,1,FALSE)</f>
        <v>#N/A</v>
      </c>
      <c r="M440" s="317">
        <f>G440*(1-FORM!$AE$28/100)</f>
        <v>369.25</v>
      </c>
      <c r="O440" s="502"/>
    </row>
    <row r="441" spans="1:15">
      <c r="A441" s="155"/>
      <c r="B441" s="411">
        <v>9257172</v>
      </c>
      <c r="C441" s="412" t="s">
        <v>939</v>
      </c>
      <c r="D441" s="275">
        <v>10</v>
      </c>
      <c r="E441" s="356"/>
      <c r="F441" s="357"/>
      <c r="G441" s="373">
        <v>369.25</v>
      </c>
      <c r="H441" s="158" t="str">
        <f t="shared" si="29"/>
        <v>CZK</v>
      </c>
      <c r="I441" s="358"/>
      <c r="J441" s="359" t="s">
        <v>54</v>
      </c>
      <c r="L441" s="97" t="e">
        <f>VLOOKUP(B441,$B$11:B440,1,FALSE)</f>
        <v>#N/A</v>
      </c>
      <c r="M441" s="317">
        <f>G441*(1-FORM!$AE$28/100)</f>
        <v>369.25</v>
      </c>
      <c r="O441" s="502"/>
    </row>
    <row r="442" spans="1:15">
      <c r="A442" s="180"/>
      <c r="B442" s="409">
        <v>9257257</v>
      </c>
      <c r="C442" s="271" t="s">
        <v>940</v>
      </c>
      <c r="D442" s="272">
        <v>200</v>
      </c>
      <c r="E442" s="350"/>
      <c r="F442" s="351"/>
      <c r="G442" s="371">
        <v>53.15</v>
      </c>
      <c r="H442" s="254" t="str">
        <f t="shared" si="29"/>
        <v>CZK</v>
      </c>
      <c r="I442" s="352"/>
      <c r="J442" s="353" t="s">
        <v>54</v>
      </c>
      <c r="L442" s="97" t="e">
        <f>VLOOKUP(B442,$B$11:B441,1,FALSE)</f>
        <v>#N/A</v>
      </c>
      <c r="M442" s="317">
        <f>G442*(1-FORM!$AE$28/100)</f>
        <v>53.15</v>
      </c>
      <c r="O442" s="502"/>
    </row>
    <row r="443" spans="1:15">
      <c r="A443" s="180"/>
      <c r="B443" s="406">
        <v>9257258</v>
      </c>
      <c r="C443" s="265" t="s">
        <v>941</v>
      </c>
      <c r="D443" s="266">
        <v>200</v>
      </c>
      <c r="E443" s="332"/>
      <c r="F443" s="333"/>
      <c r="G443" s="367">
        <v>53.8</v>
      </c>
      <c r="H443" s="157" t="str">
        <f t="shared" si="29"/>
        <v>CZK</v>
      </c>
      <c r="I443" s="334"/>
      <c r="J443" s="335" t="s">
        <v>54</v>
      </c>
      <c r="L443" s="97" t="e">
        <f>VLOOKUP(B443,$B$11:B442,1,FALSE)</f>
        <v>#N/A</v>
      </c>
      <c r="M443" s="317">
        <f>G443*(1-FORM!$AE$28/100)</f>
        <v>53.8</v>
      </c>
      <c r="O443" s="502"/>
    </row>
    <row r="444" spans="1:15">
      <c r="A444" s="180"/>
      <c r="B444" s="411">
        <v>9268677</v>
      </c>
      <c r="C444" s="412" t="s">
        <v>942</v>
      </c>
      <c r="D444" s="275">
        <v>1</v>
      </c>
      <c r="E444" s="356"/>
      <c r="F444" s="357"/>
      <c r="G444" s="373">
        <v>26.57</v>
      </c>
      <c r="H444" s="158" t="str">
        <f t="shared" ref="H444:H457" si="30">IF(G444="","",$H$10)</f>
        <v>CZK</v>
      </c>
      <c r="I444" s="358"/>
      <c r="J444" s="359" t="s">
        <v>54</v>
      </c>
      <c r="L444" s="97" t="e">
        <f>VLOOKUP(B444,$B$11:B443,1,FALSE)</f>
        <v>#N/A</v>
      </c>
      <c r="M444" s="317">
        <f>G444*(1-FORM!$AE$28/100)</f>
        <v>26.57</v>
      </c>
      <c r="O444" s="502"/>
    </row>
    <row r="445" spans="1:15">
      <c r="A445" s="180"/>
      <c r="B445" s="411"/>
      <c r="C445" s="412"/>
      <c r="D445" s="275"/>
      <c r="E445" s="356"/>
      <c r="F445" s="357"/>
      <c r="G445" s="373"/>
      <c r="H445" s="158"/>
      <c r="I445" s="358"/>
      <c r="J445" s="359" t="s">
        <v>54</v>
      </c>
      <c r="L445" s="97" t="e">
        <f>VLOOKUP(B445,$B$11:B444,1,FALSE)</f>
        <v>#N/A</v>
      </c>
      <c r="M445" s="317">
        <f>G445*(1-FORM!$AE$28/100)</f>
        <v>0</v>
      </c>
      <c r="O445" s="502"/>
    </row>
    <row r="446" spans="1:15">
      <c r="A446" s="146"/>
      <c r="B446" s="409">
        <v>9257269</v>
      </c>
      <c r="C446" s="271" t="s">
        <v>943</v>
      </c>
      <c r="D446" s="272">
        <v>1</v>
      </c>
      <c r="E446" s="350"/>
      <c r="F446" s="351"/>
      <c r="G446" s="371">
        <v>1421.71</v>
      </c>
      <c r="H446" s="254" t="str">
        <f t="shared" si="30"/>
        <v>CZK</v>
      </c>
      <c r="I446" s="352"/>
      <c r="J446" s="353" t="s">
        <v>54</v>
      </c>
      <c r="L446" s="97" t="e">
        <f>VLOOKUP(B446,$B$11:B445,1,FALSE)</f>
        <v>#N/A</v>
      </c>
      <c r="M446" s="317">
        <f>G446*(1-FORM!$AE$28/100)</f>
        <v>1421.71</v>
      </c>
      <c r="O446" s="502"/>
    </row>
    <row r="447" spans="1:15">
      <c r="A447" s="146"/>
      <c r="B447" s="406">
        <v>9257270</v>
      </c>
      <c r="C447" s="265" t="s">
        <v>944</v>
      </c>
      <c r="D447" s="266">
        <v>1</v>
      </c>
      <c r="E447" s="332"/>
      <c r="F447" s="333"/>
      <c r="G447" s="367">
        <v>1700.74</v>
      </c>
      <c r="H447" s="157" t="str">
        <f t="shared" si="30"/>
        <v>CZK</v>
      </c>
      <c r="I447" s="334"/>
      <c r="J447" s="335" t="s">
        <v>54</v>
      </c>
      <c r="L447" s="97" t="e">
        <f>VLOOKUP(B447,$B$11:B446,1,FALSE)</f>
        <v>#N/A</v>
      </c>
      <c r="M447" s="317">
        <f>G447*(1-FORM!$AE$28/100)</f>
        <v>1700.74</v>
      </c>
      <c r="O447" s="502"/>
    </row>
    <row r="448" spans="1:15">
      <c r="A448" s="146"/>
      <c r="B448" s="411">
        <v>9257271</v>
      </c>
      <c r="C448" s="412" t="s">
        <v>945</v>
      </c>
      <c r="D448" s="275">
        <v>1</v>
      </c>
      <c r="E448" s="356"/>
      <c r="F448" s="357"/>
      <c r="G448" s="373">
        <v>2125.92</v>
      </c>
      <c r="H448" s="158" t="str">
        <f t="shared" si="30"/>
        <v>CZK</v>
      </c>
      <c r="I448" s="358"/>
      <c r="J448" s="359" t="s">
        <v>54</v>
      </c>
      <c r="L448" s="97" t="e">
        <f>VLOOKUP(B448,$B$11:B447,1,FALSE)</f>
        <v>#N/A</v>
      </c>
      <c r="M448" s="317">
        <f>G448*(1-FORM!$AE$28/100)</f>
        <v>2125.92</v>
      </c>
      <c r="O448" s="502"/>
    </row>
    <row r="449" spans="1:15">
      <c r="A449" s="153"/>
      <c r="B449" s="409">
        <v>9257273</v>
      </c>
      <c r="C449" s="271" t="s">
        <v>946</v>
      </c>
      <c r="D449" s="272">
        <v>1</v>
      </c>
      <c r="E449" s="350"/>
      <c r="F449" s="351"/>
      <c r="G449" s="371">
        <v>1421.71</v>
      </c>
      <c r="H449" s="254" t="str">
        <f t="shared" si="30"/>
        <v>CZK</v>
      </c>
      <c r="I449" s="352"/>
      <c r="J449" s="353" t="s">
        <v>54</v>
      </c>
      <c r="L449" s="97" t="e">
        <f>VLOOKUP(B449,$B$11:B448,1,FALSE)</f>
        <v>#N/A</v>
      </c>
      <c r="M449" s="317">
        <f>G449*(1-FORM!$AE$28/100)</f>
        <v>1421.71</v>
      </c>
      <c r="O449" s="502"/>
    </row>
    <row r="450" spans="1:15">
      <c r="A450" s="153"/>
      <c r="B450" s="406">
        <v>9257274</v>
      </c>
      <c r="C450" s="265" t="s">
        <v>947</v>
      </c>
      <c r="D450" s="266">
        <v>1</v>
      </c>
      <c r="E450" s="332"/>
      <c r="F450" s="333"/>
      <c r="G450" s="367">
        <v>1700.74</v>
      </c>
      <c r="H450" s="157" t="str">
        <f t="shared" si="30"/>
        <v>CZK</v>
      </c>
      <c r="I450" s="334"/>
      <c r="J450" s="335" t="s">
        <v>54</v>
      </c>
      <c r="L450" s="97" t="e">
        <f>VLOOKUP(B450,$B$11:B449,1,FALSE)</f>
        <v>#N/A</v>
      </c>
      <c r="M450" s="317">
        <f>G450*(1-FORM!$AE$28/100)</f>
        <v>1700.74</v>
      </c>
      <c r="O450" s="502"/>
    </row>
    <row r="451" spans="1:15">
      <c r="A451" s="153"/>
      <c r="B451" s="411">
        <v>9257275</v>
      </c>
      <c r="C451" s="412" t="s">
        <v>948</v>
      </c>
      <c r="D451" s="275">
        <v>1</v>
      </c>
      <c r="E451" s="356"/>
      <c r="F451" s="357"/>
      <c r="G451" s="373">
        <v>2125.92</v>
      </c>
      <c r="H451" s="158" t="str">
        <f t="shared" si="30"/>
        <v>CZK</v>
      </c>
      <c r="I451" s="358"/>
      <c r="J451" s="359" t="s">
        <v>54</v>
      </c>
      <c r="L451" s="97" t="e">
        <f>VLOOKUP(B451,$B$11:B450,1,FALSE)</f>
        <v>#N/A</v>
      </c>
      <c r="M451" s="317">
        <f>G451*(1-FORM!$AE$28/100)</f>
        <v>2125.92</v>
      </c>
      <c r="O451" s="502"/>
    </row>
    <row r="452" spans="1:15">
      <c r="A452" s="155"/>
      <c r="B452" s="409">
        <v>9257277</v>
      </c>
      <c r="C452" s="271" t="s">
        <v>949</v>
      </c>
      <c r="D452" s="272">
        <v>1</v>
      </c>
      <c r="E452" s="350"/>
      <c r="F452" s="351"/>
      <c r="G452" s="371">
        <v>1421.71</v>
      </c>
      <c r="H452" s="254" t="str">
        <f t="shared" si="30"/>
        <v>CZK</v>
      </c>
      <c r="I452" s="352"/>
      <c r="J452" s="353" t="s">
        <v>54</v>
      </c>
      <c r="L452" s="97" t="e">
        <f>VLOOKUP(B452,$B$11:B451,1,FALSE)</f>
        <v>#N/A</v>
      </c>
      <c r="M452" s="317">
        <f>G452*(1-FORM!$AE$28/100)</f>
        <v>1421.71</v>
      </c>
      <c r="O452" s="502"/>
    </row>
    <row r="453" spans="1:15">
      <c r="A453" s="155"/>
      <c r="B453" s="406">
        <v>9257278</v>
      </c>
      <c r="C453" s="265" t="s">
        <v>950</v>
      </c>
      <c r="D453" s="266">
        <v>1</v>
      </c>
      <c r="E453" s="332"/>
      <c r="F453" s="333"/>
      <c r="G453" s="367">
        <v>1700.74</v>
      </c>
      <c r="H453" s="157" t="str">
        <f t="shared" si="30"/>
        <v>CZK</v>
      </c>
      <c r="I453" s="334"/>
      <c r="J453" s="335" t="s">
        <v>54</v>
      </c>
      <c r="L453" s="97" t="e">
        <f>VLOOKUP(B453,$B$11:B452,1,FALSE)</f>
        <v>#N/A</v>
      </c>
      <c r="M453" s="317">
        <f>G453*(1-FORM!$AE$28/100)</f>
        <v>1700.74</v>
      </c>
      <c r="O453" s="502"/>
    </row>
    <row r="454" spans="1:15">
      <c r="A454" s="155"/>
      <c r="B454" s="411">
        <v>9257279</v>
      </c>
      <c r="C454" s="412" t="s">
        <v>951</v>
      </c>
      <c r="D454" s="275">
        <v>1</v>
      </c>
      <c r="E454" s="356"/>
      <c r="F454" s="357"/>
      <c r="G454" s="373">
        <v>2125.92</v>
      </c>
      <c r="H454" s="158" t="str">
        <f t="shared" si="30"/>
        <v>CZK</v>
      </c>
      <c r="I454" s="358"/>
      <c r="J454" s="359" t="s">
        <v>54</v>
      </c>
      <c r="L454" s="97" t="e">
        <f>VLOOKUP(B454,$B$11:B453,1,FALSE)</f>
        <v>#N/A</v>
      </c>
      <c r="M454" s="317">
        <f>G454*(1-FORM!$AE$28/100)</f>
        <v>2125.92</v>
      </c>
      <c r="O454" s="502"/>
    </row>
    <row r="455" spans="1:15">
      <c r="A455" s="146"/>
      <c r="B455" s="409">
        <v>9257611</v>
      </c>
      <c r="C455" s="271" t="s">
        <v>952</v>
      </c>
      <c r="D455" s="272">
        <v>1</v>
      </c>
      <c r="E455" s="350"/>
      <c r="F455" s="351"/>
      <c r="G455" s="371">
        <v>76.28</v>
      </c>
      <c r="H455" s="254" t="str">
        <f t="shared" si="30"/>
        <v>CZK</v>
      </c>
      <c r="I455" s="352"/>
      <c r="J455" s="353" t="s">
        <v>54</v>
      </c>
      <c r="L455" s="97" t="e">
        <f>VLOOKUP(B455,$B$11:B454,1,FALSE)</f>
        <v>#N/A</v>
      </c>
      <c r="M455" s="317">
        <f>G455*(1-FORM!$AE$28/100)</f>
        <v>76.28</v>
      </c>
      <c r="O455" s="502"/>
    </row>
    <row r="456" spans="1:15">
      <c r="A456" s="146"/>
      <c r="B456" s="406">
        <v>9257612</v>
      </c>
      <c r="C456" s="265" t="s">
        <v>953</v>
      </c>
      <c r="D456" s="266">
        <v>1</v>
      </c>
      <c r="E456" s="332"/>
      <c r="F456" s="333"/>
      <c r="G456" s="367">
        <v>96.7</v>
      </c>
      <c r="H456" s="157" t="str">
        <f t="shared" si="30"/>
        <v>CZK</v>
      </c>
      <c r="I456" s="334"/>
      <c r="J456" s="335" t="s">
        <v>54</v>
      </c>
      <c r="L456" s="97" t="e">
        <f>VLOOKUP(B456,$B$11:B455,1,FALSE)</f>
        <v>#N/A</v>
      </c>
      <c r="M456" s="317">
        <f>G456*(1-FORM!$AE$28/100)</f>
        <v>96.7</v>
      </c>
      <c r="O456" s="502"/>
    </row>
    <row r="457" spans="1:15">
      <c r="A457" s="146"/>
      <c r="B457" s="411">
        <v>9257613</v>
      </c>
      <c r="C457" s="412" t="s">
        <v>954</v>
      </c>
      <c r="D457" s="275">
        <v>1</v>
      </c>
      <c r="E457" s="356"/>
      <c r="F457" s="357"/>
      <c r="G457" s="373">
        <v>135.11000000000001</v>
      </c>
      <c r="H457" s="158" t="str">
        <f t="shared" si="30"/>
        <v>CZK</v>
      </c>
      <c r="I457" s="358"/>
      <c r="J457" s="359" t="s">
        <v>54</v>
      </c>
      <c r="L457" s="97" t="e">
        <f>VLOOKUP(B457,$B$11:B456,1,FALSE)</f>
        <v>#N/A</v>
      </c>
      <c r="M457" s="317">
        <f>G457*(1-FORM!$AE$28/100)</f>
        <v>135.11000000000001</v>
      </c>
      <c r="O457" s="502"/>
    </row>
    <row r="458" spans="1:15">
      <c r="A458" s="153"/>
      <c r="B458" s="409">
        <v>9257615</v>
      </c>
      <c r="C458" s="271" t="s">
        <v>955</v>
      </c>
      <c r="D458" s="272">
        <v>1</v>
      </c>
      <c r="E458" s="350"/>
      <c r="F458" s="351"/>
      <c r="G458" s="371">
        <v>76.28</v>
      </c>
      <c r="H458" s="254" t="str">
        <f>IF(G458="","",$H$10)</f>
        <v>CZK</v>
      </c>
      <c r="I458" s="352"/>
      <c r="J458" s="353" t="s">
        <v>54</v>
      </c>
      <c r="L458" s="97" t="e">
        <f>VLOOKUP(B458,$B$11:B457,1,FALSE)</f>
        <v>#N/A</v>
      </c>
      <c r="M458" s="317">
        <f>G458*(1-FORM!$AE$28/100)</f>
        <v>76.28</v>
      </c>
      <c r="O458" s="502"/>
    </row>
    <row r="459" spans="1:15">
      <c r="A459" s="153"/>
      <c r="B459" s="406">
        <v>9257616</v>
      </c>
      <c r="C459" s="265" t="s">
        <v>956</v>
      </c>
      <c r="D459" s="266">
        <v>1</v>
      </c>
      <c r="E459" s="332"/>
      <c r="F459" s="333"/>
      <c r="G459" s="367">
        <v>96.7</v>
      </c>
      <c r="H459" s="157" t="str">
        <f>IF(G459="","",$H$10)</f>
        <v>CZK</v>
      </c>
      <c r="I459" s="334"/>
      <c r="J459" s="335" t="s">
        <v>54</v>
      </c>
      <c r="L459" s="97" t="e">
        <f>VLOOKUP(B459,$B$11:B458,1,FALSE)</f>
        <v>#N/A</v>
      </c>
      <c r="M459" s="317">
        <f>G459*(1-FORM!$AE$28/100)</f>
        <v>96.7</v>
      </c>
      <c r="O459" s="502"/>
    </row>
    <row r="460" spans="1:15">
      <c r="A460" s="153"/>
      <c r="B460" s="411">
        <v>9257617</v>
      </c>
      <c r="C460" s="412" t="s">
        <v>957</v>
      </c>
      <c r="D460" s="275">
        <v>1</v>
      </c>
      <c r="E460" s="356"/>
      <c r="F460" s="357"/>
      <c r="G460" s="373">
        <v>135.11000000000001</v>
      </c>
      <c r="H460" s="158" t="str">
        <f t="shared" ref="H460:H467" si="31">IF(G460="","",$H$10)</f>
        <v>CZK</v>
      </c>
      <c r="I460" s="358"/>
      <c r="J460" s="359" t="s">
        <v>54</v>
      </c>
      <c r="L460" s="97" t="e">
        <f>VLOOKUP(B460,$B$11:B459,1,FALSE)</f>
        <v>#N/A</v>
      </c>
      <c r="M460" s="317">
        <f>G460*(1-FORM!$AE$28/100)</f>
        <v>135.11000000000001</v>
      </c>
      <c r="O460" s="502"/>
    </row>
    <row r="461" spans="1:15">
      <c r="A461" s="155"/>
      <c r="B461" s="409">
        <v>9257619</v>
      </c>
      <c r="C461" s="271" t="s">
        <v>958</v>
      </c>
      <c r="D461" s="272">
        <v>1</v>
      </c>
      <c r="E461" s="350"/>
      <c r="F461" s="351"/>
      <c r="G461" s="371">
        <v>76.28</v>
      </c>
      <c r="H461" s="254" t="str">
        <f t="shared" si="31"/>
        <v>CZK</v>
      </c>
      <c r="I461" s="352"/>
      <c r="J461" s="353" t="s">
        <v>54</v>
      </c>
      <c r="L461" s="97" t="e">
        <f>VLOOKUP(B461,$B$11:B460,1,FALSE)</f>
        <v>#N/A</v>
      </c>
      <c r="M461" s="317">
        <f>G461*(1-FORM!$AE$28/100)</f>
        <v>76.28</v>
      </c>
      <c r="O461" s="502"/>
    </row>
    <row r="462" spans="1:15">
      <c r="A462" s="155"/>
      <c r="B462" s="406">
        <v>9257620</v>
      </c>
      <c r="C462" s="265" t="s">
        <v>959</v>
      </c>
      <c r="D462" s="266">
        <v>1</v>
      </c>
      <c r="E462" s="332"/>
      <c r="F462" s="333"/>
      <c r="G462" s="367">
        <v>96.7</v>
      </c>
      <c r="H462" s="157" t="str">
        <f t="shared" si="31"/>
        <v>CZK</v>
      </c>
      <c r="I462" s="334"/>
      <c r="J462" s="335" t="s">
        <v>54</v>
      </c>
      <c r="L462" s="97" t="e">
        <f>VLOOKUP(B462,$B$11:B461,1,FALSE)</f>
        <v>#N/A</v>
      </c>
      <c r="M462" s="317">
        <f>G462*(1-FORM!$AE$28/100)</f>
        <v>96.7</v>
      </c>
      <c r="O462" s="502"/>
    </row>
    <row r="463" spans="1:15">
      <c r="A463" s="155"/>
      <c r="B463" s="411">
        <v>9257621</v>
      </c>
      <c r="C463" s="412" t="s">
        <v>960</v>
      </c>
      <c r="D463" s="275">
        <v>1</v>
      </c>
      <c r="E463" s="356"/>
      <c r="F463" s="357"/>
      <c r="G463" s="373">
        <v>135.11000000000001</v>
      </c>
      <c r="H463" s="158" t="str">
        <f t="shared" si="31"/>
        <v>CZK</v>
      </c>
      <c r="I463" s="358"/>
      <c r="J463" s="359" t="s">
        <v>54</v>
      </c>
      <c r="L463" s="97" t="e">
        <f>VLOOKUP(B463,$B$11:B462,1,FALSE)</f>
        <v>#N/A</v>
      </c>
      <c r="M463" s="317">
        <f>G463*(1-FORM!$AE$28/100)</f>
        <v>135.11000000000001</v>
      </c>
      <c r="O463" s="502"/>
    </row>
    <row r="464" spans="1:15">
      <c r="A464" s="146"/>
      <c r="B464" s="409">
        <v>9257623</v>
      </c>
      <c r="C464" s="271" t="s">
        <v>961</v>
      </c>
      <c r="D464" s="272">
        <v>1</v>
      </c>
      <c r="E464" s="350"/>
      <c r="F464" s="351"/>
      <c r="G464" s="371">
        <v>121.83</v>
      </c>
      <c r="H464" s="254" t="str">
        <f t="shared" si="31"/>
        <v>CZK</v>
      </c>
      <c r="I464" s="352"/>
      <c r="J464" s="353" t="s">
        <v>54</v>
      </c>
      <c r="L464" s="97" t="e">
        <f>VLOOKUP(B464,$B$11:B463,1,FALSE)</f>
        <v>#N/A</v>
      </c>
      <c r="M464" s="317">
        <f>G464*(1-FORM!$AE$28/100)</f>
        <v>121.83</v>
      </c>
      <c r="O464" s="502"/>
    </row>
    <row r="465" spans="1:15">
      <c r="A465" s="153"/>
      <c r="B465" s="406">
        <v>9257625</v>
      </c>
      <c r="C465" s="265" t="s">
        <v>962</v>
      </c>
      <c r="D465" s="266">
        <v>1</v>
      </c>
      <c r="E465" s="332"/>
      <c r="F465" s="333"/>
      <c r="G465" s="367">
        <v>121.83</v>
      </c>
      <c r="H465" s="157" t="str">
        <f t="shared" si="31"/>
        <v>CZK</v>
      </c>
      <c r="I465" s="334"/>
      <c r="J465" s="335" t="s">
        <v>54</v>
      </c>
      <c r="L465" s="97" t="e">
        <f>VLOOKUP(B465,$B$11:B464,1,FALSE)</f>
        <v>#N/A</v>
      </c>
      <c r="M465" s="317">
        <f>G465*(1-FORM!$AE$28/100)</f>
        <v>121.83</v>
      </c>
      <c r="O465" s="502"/>
    </row>
    <row r="466" spans="1:15">
      <c r="A466" s="155"/>
      <c r="B466" s="411">
        <v>9257627</v>
      </c>
      <c r="C466" s="412" t="s">
        <v>963</v>
      </c>
      <c r="D466" s="275">
        <v>1</v>
      </c>
      <c r="E466" s="356"/>
      <c r="F466" s="357"/>
      <c r="G466" s="373">
        <v>121.83</v>
      </c>
      <c r="H466" s="158" t="str">
        <f t="shared" si="31"/>
        <v>CZK</v>
      </c>
      <c r="I466" s="358"/>
      <c r="J466" s="359" t="s">
        <v>54</v>
      </c>
      <c r="L466" s="97" t="e">
        <f>VLOOKUP(B466,$B$11:B465,1,FALSE)</f>
        <v>#N/A</v>
      </c>
      <c r="M466" s="317">
        <f>G466*(1-FORM!$AE$28/100)</f>
        <v>121.83</v>
      </c>
      <c r="O466" s="502"/>
    </row>
    <row r="467" spans="1:15">
      <c r="A467" s="180"/>
      <c r="B467" s="411">
        <v>9257641</v>
      </c>
      <c r="C467" s="412" t="s">
        <v>964</v>
      </c>
      <c r="D467" s="275">
        <v>100</v>
      </c>
      <c r="E467" s="356"/>
      <c r="F467" s="357"/>
      <c r="G467" s="373">
        <v>26.51</v>
      </c>
      <c r="H467" s="158" t="str">
        <f t="shared" si="31"/>
        <v>CZK</v>
      </c>
      <c r="I467" s="358"/>
      <c r="J467" s="359" t="s">
        <v>54</v>
      </c>
      <c r="L467" s="97" t="e">
        <f>VLOOKUP(B467,$B$11:B466,1,FALSE)</f>
        <v>#N/A</v>
      </c>
      <c r="M467" s="317">
        <f>G467*(1-FORM!$AE$28/100)</f>
        <v>26.51</v>
      </c>
      <c r="O467" s="502"/>
    </row>
    <row r="468" spans="1:15">
      <c r="A468" s="146"/>
      <c r="B468" s="409">
        <v>9257734</v>
      </c>
      <c r="C468" s="271" t="s">
        <v>965</v>
      </c>
      <c r="D468" s="272">
        <v>1</v>
      </c>
      <c r="E468" s="350"/>
      <c r="F468" s="351"/>
      <c r="G468" s="371">
        <v>139.51</v>
      </c>
      <c r="H468" s="254" t="str">
        <f t="shared" ref="H468:H481" si="32">IF(G468="","",$H$10)</f>
        <v>CZK</v>
      </c>
      <c r="I468" s="352"/>
      <c r="J468" s="353" t="s">
        <v>54</v>
      </c>
      <c r="L468" s="97" t="e">
        <f>VLOOKUP(B468,$B$11:B467,1,FALSE)</f>
        <v>#N/A</v>
      </c>
      <c r="M468" s="317">
        <f>G468*(1-FORM!$AE$28/100)</f>
        <v>139.51</v>
      </c>
      <c r="O468" s="502"/>
    </row>
    <row r="469" spans="1:15">
      <c r="A469" s="153"/>
      <c r="B469" s="406">
        <v>9257735</v>
      </c>
      <c r="C469" s="265" t="s">
        <v>966</v>
      </c>
      <c r="D469" s="266">
        <v>1</v>
      </c>
      <c r="E469" s="332"/>
      <c r="F469" s="333"/>
      <c r="G469" s="367">
        <v>139.51</v>
      </c>
      <c r="H469" s="157" t="str">
        <f t="shared" si="32"/>
        <v>CZK</v>
      </c>
      <c r="I469" s="334"/>
      <c r="J469" s="335" t="s">
        <v>54</v>
      </c>
      <c r="L469" s="97" t="e">
        <f>VLOOKUP(B469,$B$11:B468,1,FALSE)</f>
        <v>#N/A</v>
      </c>
      <c r="M469" s="317">
        <f>G469*(1-FORM!$AE$28/100)</f>
        <v>139.51</v>
      </c>
      <c r="O469" s="502"/>
    </row>
    <row r="470" spans="1:15">
      <c r="A470" s="155"/>
      <c r="B470" s="411">
        <v>9257736</v>
      </c>
      <c r="C470" s="412" t="s">
        <v>967</v>
      </c>
      <c r="D470" s="275">
        <v>1</v>
      </c>
      <c r="E470" s="356"/>
      <c r="F470" s="357"/>
      <c r="G470" s="373">
        <v>139.51</v>
      </c>
      <c r="H470" s="158" t="str">
        <f t="shared" si="32"/>
        <v>CZK</v>
      </c>
      <c r="I470" s="358"/>
      <c r="J470" s="359" t="s">
        <v>54</v>
      </c>
      <c r="L470" s="97" t="e">
        <f>VLOOKUP(B470,$B$11:B469,1,FALSE)</f>
        <v>#N/A</v>
      </c>
      <c r="M470" s="317">
        <f>G470*(1-FORM!$AE$28/100)</f>
        <v>139.51</v>
      </c>
      <c r="O470" s="502"/>
    </row>
    <row r="471" spans="1:15">
      <c r="A471" s="146"/>
      <c r="B471" s="409">
        <v>9257629</v>
      </c>
      <c r="C471" s="271" t="s">
        <v>968</v>
      </c>
      <c r="D471" s="272">
        <v>200</v>
      </c>
      <c r="E471" s="350"/>
      <c r="F471" s="351"/>
      <c r="G471" s="371">
        <v>3.59</v>
      </c>
      <c r="H471" s="254" t="str">
        <f t="shared" si="32"/>
        <v>CZK</v>
      </c>
      <c r="I471" s="352"/>
      <c r="J471" s="353" t="s">
        <v>54</v>
      </c>
      <c r="L471" s="97" t="e">
        <f>VLOOKUP(B471,$B$11:B470,1,FALSE)</f>
        <v>#N/A</v>
      </c>
      <c r="M471" s="317">
        <f>G471*(1-FORM!$AE$28/100)</f>
        <v>3.59</v>
      </c>
      <c r="O471" s="502"/>
    </row>
    <row r="472" spans="1:15">
      <c r="A472" s="146"/>
      <c r="B472" s="406">
        <v>9257630</v>
      </c>
      <c r="C472" s="265" t="s">
        <v>969</v>
      </c>
      <c r="D472" s="266">
        <v>200</v>
      </c>
      <c r="E472" s="332"/>
      <c r="F472" s="333"/>
      <c r="G472" s="367">
        <v>4.95</v>
      </c>
      <c r="H472" s="157" t="str">
        <f t="shared" si="32"/>
        <v>CZK</v>
      </c>
      <c r="I472" s="334"/>
      <c r="J472" s="335" t="s">
        <v>54</v>
      </c>
      <c r="L472" s="97" t="e">
        <f>VLOOKUP(B472,$B$11:B471,1,FALSE)</f>
        <v>#N/A</v>
      </c>
      <c r="M472" s="317">
        <f>G472*(1-FORM!$AE$28/100)</f>
        <v>4.95</v>
      </c>
      <c r="O472" s="502"/>
    </row>
    <row r="473" spans="1:15">
      <c r="A473" s="146"/>
      <c r="B473" s="406">
        <v>9257631</v>
      </c>
      <c r="C473" s="265" t="s">
        <v>970</v>
      </c>
      <c r="D473" s="266">
        <v>200</v>
      </c>
      <c r="E473" s="332"/>
      <c r="F473" s="333"/>
      <c r="G473" s="367">
        <v>6.44</v>
      </c>
      <c r="H473" s="157" t="str">
        <f t="shared" si="32"/>
        <v>CZK</v>
      </c>
      <c r="I473" s="334"/>
      <c r="J473" s="335" t="s">
        <v>54</v>
      </c>
      <c r="L473" s="97" t="e">
        <f>VLOOKUP(B473,$B$11:B472,1,FALSE)</f>
        <v>#N/A</v>
      </c>
      <c r="M473" s="317">
        <f>G473*(1-FORM!$AE$28/100)</f>
        <v>6.44</v>
      </c>
      <c r="O473" s="502"/>
    </row>
    <row r="474" spans="1:15">
      <c r="A474" s="153"/>
      <c r="B474" s="406">
        <v>9257633</v>
      </c>
      <c r="C474" s="265" t="s">
        <v>971</v>
      </c>
      <c r="D474" s="266">
        <v>200</v>
      </c>
      <c r="E474" s="332"/>
      <c r="F474" s="333"/>
      <c r="G474" s="367">
        <v>3.59</v>
      </c>
      <c r="H474" s="157" t="str">
        <f t="shared" si="32"/>
        <v>CZK</v>
      </c>
      <c r="I474" s="334"/>
      <c r="J474" s="335" t="s">
        <v>54</v>
      </c>
      <c r="L474" s="97" t="e">
        <f>VLOOKUP(B474,$B$11:B473,1,FALSE)</f>
        <v>#N/A</v>
      </c>
      <c r="M474" s="317">
        <f>G474*(1-FORM!$AE$28/100)</f>
        <v>3.59</v>
      </c>
      <c r="O474" s="502"/>
    </row>
    <row r="475" spans="1:15">
      <c r="A475" s="153"/>
      <c r="B475" s="406">
        <v>9257634</v>
      </c>
      <c r="C475" s="265" t="s">
        <v>972</v>
      </c>
      <c r="D475" s="266">
        <v>200</v>
      </c>
      <c r="E475" s="332"/>
      <c r="F475" s="333"/>
      <c r="G475" s="367">
        <v>4.95</v>
      </c>
      <c r="H475" s="157" t="str">
        <f t="shared" si="32"/>
        <v>CZK</v>
      </c>
      <c r="I475" s="334"/>
      <c r="J475" s="335" t="s">
        <v>54</v>
      </c>
      <c r="L475" s="97" t="e">
        <f>VLOOKUP(B475,$B$11:B474,1,FALSE)</f>
        <v>#N/A</v>
      </c>
      <c r="M475" s="317">
        <f>G475*(1-FORM!$AE$28/100)</f>
        <v>4.95</v>
      </c>
      <c r="O475" s="502"/>
    </row>
    <row r="476" spans="1:15">
      <c r="A476" s="153"/>
      <c r="B476" s="406">
        <v>9257635</v>
      </c>
      <c r="C476" s="265" t="s">
        <v>973</v>
      </c>
      <c r="D476" s="266">
        <v>200</v>
      </c>
      <c r="E476" s="332"/>
      <c r="F476" s="333"/>
      <c r="G476" s="367">
        <v>6.44</v>
      </c>
      <c r="H476" s="157" t="str">
        <f t="shared" si="32"/>
        <v>CZK</v>
      </c>
      <c r="I476" s="334"/>
      <c r="J476" s="335" t="s">
        <v>54</v>
      </c>
      <c r="L476" s="97" t="e">
        <f>VLOOKUP(B476,$B$11:B475,1,FALSE)</f>
        <v>#N/A</v>
      </c>
      <c r="M476" s="317">
        <f>G476*(1-FORM!$AE$28/100)</f>
        <v>6.44</v>
      </c>
      <c r="O476" s="502"/>
    </row>
    <row r="477" spans="1:15">
      <c r="A477" s="155"/>
      <c r="B477" s="406">
        <v>9257637</v>
      </c>
      <c r="C477" s="265" t="s">
        <v>974</v>
      </c>
      <c r="D477" s="266">
        <v>200</v>
      </c>
      <c r="E477" s="332"/>
      <c r="F477" s="333"/>
      <c r="G477" s="367">
        <v>3.59</v>
      </c>
      <c r="H477" s="157" t="str">
        <f t="shared" si="32"/>
        <v>CZK</v>
      </c>
      <c r="I477" s="334"/>
      <c r="J477" s="335" t="s">
        <v>54</v>
      </c>
      <c r="L477" s="97" t="e">
        <f>VLOOKUP(B477,$B$11:B476,1,FALSE)</f>
        <v>#N/A</v>
      </c>
      <c r="M477" s="317">
        <f>G477*(1-FORM!$AE$28/100)</f>
        <v>3.59</v>
      </c>
      <c r="O477" s="502"/>
    </row>
    <row r="478" spans="1:15">
      <c r="A478" s="155"/>
      <c r="B478" s="406">
        <v>9257638</v>
      </c>
      <c r="C478" s="265" t="s">
        <v>975</v>
      </c>
      <c r="D478" s="266">
        <v>200</v>
      </c>
      <c r="E478" s="332"/>
      <c r="F478" s="333"/>
      <c r="G478" s="367">
        <v>4.95</v>
      </c>
      <c r="H478" s="157" t="str">
        <f t="shared" si="32"/>
        <v>CZK</v>
      </c>
      <c r="I478" s="334"/>
      <c r="J478" s="335" t="s">
        <v>54</v>
      </c>
      <c r="L478" s="97" t="e">
        <f>VLOOKUP(B478,$B$11:B477,1,FALSE)</f>
        <v>#N/A</v>
      </c>
      <c r="M478" s="317">
        <f>G478*(1-FORM!$AE$28/100)</f>
        <v>4.95</v>
      </c>
      <c r="O478" s="502"/>
    </row>
    <row r="479" spans="1:15">
      <c r="A479" s="155"/>
      <c r="B479" s="411">
        <v>9257639</v>
      </c>
      <c r="C479" s="412" t="s">
        <v>976</v>
      </c>
      <c r="D479" s="275">
        <v>200</v>
      </c>
      <c r="E479" s="356"/>
      <c r="F479" s="357"/>
      <c r="G479" s="373">
        <v>6.44</v>
      </c>
      <c r="H479" s="158" t="str">
        <f t="shared" si="32"/>
        <v>CZK</v>
      </c>
      <c r="I479" s="358"/>
      <c r="J479" s="359" t="s">
        <v>54</v>
      </c>
      <c r="L479" s="97" t="e">
        <f>VLOOKUP(B479,$B$11:B478,1,FALSE)</f>
        <v>#N/A</v>
      </c>
      <c r="M479" s="317">
        <f>G479*(1-FORM!$AE$28/100)</f>
        <v>6.44</v>
      </c>
      <c r="O479" s="502"/>
    </row>
    <row r="480" spans="1:15">
      <c r="A480" s="146"/>
      <c r="B480" s="409">
        <v>9257663</v>
      </c>
      <c r="C480" s="271" t="s">
        <v>977</v>
      </c>
      <c r="D480" s="272">
        <v>1</v>
      </c>
      <c r="E480" s="350"/>
      <c r="F480" s="351"/>
      <c r="G480" s="371">
        <v>710.85</v>
      </c>
      <c r="H480" s="254" t="str">
        <f t="shared" si="32"/>
        <v>CZK</v>
      </c>
      <c r="I480" s="352"/>
      <c r="J480" s="353" t="s">
        <v>54</v>
      </c>
      <c r="L480" s="97" t="e">
        <f>VLOOKUP(B480,$B$11:B479,1,FALSE)</f>
        <v>#N/A</v>
      </c>
      <c r="M480" s="317">
        <f>G480*(1-FORM!$AE$28/100)</f>
        <v>710.85</v>
      </c>
      <c r="O480" s="502"/>
    </row>
    <row r="481" spans="1:15">
      <c r="A481" s="153"/>
      <c r="B481" s="406">
        <v>9257664</v>
      </c>
      <c r="C481" s="265" t="s">
        <v>978</v>
      </c>
      <c r="D481" s="266">
        <v>1</v>
      </c>
      <c r="E481" s="332"/>
      <c r="F481" s="333"/>
      <c r="G481" s="367">
        <v>710.85</v>
      </c>
      <c r="H481" s="157" t="str">
        <f t="shared" si="32"/>
        <v>CZK</v>
      </c>
      <c r="I481" s="334"/>
      <c r="J481" s="335" t="s">
        <v>54</v>
      </c>
      <c r="L481" s="97" t="e">
        <f>VLOOKUP(B481,$B$11:B480,1,FALSE)</f>
        <v>#N/A</v>
      </c>
      <c r="M481" s="317">
        <f>G481*(1-FORM!$AE$28/100)</f>
        <v>710.85</v>
      </c>
      <c r="O481" s="502"/>
    </row>
    <row r="482" spans="1:15">
      <c r="A482" s="155"/>
      <c r="B482" s="411">
        <v>9257665</v>
      </c>
      <c r="C482" s="412" t="s">
        <v>979</v>
      </c>
      <c r="D482" s="275">
        <v>1</v>
      </c>
      <c r="E482" s="356"/>
      <c r="F482" s="357"/>
      <c r="G482" s="373">
        <v>710.85</v>
      </c>
      <c r="H482" s="158" t="str">
        <f t="shared" ref="H482:H495" si="33">IF(G482="","",$H$10)</f>
        <v>CZK</v>
      </c>
      <c r="I482" s="358"/>
      <c r="J482" s="359" t="s">
        <v>54</v>
      </c>
      <c r="L482" s="97" t="e">
        <f>VLOOKUP(B482,$B$11:B481,1,FALSE)</f>
        <v>#N/A</v>
      </c>
      <c r="M482" s="317">
        <f>G482*(1-FORM!$AE$28/100)</f>
        <v>710.85</v>
      </c>
      <c r="O482" s="502"/>
    </row>
    <row r="483" spans="1:15">
      <c r="A483" s="146"/>
      <c r="B483" s="409">
        <v>9257651</v>
      </c>
      <c r="C483" s="271" t="s">
        <v>980</v>
      </c>
      <c r="D483" s="272">
        <v>1</v>
      </c>
      <c r="E483" s="350"/>
      <c r="F483" s="351"/>
      <c r="G483" s="371">
        <v>492.14</v>
      </c>
      <c r="H483" s="254" t="str">
        <f t="shared" si="33"/>
        <v>CZK</v>
      </c>
      <c r="I483" s="352"/>
      <c r="J483" s="353" t="s">
        <v>54</v>
      </c>
      <c r="L483" s="97" t="e">
        <f>VLOOKUP(B483,$B$11:B482,1,FALSE)</f>
        <v>#N/A</v>
      </c>
      <c r="M483" s="317">
        <f>G483*(1-FORM!$AE$28/100)</f>
        <v>492.14</v>
      </c>
      <c r="O483" s="502"/>
    </row>
    <row r="484" spans="1:15">
      <c r="A484" s="153"/>
      <c r="B484" s="406">
        <v>9257652</v>
      </c>
      <c r="C484" s="265" t="s">
        <v>981</v>
      </c>
      <c r="D484" s="266">
        <v>1</v>
      </c>
      <c r="E484" s="332"/>
      <c r="F484" s="333"/>
      <c r="G484" s="367">
        <v>492.14</v>
      </c>
      <c r="H484" s="157" t="str">
        <f t="shared" si="33"/>
        <v>CZK</v>
      </c>
      <c r="I484" s="334"/>
      <c r="J484" s="335" t="s">
        <v>54</v>
      </c>
      <c r="L484" s="97" t="e">
        <f>VLOOKUP(B484,$B$11:B483,1,FALSE)</f>
        <v>#N/A</v>
      </c>
      <c r="M484" s="317">
        <f>G484*(1-FORM!$AE$28/100)</f>
        <v>492.14</v>
      </c>
      <c r="O484" s="502"/>
    </row>
    <row r="485" spans="1:15">
      <c r="A485" s="155"/>
      <c r="B485" s="406">
        <v>9257653</v>
      </c>
      <c r="C485" s="265" t="s">
        <v>982</v>
      </c>
      <c r="D485" s="266">
        <v>1</v>
      </c>
      <c r="E485" s="332"/>
      <c r="F485" s="333"/>
      <c r="G485" s="367">
        <v>492.14</v>
      </c>
      <c r="H485" s="157" t="str">
        <f t="shared" si="33"/>
        <v>CZK</v>
      </c>
      <c r="I485" s="334"/>
      <c r="J485" s="335" t="s">
        <v>54</v>
      </c>
      <c r="L485" s="97" t="e">
        <f>VLOOKUP(B485,$B$11:B484,1,FALSE)</f>
        <v>#N/A</v>
      </c>
      <c r="M485" s="317">
        <f>G485*(1-FORM!$AE$28/100)</f>
        <v>492.14</v>
      </c>
      <c r="O485" s="502"/>
    </row>
    <row r="486" spans="1:15">
      <c r="A486" s="146"/>
      <c r="B486" s="406">
        <v>9257657</v>
      </c>
      <c r="C486" s="265" t="s">
        <v>983</v>
      </c>
      <c r="D486" s="266">
        <v>1</v>
      </c>
      <c r="E486" s="332"/>
      <c r="F486" s="333"/>
      <c r="G486" s="367">
        <v>492.14</v>
      </c>
      <c r="H486" s="157" t="str">
        <f t="shared" si="33"/>
        <v>CZK</v>
      </c>
      <c r="I486" s="334"/>
      <c r="J486" s="335" t="s">
        <v>54</v>
      </c>
      <c r="L486" s="97" t="e">
        <f>VLOOKUP(B486,$B$11:B485,1,FALSE)</f>
        <v>#N/A</v>
      </c>
      <c r="M486" s="317">
        <f>G486*(1-FORM!$AE$28/100)</f>
        <v>492.14</v>
      </c>
      <c r="O486" s="502"/>
    </row>
    <row r="487" spans="1:15">
      <c r="A487" s="153"/>
      <c r="B487" s="406">
        <v>9257658</v>
      </c>
      <c r="C487" s="265" t="s">
        <v>984</v>
      </c>
      <c r="D487" s="266">
        <v>1</v>
      </c>
      <c r="E487" s="332"/>
      <c r="F487" s="333"/>
      <c r="G487" s="367">
        <v>492.14</v>
      </c>
      <c r="H487" s="157" t="str">
        <f t="shared" si="33"/>
        <v>CZK</v>
      </c>
      <c r="I487" s="334"/>
      <c r="J487" s="335" t="s">
        <v>54</v>
      </c>
      <c r="L487" s="97" t="e">
        <f>VLOOKUP(B487,$B$11:B486,1,FALSE)</f>
        <v>#N/A</v>
      </c>
      <c r="M487" s="317">
        <f>G487*(1-FORM!$AE$28/100)</f>
        <v>492.14</v>
      </c>
      <c r="O487" s="502"/>
    </row>
    <row r="488" spans="1:15">
      <c r="A488" s="155"/>
      <c r="B488" s="411">
        <v>9257659</v>
      </c>
      <c r="C488" s="412" t="s">
        <v>985</v>
      </c>
      <c r="D488" s="275">
        <v>1</v>
      </c>
      <c r="E488" s="356"/>
      <c r="F488" s="357"/>
      <c r="G488" s="373">
        <v>492.14</v>
      </c>
      <c r="H488" s="158" t="str">
        <f t="shared" si="33"/>
        <v>CZK</v>
      </c>
      <c r="I488" s="358"/>
      <c r="J488" s="359" t="s">
        <v>54</v>
      </c>
      <c r="L488" s="97" t="e">
        <f>VLOOKUP(B488,$B$11:B487,1,FALSE)</f>
        <v>#N/A</v>
      </c>
      <c r="M488" s="317">
        <f>G488*(1-FORM!$AE$28/100)</f>
        <v>492.14</v>
      </c>
      <c r="O488" s="502"/>
    </row>
    <row r="489" spans="1:15">
      <c r="A489" s="180"/>
      <c r="B489" s="409"/>
      <c r="C489" s="271"/>
      <c r="D489" s="272"/>
      <c r="E489" s="350"/>
      <c r="F489" s="351"/>
      <c r="G489" s="371"/>
      <c r="H489" s="254"/>
      <c r="I489" s="352"/>
      <c r="J489" s="353" t="s">
        <v>54</v>
      </c>
      <c r="L489" s="97" t="e">
        <f>VLOOKUP(B489,$B$11:B488,1,FALSE)</f>
        <v>#N/A</v>
      </c>
      <c r="M489" s="317">
        <f>G489*(1-FORM!$AE$28/100)</f>
        <v>0</v>
      </c>
      <c r="O489" s="502"/>
    </row>
    <row r="490" spans="1:15">
      <c r="A490" s="180"/>
      <c r="B490" s="406">
        <v>9255759</v>
      </c>
      <c r="C490" s="265" t="s">
        <v>986</v>
      </c>
      <c r="D490" s="266">
        <v>100</v>
      </c>
      <c r="E490" s="332"/>
      <c r="F490" s="333"/>
      <c r="G490" s="367">
        <v>14.13</v>
      </c>
      <c r="H490" s="157" t="str">
        <f t="shared" si="33"/>
        <v>CZK</v>
      </c>
      <c r="I490" s="334"/>
      <c r="J490" s="335" t="s">
        <v>54</v>
      </c>
      <c r="L490" s="97" t="e">
        <f>VLOOKUP(B490,$B$11:B489,1,FALSE)</f>
        <v>#N/A</v>
      </c>
      <c r="M490" s="317">
        <f>G490*(1-FORM!$AE$28/100)</f>
        <v>14.13</v>
      </c>
      <c r="O490" s="502"/>
    </row>
    <row r="491" spans="1:15">
      <c r="A491" s="180"/>
      <c r="B491" s="406">
        <v>9255760</v>
      </c>
      <c r="C491" s="265" t="s">
        <v>987</v>
      </c>
      <c r="D491" s="266">
        <v>100</v>
      </c>
      <c r="E491" s="332"/>
      <c r="F491" s="333"/>
      <c r="G491" s="367">
        <v>14.29</v>
      </c>
      <c r="H491" s="157" t="str">
        <f t="shared" si="33"/>
        <v>CZK</v>
      </c>
      <c r="I491" s="334"/>
      <c r="J491" s="335" t="s">
        <v>54</v>
      </c>
      <c r="L491" s="97" t="e">
        <f>VLOOKUP(B491,$B$11:B490,1,FALSE)</f>
        <v>#N/A</v>
      </c>
      <c r="M491" s="317">
        <f>G491*(1-FORM!$AE$28/100)</f>
        <v>14.29</v>
      </c>
      <c r="O491" s="502"/>
    </row>
    <row r="492" spans="1:15">
      <c r="A492" s="180"/>
      <c r="B492" s="406">
        <v>9255761</v>
      </c>
      <c r="C492" s="265" t="s">
        <v>988</v>
      </c>
      <c r="D492" s="266">
        <v>100</v>
      </c>
      <c r="E492" s="332"/>
      <c r="F492" s="333"/>
      <c r="G492" s="367">
        <v>14.55</v>
      </c>
      <c r="H492" s="157" t="str">
        <f t="shared" si="33"/>
        <v>CZK</v>
      </c>
      <c r="I492" s="334"/>
      <c r="J492" s="335" t="s">
        <v>54</v>
      </c>
      <c r="L492" s="97" t="e">
        <f>VLOOKUP(B492,$B$11:B491,1,FALSE)</f>
        <v>#N/A</v>
      </c>
      <c r="M492" s="317">
        <f>G492*(1-FORM!$AE$28/100)</f>
        <v>14.55</v>
      </c>
      <c r="O492" s="502"/>
    </row>
    <row r="493" spans="1:15">
      <c r="A493" s="180"/>
      <c r="B493" s="406">
        <v>9255762</v>
      </c>
      <c r="C493" s="265" t="s">
        <v>989</v>
      </c>
      <c r="D493" s="266">
        <v>100</v>
      </c>
      <c r="E493" s="332"/>
      <c r="F493" s="333"/>
      <c r="G493" s="367">
        <v>14.82</v>
      </c>
      <c r="H493" s="157" t="str">
        <f t="shared" si="33"/>
        <v>CZK</v>
      </c>
      <c r="I493" s="334"/>
      <c r="J493" s="335" t="s">
        <v>54</v>
      </c>
      <c r="L493" s="97" t="e">
        <f>VLOOKUP(B493,$B$11:B492,1,FALSE)</f>
        <v>#N/A</v>
      </c>
      <c r="M493" s="317">
        <f>G493*(1-FORM!$AE$28/100)</f>
        <v>14.82</v>
      </c>
      <c r="O493" s="502"/>
    </row>
    <row r="494" spans="1:15">
      <c r="A494" s="180"/>
      <c r="B494" s="406">
        <v>9255763</v>
      </c>
      <c r="C494" s="265" t="s">
        <v>990</v>
      </c>
      <c r="D494" s="266">
        <v>100</v>
      </c>
      <c r="E494" s="332"/>
      <c r="F494" s="333"/>
      <c r="G494" s="367">
        <v>15.08</v>
      </c>
      <c r="H494" s="157" t="str">
        <f t="shared" si="33"/>
        <v>CZK</v>
      </c>
      <c r="I494" s="334"/>
      <c r="J494" s="335" t="s">
        <v>54</v>
      </c>
      <c r="L494" s="97" t="e">
        <f>VLOOKUP(B494,$B$11:B493,1,FALSE)</f>
        <v>#N/A</v>
      </c>
      <c r="M494" s="317">
        <f>G494*(1-FORM!$AE$28/100)</f>
        <v>15.08</v>
      </c>
      <c r="O494" s="502"/>
    </row>
    <row r="495" spans="1:15">
      <c r="A495" s="180"/>
      <c r="B495" s="406">
        <v>9255764</v>
      </c>
      <c r="C495" s="265" t="s">
        <v>991</v>
      </c>
      <c r="D495" s="266">
        <v>100</v>
      </c>
      <c r="E495" s="332"/>
      <c r="F495" s="333"/>
      <c r="G495" s="367">
        <v>15.34</v>
      </c>
      <c r="H495" s="157" t="str">
        <f t="shared" si="33"/>
        <v>CZK</v>
      </c>
      <c r="I495" s="334"/>
      <c r="J495" s="335" t="s">
        <v>54</v>
      </c>
      <c r="L495" s="97" t="e">
        <f>VLOOKUP(B495,$B$11:B494,1,FALSE)</f>
        <v>#N/A</v>
      </c>
      <c r="M495" s="317">
        <f>G495*(1-FORM!$AE$28/100)</f>
        <v>15.34</v>
      </c>
      <c r="O495" s="502"/>
    </row>
    <row r="496" spans="1:15">
      <c r="A496" s="180"/>
      <c r="B496" s="406">
        <v>9255765</v>
      </c>
      <c r="C496" s="265" t="s">
        <v>992</v>
      </c>
      <c r="D496" s="266">
        <v>100</v>
      </c>
      <c r="E496" s="332"/>
      <c r="F496" s="333"/>
      <c r="G496" s="367">
        <v>15.61</v>
      </c>
      <c r="H496" s="157" t="str">
        <f>IF(G496="","",$H$10)</f>
        <v>CZK</v>
      </c>
      <c r="I496" s="334"/>
      <c r="J496" s="335" t="s">
        <v>54</v>
      </c>
      <c r="L496" s="97" t="e">
        <f>VLOOKUP(B496,$B$11:B495,1,FALSE)</f>
        <v>#N/A</v>
      </c>
      <c r="M496" s="317">
        <f>G496*(1-FORM!$AE$28/100)</f>
        <v>15.61</v>
      </c>
      <c r="O496" s="502"/>
    </row>
    <row r="497" spans="1:15">
      <c r="A497" s="180"/>
      <c r="B497" s="406">
        <v>9255766</v>
      </c>
      <c r="C497" s="265" t="s">
        <v>993</v>
      </c>
      <c r="D497" s="266">
        <v>100</v>
      </c>
      <c r="E497" s="332"/>
      <c r="F497" s="333"/>
      <c r="G497" s="367">
        <v>16.010000000000002</v>
      </c>
      <c r="H497" s="157" t="str">
        <f>IF(G497="","",$H$10)</f>
        <v>CZK</v>
      </c>
      <c r="I497" s="334"/>
      <c r="J497" s="335" t="s">
        <v>54</v>
      </c>
      <c r="L497" s="97" t="e">
        <f>VLOOKUP(B497,$B$11:B496,1,FALSE)</f>
        <v>#N/A</v>
      </c>
      <c r="M497" s="317">
        <f>G497*(1-FORM!$AE$28/100)</f>
        <v>16.010000000000002</v>
      </c>
      <c r="O497" s="502"/>
    </row>
    <row r="498" spans="1:15">
      <c r="A498" s="180"/>
      <c r="B498" s="411">
        <v>9255767</v>
      </c>
      <c r="C498" s="412" t="s">
        <v>994</v>
      </c>
      <c r="D498" s="275">
        <v>100</v>
      </c>
      <c r="E498" s="356"/>
      <c r="F498" s="357"/>
      <c r="G498" s="373">
        <v>16.54</v>
      </c>
      <c r="H498" s="158" t="str">
        <f t="shared" ref="H498:H505" si="34">IF(G498="","",$H$10)</f>
        <v>CZK</v>
      </c>
      <c r="I498" s="358"/>
      <c r="J498" s="359" t="s">
        <v>54</v>
      </c>
      <c r="L498" s="97" t="e">
        <f>VLOOKUP(B498,$B$11:B497,1,FALSE)</f>
        <v>#N/A</v>
      </c>
      <c r="M498" s="317">
        <f>G498*(1-FORM!$AE$28/100)</f>
        <v>16.54</v>
      </c>
      <c r="O498" s="502"/>
    </row>
    <row r="499" spans="1:15">
      <c r="A499" s="180"/>
      <c r="B499" s="409">
        <v>9255768</v>
      </c>
      <c r="C499" s="271" t="s">
        <v>995</v>
      </c>
      <c r="D499" s="272">
        <v>100</v>
      </c>
      <c r="E499" s="350"/>
      <c r="F499" s="351"/>
      <c r="G499" s="371">
        <v>14.13</v>
      </c>
      <c r="H499" s="254" t="str">
        <f t="shared" si="34"/>
        <v>CZK</v>
      </c>
      <c r="I499" s="352"/>
      <c r="J499" s="353" t="s">
        <v>54</v>
      </c>
      <c r="L499" s="97" t="e">
        <f>VLOOKUP(B499,$B$11:B498,1,FALSE)</f>
        <v>#N/A</v>
      </c>
      <c r="M499" s="317">
        <f>G499*(1-FORM!$AE$28/100)</f>
        <v>14.13</v>
      </c>
      <c r="O499" s="502"/>
    </row>
    <row r="500" spans="1:15">
      <c r="A500" s="180"/>
      <c r="B500" s="406">
        <v>9255769</v>
      </c>
      <c r="C500" s="265" t="s">
        <v>996</v>
      </c>
      <c r="D500" s="266">
        <v>100</v>
      </c>
      <c r="E500" s="332"/>
      <c r="F500" s="333"/>
      <c r="G500" s="367">
        <v>14.29</v>
      </c>
      <c r="H500" s="157" t="str">
        <f t="shared" si="34"/>
        <v>CZK</v>
      </c>
      <c r="I500" s="334"/>
      <c r="J500" s="335" t="s">
        <v>54</v>
      </c>
      <c r="L500" s="97" t="e">
        <f>VLOOKUP(B500,$B$11:B499,1,FALSE)</f>
        <v>#N/A</v>
      </c>
      <c r="M500" s="317">
        <f>G500*(1-FORM!$AE$28/100)</f>
        <v>14.29</v>
      </c>
      <c r="O500" s="502"/>
    </row>
    <row r="501" spans="1:15">
      <c r="A501" s="180"/>
      <c r="B501" s="406">
        <v>9255770</v>
      </c>
      <c r="C501" s="265" t="s">
        <v>997</v>
      </c>
      <c r="D501" s="266">
        <v>100</v>
      </c>
      <c r="E501" s="332"/>
      <c r="F501" s="333"/>
      <c r="G501" s="367">
        <v>14.55</v>
      </c>
      <c r="H501" s="157" t="str">
        <f t="shared" si="34"/>
        <v>CZK</v>
      </c>
      <c r="I501" s="334"/>
      <c r="J501" s="335" t="s">
        <v>54</v>
      </c>
      <c r="L501" s="97" t="e">
        <f>VLOOKUP(B501,$B$11:B500,1,FALSE)</f>
        <v>#N/A</v>
      </c>
      <c r="M501" s="317">
        <f>G501*(1-FORM!$AE$28/100)</f>
        <v>14.55</v>
      </c>
      <c r="O501" s="502"/>
    </row>
    <row r="502" spans="1:15">
      <c r="A502" s="180"/>
      <c r="B502" s="406">
        <v>9255771</v>
      </c>
      <c r="C502" s="265" t="s">
        <v>998</v>
      </c>
      <c r="D502" s="266">
        <v>100</v>
      </c>
      <c r="E502" s="332"/>
      <c r="F502" s="333"/>
      <c r="G502" s="367">
        <v>14.82</v>
      </c>
      <c r="H502" s="157" t="str">
        <f t="shared" si="34"/>
        <v>CZK</v>
      </c>
      <c r="I502" s="334"/>
      <c r="J502" s="335" t="s">
        <v>54</v>
      </c>
      <c r="L502" s="97" t="e">
        <f>VLOOKUP(B502,$B$11:B501,1,FALSE)</f>
        <v>#N/A</v>
      </c>
      <c r="M502" s="317">
        <f>G502*(1-FORM!$AE$28/100)</f>
        <v>14.82</v>
      </c>
      <c r="O502" s="502"/>
    </row>
    <row r="503" spans="1:15">
      <c r="A503" s="180"/>
      <c r="B503" s="406">
        <v>9255772</v>
      </c>
      <c r="C503" s="265" t="s">
        <v>999</v>
      </c>
      <c r="D503" s="266">
        <v>100</v>
      </c>
      <c r="E503" s="332"/>
      <c r="F503" s="333"/>
      <c r="G503" s="367">
        <v>15.08</v>
      </c>
      <c r="H503" s="157" t="str">
        <f t="shared" si="34"/>
        <v>CZK</v>
      </c>
      <c r="I503" s="334"/>
      <c r="J503" s="335" t="s">
        <v>54</v>
      </c>
      <c r="L503" s="97" t="e">
        <f>VLOOKUP(B503,$B$11:B502,1,FALSE)</f>
        <v>#N/A</v>
      </c>
      <c r="M503" s="317">
        <f>G503*(1-FORM!$AE$28/100)</f>
        <v>15.08</v>
      </c>
      <c r="O503" s="502"/>
    </row>
    <row r="504" spans="1:15">
      <c r="A504" s="180"/>
      <c r="B504" s="406">
        <v>9255773</v>
      </c>
      <c r="C504" s="265" t="s">
        <v>1000</v>
      </c>
      <c r="D504" s="266">
        <v>100</v>
      </c>
      <c r="E504" s="332"/>
      <c r="F504" s="333"/>
      <c r="G504" s="367">
        <v>15.34</v>
      </c>
      <c r="H504" s="157" t="str">
        <f t="shared" si="34"/>
        <v>CZK</v>
      </c>
      <c r="I504" s="334"/>
      <c r="J504" s="335" t="s">
        <v>54</v>
      </c>
      <c r="L504" s="97" t="e">
        <f>VLOOKUP(B504,$B$11:B503,1,FALSE)</f>
        <v>#N/A</v>
      </c>
      <c r="M504" s="317">
        <f>G504*(1-FORM!$AE$28/100)</f>
        <v>15.34</v>
      </c>
      <c r="O504" s="502"/>
    </row>
    <row r="505" spans="1:15">
      <c r="A505" s="180"/>
      <c r="B505" s="406">
        <v>9255774</v>
      </c>
      <c r="C505" s="265" t="s">
        <v>1001</v>
      </c>
      <c r="D505" s="266">
        <v>100</v>
      </c>
      <c r="E505" s="332"/>
      <c r="F505" s="333"/>
      <c r="G505" s="367">
        <v>15.61</v>
      </c>
      <c r="H505" s="157" t="str">
        <f t="shared" si="34"/>
        <v>CZK</v>
      </c>
      <c r="I505" s="334"/>
      <c r="J505" s="335" t="s">
        <v>54</v>
      </c>
      <c r="L505" s="97" t="e">
        <f>VLOOKUP(B505,$B$11:B504,1,FALSE)</f>
        <v>#N/A</v>
      </c>
      <c r="M505" s="317">
        <f>G505*(1-FORM!$AE$28/100)</f>
        <v>15.61</v>
      </c>
      <c r="O505" s="502"/>
    </row>
    <row r="506" spans="1:15">
      <c r="A506" s="180"/>
      <c r="B506" s="406">
        <v>9255775</v>
      </c>
      <c r="C506" s="265" t="s">
        <v>1002</v>
      </c>
      <c r="D506" s="266">
        <v>100</v>
      </c>
      <c r="E506" s="332"/>
      <c r="F506" s="333"/>
      <c r="G506" s="367">
        <v>16.010000000000002</v>
      </c>
      <c r="H506" s="157" t="str">
        <f t="shared" ref="H506:H519" si="35">IF(G506="","",$H$10)</f>
        <v>CZK</v>
      </c>
      <c r="I506" s="334"/>
      <c r="J506" s="335" t="s">
        <v>54</v>
      </c>
      <c r="L506" s="97" t="e">
        <f>VLOOKUP(B506,$B$11:B505,1,FALSE)</f>
        <v>#N/A</v>
      </c>
      <c r="M506" s="317">
        <f>G506*(1-FORM!$AE$28/100)</f>
        <v>16.010000000000002</v>
      </c>
      <c r="O506" s="502"/>
    </row>
    <row r="507" spans="1:15">
      <c r="A507" s="180"/>
      <c r="B507" s="411">
        <v>9255776</v>
      </c>
      <c r="C507" s="412" t="s">
        <v>1003</v>
      </c>
      <c r="D507" s="275">
        <v>100</v>
      </c>
      <c r="E507" s="356"/>
      <c r="F507" s="357"/>
      <c r="G507" s="373">
        <v>16.54</v>
      </c>
      <c r="H507" s="158" t="str">
        <f t="shared" si="35"/>
        <v>CZK</v>
      </c>
      <c r="I507" s="358"/>
      <c r="J507" s="359" t="s">
        <v>54</v>
      </c>
      <c r="L507" s="97" t="e">
        <f>VLOOKUP(B507,$B$11:B506,1,FALSE)</f>
        <v>#N/A</v>
      </c>
      <c r="M507" s="317">
        <f>G507*(1-FORM!$AE$28/100)</f>
        <v>16.54</v>
      </c>
      <c r="O507" s="502"/>
    </row>
    <row r="508" spans="1:15">
      <c r="A508" s="180"/>
      <c r="B508" s="409">
        <v>9255777</v>
      </c>
      <c r="C508" s="271" t="s">
        <v>1004</v>
      </c>
      <c r="D508" s="272">
        <v>100</v>
      </c>
      <c r="E508" s="350"/>
      <c r="F508" s="351"/>
      <c r="G508" s="371">
        <v>14.13</v>
      </c>
      <c r="H508" s="254" t="str">
        <f t="shared" si="35"/>
        <v>CZK</v>
      </c>
      <c r="I508" s="352"/>
      <c r="J508" s="353" t="s">
        <v>54</v>
      </c>
      <c r="L508" s="97" t="e">
        <f>VLOOKUP(B508,$B$11:B507,1,FALSE)</f>
        <v>#N/A</v>
      </c>
      <c r="M508" s="317">
        <f>G508*(1-FORM!$AE$28/100)</f>
        <v>14.13</v>
      </c>
      <c r="O508" s="502"/>
    </row>
    <row r="509" spans="1:15">
      <c r="A509" s="180"/>
      <c r="B509" s="406">
        <v>9255778</v>
      </c>
      <c r="C509" s="265" t="s">
        <v>1005</v>
      </c>
      <c r="D509" s="266">
        <v>100</v>
      </c>
      <c r="E509" s="332"/>
      <c r="F509" s="333"/>
      <c r="G509" s="367">
        <v>14.29</v>
      </c>
      <c r="H509" s="157" t="str">
        <f t="shared" si="35"/>
        <v>CZK</v>
      </c>
      <c r="I509" s="334"/>
      <c r="J509" s="335" t="s">
        <v>54</v>
      </c>
      <c r="L509" s="97" t="e">
        <f>VLOOKUP(B509,$B$11:B508,1,FALSE)</f>
        <v>#N/A</v>
      </c>
      <c r="M509" s="317">
        <f>G509*(1-FORM!$AE$28/100)</f>
        <v>14.29</v>
      </c>
      <c r="O509" s="502"/>
    </row>
    <row r="510" spans="1:15">
      <c r="A510" s="180"/>
      <c r="B510" s="406">
        <v>9255779</v>
      </c>
      <c r="C510" s="265" t="s">
        <v>1006</v>
      </c>
      <c r="D510" s="266">
        <v>100</v>
      </c>
      <c r="E510" s="332"/>
      <c r="F510" s="333"/>
      <c r="G510" s="367">
        <v>14.55</v>
      </c>
      <c r="H510" s="157" t="str">
        <f t="shared" si="35"/>
        <v>CZK</v>
      </c>
      <c r="I510" s="334"/>
      <c r="J510" s="335" t="s">
        <v>54</v>
      </c>
      <c r="L510" s="97" t="e">
        <f>VLOOKUP(B510,$B$11:B509,1,FALSE)</f>
        <v>#N/A</v>
      </c>
      <c r="M510" s="317">
        <f>G510*(1-FORM!$AE$28/100)</f>
        <v>14.55</v>
      </c>
      <c r="O510" s="502"/>
    </row>
    <row r="511" spans="1:15">
      <c r="A511" s="180"/>
      <c r="B511" s="406">
        <v>9255780</v>
      </c>
      <c r="C511" s="265" t="s">
        <v>1007</v>
      </c>
      <c r="D511" s="266">
        <v>100</v>
      </c>
      <c r="E511" s="332"/>
      <c r="F511" s="333"/>
      <c r="G511" s="367">
        <v>14.82</v>
      </c>
      <c r="H511" s="157" t="str">
        <f t="shared" si="35"/>
        <v>CZK</v>
      </c>
      <c r="I511" s="334"/>
      <c r="J511" s="335" t="s">
        <v>54</v>
      </c>
      <c r="L511" s="97" t="e">
        <f>VLOOKUP(B511,$B$11:B510,1,FALSE)</f>
        <v>#N/A</v>
      </c>
      <c r="M511" s="317">
        <f>G511*(1-FORM!$AE$28/100)</f>
        <v>14.82</v>
      </c>
      <c r="O511" s="502"/>
    </row>
    <row r="512" spans="1:15">
      <c r="A512" s="180"/>
      <c r="B512" s="406">
        <v>9255781</v>
      </c>
      <c r="C512" s="265" t="s">
        <v>1008</v>
      </c>
      <c r="D512" s="266">
        <v>100</v>
      </c>
      <c r="E512" s="332"/>
      <c r="F512" s="333"/>
      <c r="G512" s="367">
        <v>15.08</v>
      </c>
      <c r="H512" s="157" t="str">
        <f t="shared" si="35"/>
        <v>CZK</v>
      </c>
      <c r="I512" s="334"/>
      <c r="J512" s="335" t="s">
        <v>54</v>
      </c>
      <c r="L512" s="97" t="e">
        <f>VLOOKUP(B512,$B$11:B511,1,FALSE)</f>
        <v>#N/A</v>
      </c>
      <c r="M512" s="317">
        <f>G512*(1-FORM!$AE$28/100)</f>
        <v>15.08</v>
      </c>
      <c r="O512" s="502"/>
    </row>
    <row r="513" spans="1:15">
      <c r="A513" s="180"/>
      <c r="B513" s="406">
        <v>9255782</v>
      </c>
      <c r="C513" s="265" t="s">
        <v>1009</v>
      </c>
      <c r="D513" s="266">
        <v>100</v>
      </c>
      <c r="E513" s="332"/>
      <c r="F513" s="333"/>
      <c r="G513" s="367">
        <v>15.34</v>
      </c>
      <c r="H513" s="157" t="str">
        <f t="shared" si="35"/>
        <v>CZK</v>
      </c>
      <c r="I513" s="334"/>
      <c r="J513" s="335" t="s">
        <v>54</v>
      </c>
      <c r="L513" s="97" t="e">
        <f>VLOOKUP(B513,$B$11:B512,1,FALSE)</f>
        <v>#N/A</v>
      </c>
      <c r="M513" s="317">
        <f>G513*(1-FORM!$AE$28/100)</f>
        <v>15.34</v>
      </c>
      <c r="O513" s="502"/>
    </row>
    <row r="514" spans="1:15">
      <c r="A514" s="180"/>
      <c r="B514" s="406">
        <v>9255783</v>
      </c>
      <c r="C514" s="265" t="s">
        <v>1010</v>
      </c>
      <c r="D514" s="266">
        <v>100</v>
      </c>
      <c r="E514" s="332"/>
      <c r="F514" s="333"/>
      <c r="G514" s="367">
        <v>15.61</v>
      </c>
      <c r="H514" s="157" t="str">
        <f t="shared" si="35"/>
        <v>CZK</v>
      </c>
      <c r="I514" s="334"/>
      <c r="J514" s="335" t="s">
        <v>54</v>
      </c>
      <c r="L514" s="97" t="e">
        <f>VLOOKUP(B514,$B$11:B513,1,FALSE)</f>
        <v>#N/A</v>
      </c>
      <c r="M514" s="317">
        <f>G514*(1-FORM!$AE$28/100)</f>
        <v>15.61</v>
      </c>
      <c r="O514" s="502"/>
    </row>
    <row r="515" spans="1:15">
      <c r="A515" s="180"/>
      <c r="B515" s="406">
        <v>9255784</v>
      </c>
      <c r="C515" s="265" t="s">
        <v>1011</v>
      </c>
      <c r="D515" s="266">
        <v>100</v>
      </c>
      <c r="E515" s="332"/>
      <c r="F515" s="333"/>
      <c r="G515" s="367">
        <v>16.010000000000002</v>
      </c>
      <c r="H515" s="157" t="str">
        <f t="shared" si="35"/>
        <v>CZK</v>
      </c>
      <c r="I515" s="334"/>
      <c r="J515" s="335" t="s">
        <v>54</v>
      </c>
      <c r="L515" s="97" t="e">
        <f>VLOOKUP(B515,$B$11:B514,1,FALSE)</f>
        <v>#N/A</v>
      </c>
      <c r="M515" s="317">
        <f>G515*(1-FORM!$AE$28/100)</f>
        <v>16.010000000000002</v>
      </c>
      <c r="O515" s="502"/>
    </row>
    <row r="516" spans="1:15">
      <c r="A516" s="180"/>
      <c r="B516" s="411">
        <v>9255785</v>
      </c>
      <c r="C516" s="412" t="s">
        <v>1012</v>
      </c>
      <c r="D516" s="275">
        <v>100</v>
      </c>
      <c r="E516" s="356"/>
      <c r="F516" s="357"/>
      <c r="G516" s="373">
        <v>16.54</v>
      </c>
      <c r="H516" s="158" t="str">
        <f t="shared" si="35"/>
        <v>CZK</v>
      </c>
      <c r="I516" s="358"/>
      <c r="J516" s="359" t="s">
        <v>54</v>
      </c>
      <c r="L516" s="97" t="e">
        <f>VLOOKUP(B516,$B$11:B515,1,FALSE)</f>
        <v>#N/A</v>
      </c>
      <c r="M516" s="317">
        <f>G516*(1-FORM!$AE$28/100)</f>
        <v>16.54</v>
      </c>
      <c r="O516" s="502"/>
    </row>
    <row r="517" spans="1:15">
      <c r="A517" s="180"/>
      <c r="B517" s="409">
        <v>9255786</v>
      </c>
      <c r="C517" s="271" t="s">
        <v>1013</v>
      </c>
      <c r="D517" s="272">
        <v>100</v>
      </c>
      <c r="E517" s="350"/>
      <c r="F517" s="351"/>
      <c r="G517" s="371">
        <v>14.13</v>
      </c>
      <c r="H517" s="254" t="str">
        <f t="shared" si="35"/>
        <v>CZK</v>
      </c>
      <c r="I517" s="352"/>
      <c r="J517" s="353" t="s">
        <v>54</v>
      </c>
      <c r="L517" s="97" t="e">
        <f>VLOOKUP(B517,$B$11:B516,1,FALSE)</f>
        <v>#N/A</v>
      </c>
      <c r="M517" s="317">
        <f>G517*(1-FORM!$AE$28/100)</f>
        <v>14.13</v>
      </c>
      <c r="O517" s="502"/>
    </row>
    <row r="518" spans="1:15">
      <c r="A518" s="180"/>
      <c r="B518" s="406">
        <v>9255787</v>
      </c>
      <c r="C518" s="265" t="s">
        <v>1014</v>
      </c>
      <c r="D518" s="266">
        <v>100</v>
      </c>
      <c r="E518" s="332"/>
      <c r="F518" s="333"/>
      <c r="G518" s="367">
        <v>14.29</v>
      </c>
      <c r="H518" s="157" t="str">
        <f t="shared" si="35"/>
        <v>CZK</v>
      </c>
      <c r="I518" s="334"/>
      <c r="J518" s="335" t="s">
        <v>54</v>
      </c>
      <c r="L518" s="97" t="e">
        <f>VLOOKUP(B518,$B$11:B517,1,FALSE)</f>
        <v>#N/A</v>
      </c>
      <c r="M518" s="317">
        <f>G518*(1-FORM!$AE$28/100)</f>
        <v>14.29</v>
      </c>
      <c r="O518" s="502"/>
    </row>
    <row r="519" spans="1:15">
      <c r="A519" s="180"/>
      <c r="B519" s="406">
        <v>9255788</v>
      </c>
      <c r="C519" s="265" t="s">
        <v>1015</v>
      </c>
      <c r="D519" s="266">
        <v>100</v>
      </c>
      <c r="E519" s="332"/>
      <c r="F519" s="333"/>
      <c r="G519" s="367">
        <v>14.55</v>
      </c>
      <c r="H519" s="157" t="str">
        <f t="shared" si="35"/>
        <v>CZK</v>
      </c>
      <c r="I519" s="334"/>
      <c r="J519" s="335" t="s">
        <v>54</v>
      </c>
      <c r="L519" s="97" t="e">
        <f>VLOOKUP(B519,$B$11:B518,1,FALSE)</f>
        <v>#N/A</v>
      </c>
      <c r="M519" s="317">
        <f>G519*(1-FORM!$AE$28/100)</f>
        <v>14.55</v>
      </c>
      <c r="O519" s="502"/>
    </row>
    <row r="520" spans="1:15">
      <c r="A520" s="180"/>
      <c r="B520" s="406">
        <v>9255789</v>
      </c>
      <c r="C520" s="265" t="s">
        <v>1016</v>
      </c>
      <c r="D520" s="266">
        <v>100</v>
      </c>
      <c r="E520" s="332"/>
      <c r="F520" s="333"/>
      <c r="G520" s="367">
        <v>14.82</v>
      </c>
      <c r="H520" s="157" t="str">
        <f t="shared" ref="H520:H533" si="36">IF(G520="","",$H$10)</f>
        <v>CZK</v>
      </c>
      <c r="I520" s="334"/>
      <c r="J520" s="335" t="s">
        <v>54</v>
      </c>
      <c r="L520" s="97" t="e">
        <f>VLOOKUP(B520,$B$11:B519,1,FALSE)</f>
        <v>#N/A</v>
      </c>
      <c r="M520" s="317">
        <f>G520*(1-FORM!$AE$28/100)</f>
        <v>14.82</v>
      </c>
      <c r="O520" s="502"/>
    </row>
    <row r="521" spans="1:15">
      <c r="A521" s="180"/>
      <c r="B521" s="406">
        <v>9255790</v>
      </c>
      <c r="C521" s="265" t="s">
        <v>1017</v>
      </c>
      <c r="D521" s="266">
        <v>100</v>
      </c>
      <c r="E521" s="332"/>
      <c r="F521" s="333"/>
      <c r="G521" s="367">
        <v>15.08</v>
      </c>
      <c r="H521" s="157" t="str">
        <f t="shared" si="36"/>
        <v>CZK</v>
      </c>
      <c r="I521" s="334"/>
      <c r="J521" s="335" t="s">
        <v>54</v>
      </c>
      <c r="L521" s="97" t="e">
        <f>VLOOKUP(B521,$B$11:B520,1,FALSE)</f>
        <v>#N/A</v>
      </c>
      <c r="M521" s="317">
        <f>G521*(1-FORM!$AE$28/100)</f>
        <v>15.08</v>
      </c>
      <c r="O521" s="502"/>
    </row>
    <row r="522" spans="1:15">
      <c r="A522" s="180"/>
      <c r="B522" s="406">
        <v>9255791</v>
      </c>
      <c r="C522" s="265" t="s">
        <v>1018</v>
      </c>
      <c r="D522" s="266">
        <v>100</v>
      </c>
      <c r="E522" s="332"/>
      <c r="F522" s="333"/>
      <c r="G522" s="367">
        <v>15.34</v>
      </c>
      <c r="H522" s="157" t="str">
        <f t="shared" si="36"/>
        <v>CZK</v>
      </c>
      <c r="I522" s="334"/>
      <c r="J522" s="335" t="s">
        <v>54</v>
      </c>
      <c r="L522" s="97" t="e">
        <f>VLOOKUP(B522,$B$11:B521,1,FALSE)</f>
        <v>#N/A</v>
      </c>
      <c r="M522" s="317">
        <f>G522*(1-FORM!$AE$28/100)</f>
        <v>15.34</v>
      </c>
      <c r="O522" s="502"/>
    </row>
    <row r="523" spans="1:15">
      <c r="A523" s="180"/>
      <c r="B523" s="406">
        <v>9255792</v>
      </c>
      <c r="C523" s="265" t="s">
        <v>1019</v>
      </c>
      <c r="D523" s="266">
        <v>100</v>
      </c>
      <c r="E523" s="332"/>
      <c r="F523" s="333"/>
      <c r="G523" s="367">
        <v>15.61</v>
      </c>
      <c r="H523" s="157" t="str">
        <f t="shared" si="36"/>
        <v>CZK</v>
      </c>
      <c r="I523" s="334"/>
      <c r="J523" s="335" t="s">
        <v>54</v>
      </c>
      <c r="L523" s="97" t="e">
        <f>VLOOKUP(B523,$B$11:B522,1,FALSE)</f>
        <v>#N/A</v>
      </c>
      <c r="M523" s="317">
        <f>G523*(1-FORM!$AE$28/100)</f>
        <v>15.61</v>
      </c>
      <c r="O523" s="502"/>
    </row>
    <row r="524" spans="1:15">
      <c r="A524" s="180"/>
      <c r="B524" s="406">
        <v>9255793</v>
      </c>
      <c r="C524" s="265" t="s">
        <v>1020</v>
      </c>
      <c r="D524" s="266">
        <v>100</v>
      </c>
      <c r="E524" s="332"/>
      <c r="F524" s="333"/>
      <c r="G524" s="367">
        <v>16.010000000000002</v>
      </c>
      <c r="H524" s="157" t="str">
        <f t="shared" si="36"/>
        <v>CZK</v>
      </c>
      <c r="I524" s="334"/>
      <c r="J524" s="335" t="s">
        <v>54</v>
      </c>
      <c r="L524" s="97" t="e">
        <f>VLOOKUP(B524,$B$11:B523,1,FALSE)</f>
        <v>#N/A</v>
      </c>
      <c r="M524" s="317">
        <f>G524*(1-FORM!$AE$28/100)</f>
        <v>16.010000000000002</v>
      </c>
      <c r="O524" s="502"/>
    </row>
    <row r="525" spans="1:15">
      <c r="A525" s="180"/>
      <c r="B525" s="411">
        <v>9255794</v>
      </c>
      <c r="C525" s="412" t="s">
        <v>1021</v>
      </c>
      <c r="D525" s="275">
        <v>100</v>
      </c>
      <c r="E525" s="356"/>
      <c r="F525" s="357"/>
      <c r="G525" s="373">
        <v>16.54</v>
      </c>
      <c r="H525" s="158" t="str">
        <f t="shared" si="36"/>
        <v>CZK</v>
      </c>
      <c r="I525" s="358"/>
      <c r="J525" s="359" t="s">
        <v>54</v>
      </c>
      <c r="L525" s="97" t="e">
        <f>VLOOKUP(B525,$B$11:B524,1,FALSE)</f>
        <v>#N/A</v>
      </c>
      <c r="M525" s="317">
        <f>G525*(1-FORM!$AE$28/100)</f>
        <v>16.54</v>
      </c>
      <c r="O525" s="502"/>
    </row>
    <row r="526" spans="1:15">
      <c r="A526" s="180"/>
      <c r="B526" s="409">
        <v>9255795</v>
      </c>
      <c r="C526" s="271" t="s">
        <v>1022</v>
      </c>
      <c r="D526" s="272">
        <v>100</v>
      </c>
      <c r="E526" s="350"/>
      <c r="F526" s="351"/>
      <c r="G526" s="371">
        <v>14.13</v>
      </c>
      <c r="H526" s="254" t="str">
        <f t="shared" si="36"/>
        <v>CZK</v>
      </c>
      <c r="I526" s="352"/>
      <c r="J526" s="353" t="s">
        <v>54</v>
      </c>
      <c r="L526" s="97" t="e">
        <f>VLOOKUP(B526,$B$11:B525,1,FALSE)</f>
        <v>#N/A</v>
      </c>
      <c r="M526" s="317">
        <f>G526*(1-FORM!$AE$28/100)</f>
        <v>14.13</v>
      </c>
      <c r="O526" s="502"/>
    </row>
    <row r="527" spans="1:15">
      <c r="A527" s="180"/>
      <c r="B527" s="406">
        <v>9255796</v>
      </c>
      <c r="C527" s="265" t="s">
        <v>1023</v>
      </c>
      <c r="D527" s="266">
        <v>100</v>
      </c>
      <c r="E527" s="332"/>
      <c r="F527" s="333"/>
      <c r="G527" s="367">
        <v>14.29</v>
      </c>
      <c r="H527" s="157" t="str">
        <f t="shared" si="36"/>
        <v>CZK</v>
      </c>
      <c r="I527" s="334"/>
      <c r="J527" s="335" t="s">
        <v>54</v>
      </c>
      <c r="L527" s="97" t="e">
        <f>VLOOKUP(B527,$B$11:B526,1,FALSE)</f>
        <v>#N/A</v>
      </c>
      <c r="M527" s="317">
        <f>G527*(1-FORM!$AE$28/100)</f>
        <v>14.29</v>
      </c>
      <c r="O527" s="502"/>
    </row>
    <row r="528" spans="1:15">
      <c r="A528" s="180"/>
      <c r="B528" s="406">
        <v>9255797</v>
      </c>
      <c r="C528" s="265" t="s">
        <v>1024</v>
      </c>
      <c r="D528" s="266">
        <v>100</v>
      </c>
      <c r="E528" s="332"/>
      <c r="F528" s="333"/>
      <c r="G528" s="367">
        <v>14.55</v>
      </c>
      <c r="H528" s="157" t="str">
        <f t="shared" si="36"/>
        <v>CZK</v>
      </c>
      <c r="I528" s="334"/>
      <c r="J528" s="335" t="s">
        <v>54</v>
      </c>
      <c r="L528" s="97" t="e">
        <f>VLOOKUP(B528,$B$11:B527,1,FALSE)</f>
        <v>#N/A</v>
      </c>
      <c r="M528" s="317">
        <f>G528*(1-FORM!$AE$28/100)</f>
        <v>14.55</v>
      </c>
      <c r="O528" s="502"/>
    </row>
    <row r="529" spans="1:15">
      <c r="A529" s="180"/>
      <c r="B529" s="406">
        <v>9255798</v>
      </c>
      <c r="C529" s="265" t="s">
        <v>1025</v>
      </c>
      <c r="D529" s="266">
        <v>100</v>
      </c>
      <c r="E529" s="332"/>
      <c r="F529" s="333"/>
      <c r="G529" s="367">
        <v>14.82</v>
      </c>
      <c r="H529" s="157" t="str">
        <f t="shared" si="36"/>
        <v>CZK</v>
      </c>
      <c r="I529" s="334"/>
      <c r="J529" s="335" t="s">
        <v>54</v>
      </c>
      <c r="L529" s="97" t="e">
        <f>VLOOKUP(B529,$B$11:B528,1,FALSE)</f>
        <v>#N/A</v>
      </c>
      <c r="M529" s="317">
        <f>G529*(1-FORM!$AE$28/100)</f>
        <v>14.82</v>
      </c>
      <c r="O529" s="502"/>
    </row>
    <row r="530" spans="1:15">
      <c r="A530" s="180"/>
      <c r="B530" s="406">
        <v>9255799</v>
      </c>
      <c r="C530" s="265" t="s">
        <v>1026</v>
      </c>
      <c r="D530" s="266">
        <v>100</v>
      </c>
      <c r="E530" s="332"/>
      <c r="F530" s="333"/>
      <c r="G530" s="367">
        <v>15.08</v>
      </c>
      <c r="H530" s="157" t="str">
        <f t="shared" si="36"/>
        <v>CZK</v>
      </c>
      <c r="I530" s="334"/>
      <c r="J530" s="335" t="s">
        <v>54</v>
      </c>
      <c r="L530" s="97" t="e">
        <f>VLOOKUP(B530,$B$11:B529,1,FALSE)</f>
        <v>#N/A</v>
      </c>
      <c r="M530" s="317">
        <f>G530*(1-FORM!$AE$28/100)</f>
        <v>15.08</v>
      </c>
      <c r="O530" s="502"/>
    </row>
    <row r="531" spans="1:15">
      <c r="A531" s="180"/>
      <c r="B531" s="406">
        <v>9255800</v>
      </c>
      <c r="C531" s="265" t="s">
        <v>1027</v>
      </c>
      <c r="D531" s="266">
        <v>100</v>
      </c>
      <c r="E531" s="332"/>
      <c r="F531" s="333"/>
      <c r="G531" s="367">
        <v>15.34</v>
      </c>
      <c r="H531" s="157" t="str">
        <f t="shared" si="36"/>
        <v>CZK</v>
      </c>
      <c r="I531" s="334"/>
      <c r="J531" s="335" t="s">
        <v>54</v>
      </c>
      <c r="L531" s="97" t="e">
        <f>VLOOKUP(B531,$B$11:B530,1,FALSE)</f>
        <v>#N/A</v>
      </c>
      <c r="M531" s="317">
        <f>G531*(1-FORM!$AE$28/100)</f>
        <v>15.34</v>
      </c>
      <c r="O531" s="502"/>
    </row>
    <row r="532" spans="1:15">
      <c r="A532" s="180"/>
      <c r="B532" s="406">
        <v>9255801</v>
      </c>
      <c r="C532" s="265" t="s">
        <v>1028</v>
      </c>
      <c r="D532" s="266">
        <v>100</v>
      </c>
      <c r="E532" s="332"/>
      <c r="F532" s="333"/>
      <c r="G532" s="367">
        <v>15.61</v>
      </c>
      <c r="H532" s="157" t="str">
        <f t="shared" si="36"/>
        <v>CZK</v>
      </c>
      <c r="I532" s="334"/>
      <c r="J532" s="335" t="s">
        <v>54</v>
      </c>
      <c r="L532" s="97" t="e">
        <f>VLOOKUP(B532,$B$11:B531,1,FALSE)</f>
        <v>#N/A</v>
      </c>
      <c r="M532" s="317">
        <f>G532*(1-FORM!$AE$28/100)</f>
        <v>15.61</v>
      </c>
      <c r="O532" s="502"/>
    </row>
    <row r="533" spans="1:15">
      <c r="A533" s="180"/>
      <c r="B533" s="406">
        <v>9255802</v>
      </c>
      <c r="C533" s="265" t="s">
        <v>1029</v>
      </c>
      <c r="D533" s="266">
        <v>100</v>
      </c>
      <c r="E533" s="332"/>
      <c r="F533" s="333"/>
      <c r="G533" s="367">
        <v>16.010000000000002</v>
      </c>
      <c r="H533" s="157" t="str">
        <f t="shared" si="36"/>
        <v>CZK</v>
      </c>
      <c r="I533" s="334"/>
      <c r="J533" s="335" t="s">
        <v>54</v>
      </c>
      <c r="L533" s="97" t="e">
        <f>VLOOKUP(B533,$B$11:B532,1,FALSE)</f>
        <v>#N/A</v>
      </c>
      <c r="M533" s="317">
        <f>G533*(1-FORM!$AE$28/100)</f>
        <v>16.010000000000002</v>
      </c>
      <c r="O533" s="502"/>
    </row>
    <row r="534" spans="1:15">
      <c r="A534" s="180"/>
      <c r="B534" s="411">
        <v>9255803</v>
      </c>
      <c r="C534" s="412" t="s">
        <v>1030</v>
      </c>
      <c r="D534" s="275">
        <v>100</v>
      </c>
      <c r="E534" s="356"/>
      <c r="F534" s="357"/>
      <c r="G534" s="373">
        <v>16.54</v>
      </c>
      <c r="H534" s="158" t="str">
        <f>IF(G534="","",$H$10)</f>
        <v>CZK</v>
      </c>
      <c r="I534" s="358"/>
      <c r="J534" s="359" t="s">
        <v>54</v>
      </c>
      <c r="L534" s="97" t="e">
        <f>VLOOKUP(B534,$B$11:B533,1,FALSE)</f>
        <v>#N/A</v>
      </c>
      <c r="M534" s="317">
        <f>G534*(1-FORM!$AE$28/100)</f>
        <v>16.54</v>
      </c>
      <c r="O534" s="502"/>
    </row>
    <row r="535" spans="1:15">
      <c r="A535" s="180"/>
      <c r="B535" s="408">
        <v>9255831</v>
      </c>
      <c r="C535" s="202" t="s">
        <v>1031</v>
      </c>
      <c r="D535" s="269">
        <v>50</v>
      </c>
      <c r="E535" s="340"/>
      <c r="F535" s="341"/>
      <c r="G535" s="369">
        <v>49.83</v>
      </c>
      <c r="H535" s="150" t="str">
        <f>IF(G535="","",$H$10)</f>
        <v>CZK</v>
      </c>
      <c r="I535" s="342"/>
      <c r="J535" s="343" t="s">
        <v>54</v>
      </c>
      <c r="L535" s="97" t="e">
        <f>VLOOKUP(B535,$B$11:B534,1,FALSE)</f>
        <v>#N/A</v>
      </c>
      <c r="M535" s="317">
        <f>G535*(1-FORM!$AE$28/100)</f>
        <v>49.83</v>
      </c>
      <c r="O535" s="502"/>
    </row>
    <row r="536" spans="1:15">
      <c r="A536" s="180"/>
      <c r="B536" s="408"/>
      <c r="C536" s="202"/>
      <c r="D536" s="269"/>
      <c r="E536" s="340"/>
      <c r="F536" s="341"/>
      <c r="G536" s="369"/>
      <c r="H536" s="150"/>
      <c r="I536" s="342"/>
      <c r="J536" s="343" t="s">
        <v>54</v>
      </c>
      <c r="L536" s="97" t="e">
        <f>VLOOKUP(B536,$B$11:B535,1,FALSE)</f>
        <v>#N/A</v>
      </c>
      <c r="M536" s="317">
        <f>G536*(1-FORM!$AE$28/100)</f>
        <v>0</v>
      </c>
      <c r="O536" s="502"/>
    </row>
    <row r="537" spans="1:15">
      <c r="A537" s="180"/>
      <c r="B537" s="409">
        <v>9257643</v>
      </c>
      <c r="C537" s="271" t="s">
        <v>1032</v>
      </c>
      <c r="D537" s="272">
        <v>1</v>
      </c>
      <c r="E537" s="350"/>
      <c r="F537" s="351"/>
      <c r="G537" s="371">
        <v>1436.43</v>
      </c>
      <c r="H537" s="254" t="str">
        <f t="shared" ref="H537:H542" si="37">IF(G537="","",$H$10)</f>
        <v>CZK</v>
      </c>
      <c r="I537" s="352"/>
      <c r="J537" s="353" t="s">
        <v>54</v>
      </c>
      <c r="L537" s="97" t="e">
        <f>VLOOKUP(B537,$B$11:B536,1,FALSE)</f>
        <v>#N/A</v>
      </c>
      <c r="M537" s="317">
        <f>G537*(1-FORM!$AE$28/100)</f>
        <v>1436.43</v>
      </c>
      <c r="O537" s="502"/>
    </row>
    <row r="538" spans="1:15">
      <c r="A538" s="180"/>
      <c r="B538" s="406">
        <v>9257645</v>
      </c>
      <c r="C538" s="265" t="s">
        <v>1033</v>
      </c>
      <c r="D538" s="266">
        <v>1</v>
      </c>
      <c r="E538" s="332"/>
      <c r="F538" s="333"/>
      <c r="G538" s="367">
        <v>2370.11</v>
      </c>
      <c r="H538" s="157" t="str">
        <f t="shared" si="37"/>
        <v>CZK</v>
      </c>
      <c r="I538" s="334"/>
      <c r="J538" s="335" t="s">
        <v>54</v>
      </c>
      <c r="L538" s="97" t="e">
        <f>VLOOKUP(B538,$B$11:B537,1,FALSE)</f>
        <v>#N/A</v>
      </c>
      <c r="M538" s="317">
        <f>G538*(1-FORM!$AE$28/100)</f>
        <v>2370.11</v>
      </c>
      <c r="O538" s="502"/>
    </row>
    <row r="539" spans="1:15">
      <c r="A539" s="180"/>
      <c r="B539" s="406">
        <v>9257647</v>
      </c>
      <c r="C539" s="265" t="s">
        <v>1034</v>
      </c>
      <c r="D539" s="266">
        <v>1</v>
      </c>
      <c r="E539" s="332"/>
      <c r="F539" s="333"/>
      <c r="G539" s="367">
        <v>2042.61</v>
      </c>
      <c r="H539" s="157" t="str">
        <f t="shared" si="37"/>
        <v>CZK</v>
      </c>
      <c r="I539" s="334"/>
      <c r="J539" s="335" t="s">
        <v>54</v>
      </c>
      <c r="L539" s="97" t="e">
        <f>VLOOKUP(B539,$B$11:B538,1,FALSE)</f>
        <v>#N/A</v>
      </c>
      <c r="M539" s="317">
        <f>G539*(1-FORM!$AE$28/100)</f>
        <v>2042.61</v>
      </c>
      <c r="O539" s="502"/>
    </row>
    <row r="540" spans="1:15">
      <c r="A540" s="180"/>
      <c r="B540" s="411">
        <v>9257649</v>
      </c>
      <c r="C540" s="412" t="s">
        <v>1035</v>
      </c>
      <c r="D540" s="275">
        <v>1</v>
      </c>
      <c r="E540" s="356"/>
      <c r="F540" s="357"/>
      <c r="G540" s="373">
        <v>3175.95</v>
      </c>
      <c r="H540" s="158" t="str">
        <f t="shared" si="37"/>
        <v>CZK</v>
      </c>
      <c r="I540" s="358"/>
      <c r="J540" s="359" t="s">
        <v>54</v>
      </c>
      <c r="L540" s="97" t="e">
        <f>VLOOKUP(B540,$B$11:B539,1,FALSE)</f>
        <v>#N/A</v>
      </c>
      <c r="M540" s="317">
        <f>G540*(1-FORM!$AE$28/100)</f>
        <v>3175.95</v>
      </c>
      <c r="O540" s="502"/>
    </row>
    <row r="541" spans="1:15">
      <c r="A541" s="180"/>
      <c r="B541" s="409">
        <v>9257703</v>
      </c>
      <c r="C541" s="271" t="s">
        <v>1036</v>
      </c>
      <c r="D541" s="272">
        <v>200</v>
      </c>
      <c r="E541" s="350"/>
      <c r="F541" s="351"/>
      <c r="G541" s="371">
        <v>4.97</v>
      </c>
      <c r="H541" s="254" t="str">
        <f t="shared" si="37"/>
        <v>CZK</v>
      </c>
      <c r="I541" s="352"/>
      <c r="J541" s="353" t="s">
        <v>54</v>
      </c>
      <c r="L541" s="97" t="e">
        <f>VLOOKUP(B541,$B$11:B540,1,FALSE)</f>
        <v>#N/A</v>
      </c>
      <c r="M541" s="317">
        <f>G541*(1-FORM!$AE$28/100)</f>
        <v>4.97</v>
      </c>
      <c r="O541" s="502"/>
    </row>
    <row r="542" spans="1:15">
      <c r="A542" s="180"/>
      <c r="B542" s="406">
        <v>9257704</v>
      </c>
      <c r="C542" s="265" t="s">
        <v>1037</v>
      </c>
      <c r="D542" s="266">
        <v>200</v>
      </c>
      <c r="E542" s="332"/>
      <c r="F542" s="333"/>
      <c r="G542" s="367">
        <v>4.97</v>
      </c>
      <c r="H542" s="157" t="str">
        <f t="shared" si="37"/>
        <v>CZK</v>
      </c>
      <c r="I542" s="334"/>
      <c r="J542" s="335" t="s">
        <v>54</v>
      </c>
      <c r="L542" s="97" t="e">
        <f>VLOOKUP(B542,$B$11:B541,1,FALSE)</f>
        <v>#N/A</v>
      </c>
      <c r="M542" s="317">
        <f>G542*(1-FORM!$AE$28/100)</f>
        <v>4.97</v>
      </c>
      <c r="O542" s="502"/>
    </row>
    <row r="543" spans="1:15">
      <c r="A543" s="180"/>
      <c r="B543" s="406">
        <v>9257705</v>
      </c>
      <c r="C543" s="265" t="s">
        <v>1038</v>
      </c>
      <c r="D543" s="266">
        <v>200</v>
      </c>
      <c r="E543" s="332"/>
      <c r="F543" s="333"/>
      <c r="G543" s="367">
        <v>4.97</v>
      </c>
      <c r="H543" s="157" t="str">
        <f>IF(G543="","",$H$10)</f>
        <v>CZK</v>
      </c>
      <c r="I543" s="334"/>
      <c r="J543" s="335" t="s">
        <v>54</v>
      </c>
      <c r="L543" s="97" t="e">
        <f>VLOOKUP(B543,$B$11:B542,1,FALSE)</f>
        <v>#N/A</v>
      </c>
      <c r="M543" s="317">
        <f>G543*(1-FORM!$AE$28/100)</f>
        <v>4.97</v>
      </c>
      <c r="O543" s="502"/>
    </row>
    <row r="544" spans="1:15">
      <c r="A544" s="180"/>
      <c r="B544" s="406">
        <v>9270185</v>
      </c>
      <c r="C544" s="265" t="s">
        <v>1039</v>
      </c>
      <c r="D544" s="266">
        <v>200</v>
      </c>
      <c r="E544" s="332"/>
      <c r="F544" s="333"/>
      <c r="G544" s="367">
        <v>2.21</v>
      </c>
      <c r="H544" s="157" t="str">
        <f>IF(G544="","",$H$10)</f>
        <v>CZK</v>
      </c>
      <c r="I544" s="334"/>
      <c r="J544" s="335" t="s">
        <v>54</v>
      </c>
      <c r="L544" s="97" t="e">
        <f>VLOOKUP(B544,$B$11:B543,1,FALSE)</f>
        <v>#N/A</v>
      </c>
      <c r="M544" s="317">
        <f>G544*(1-FORM!$AE$28/100)</f>
        <v>2.21</v>
      </c>
      <c r="O544" s="502"/>
    </row>
    <row r="545" spans="1:15">
      <c r="A545" s="180"/>
      <c r="B545" s="406">
        <v>9270186</v>
      </c>
      <c r="C545" s="265" t="s">
        <v>1040</v>
      </c>
      <c r="D545" s="266">
        <v>200</v>
      </c>
      <c r="E545" s="332"/>
      <c r="F545" s="333"/>
      <c r="G545" s="367">
        <v>2.21</v>
      </c>
      <c r="H545" s="157" t="str">
        <f t="shared" ref="H545:H591" si="38">IF(G545="","",$H$10)</f>
        <v>CZK</v>
      </c>
      <c r="I545" s="334"/>
      <c r="J545" s="335" t="s">
        <v>54</v>
      </c>
      <c r="L545" s="97" t="e">
        <f>VLOOKUP(B545,$B$11:B544,1,FALSE)</f>
        <v>#N/A</v>
      </c>
      <c r="M545" s="317">
        <f>G545*(1-FORM!$AE$28/100)</f>
        <v>2.21</v>
      </c>
      <c r="O545" s="502"/>
    </row>
    <row r="546" spans="1:15">
      <c r="A546" s="180"/>
      <c r="B546" s="411">
        <v>9270187</v>
      </c>
      <c r="C546" s="412" t="s">
        <v>1041</v>
      </c>
      <c r="D546" s="275">
        <v>200</v>
      </c>
      <c r="E546" s="356"/>
      <c r="F546" s="357"/>
      <c r="G546" s="373">
        <v>2.21</v>
      </c>
      <c r="H546" s="158" t="str">
        <f t="shared" si="38"/>
        <v>CZK</v>
      </c>
      <c r="I546" s="358"/>
      <c r="J546" s="359" t="s">
        <v>54</v>
      </c>
      <c r="L546" s="97" t="e">
        <f>VLOOKUP(B546,$B$11:B545,1,FALSE)</f>
        <v>#N/A</v>
      </c>
      <c r="M546" s="317">
        <f>G546*(1-FORM!$AE$28/100)</f>
        <v>2.21</v>
      </c>
      <c r="O546" s="502"/>
    </row>
    <row r="547" spans="1:15">
      <c r="A547" s="180"/>
      <c r="B547" s="408">
        <v>9123080</v>
      </c>
      <c r="C547" s="202" t="s">
        <v>1042</v>
      </c>
      <c r="D547" s="269">
        <v>150</v>
      </c>
      <c r="E547" s="340"/>
      <c r="F547" s="341"/>
      <c r="G547" s="369">
        <v>18.02</v>
      </c>
      <c r="H547" s="150" t="str">
        <f t="shared" si="38"/>
        <v>CZK</v>
      </c>
      <c r="I547" s="342"/>
      <c r="J547" s="343" t="s">
        <v>54</v>
      </c>
      <c r="L547" s="97" t="e">
        <f>VLOOKUP(B547,$B$11:B546,1,FALSE)</f>
        <v>#N/A</v>
      </c>
      <c r="M547" s="317">
        <f>G547*(1-FORM!$AE$28/100)</f>
        <v>18.02</v>
      </c>
      <c r="O547" s="502"/>
    </row>
    <row r="548" spans="1:15">
      <c r="A548" s="180"/>
      <c r="B548" s="408"/>
      <c r="C548" s="202"/>
      <c r="D548" s="269"/>
      <c r="E548" s="340"/>
      <c r="F548" s="341"/>
      <c r="G548" s="369"/>
      <c r="H548" s="150"/>
      <c r="I548" s="342"/>
      <c r="J548" s="343" t="s">
        <v>54</v>
      </c>
      <c r="L548" s="97" t="e">
        <f>VLOOKUP(B548,$B$11:B547,1,FALSE)</f>
        <v>#N/A</v>
      </c>
      <c r="M548" s="317">
        <f>G548*(1-FORM!$AE$28/100)</f>
        <v>0</v>
      </c>
      <c r="O548" s="502"/>
    </row>
    <row r="549" spans="1:15">
      <c r="A549" s="180"/>
      <c r="B549" s="409">
        <v>9283178</v>
      </c>
      <c r="C549" s="271" t="s">
        <v>1043</v>
      </c>
      <c r="D549" s="272">
        <v>1</v>
      </c>
      <c r="E549" s="350"/>
      <c r="F549" s="351"/>
      <c r="G549" s="371">
        <v>670.1</v>
      </c>
      <c r="H549" s="254" t="str">
        <f t="shared" si="38"/>
        <v>CZK</v>
      </c>
      <c r="I549" s="352"/>
      <c r="J549" s="353" t="s">
        <v>54</v>
      </c>
      <c r="L549" s="97" t="e">
        <f>VLOOKUP(B549,$B$11:B548,1,FALSE)</f>
        <v>#N/A</v>
      </c>
      <c r="M549" s="317">
        <f>G549*(1-FORM!$AE$28/100)</f>
        <v>670.1</v>
      </c>
      <c r="O549" s="502"/>
    </row>
    <row r="550" spans="1:15">
      <c r="A550" s="180"/>
      <c r="B550" s="406">
        <v>9283179</v>
      </c>
      <c r="C550" s="265" t="s">
        <v>1044</v>
      </c>
      <c r="D550" s="266">
        <v>1</v>
      </c>
      <c r="E550" s="332"/>
      <c r="F550" s="333"/>
      <c r="G550" s="367">
        <v>708.04</v>
      </c>
      <c r="H550" s="157" t="str">
        <f t="shared" si="38"/>
        <v>CZK</v>
      </c>
      <c r="I550" s="334"/>
      <c r="J550" s="335" t="s">
        <v>54</v>
      </c>
      <c r="L550" s="97" t="e">
        <f>VLOOKUP(B550,$B$11:B549,1,FALSE)</f>
        <v>#N/A</v>
      </c>
      <c r="M550" s="317">
        <f>G550*(1-FORM!$AE$28/100)</f>
        <v>708.04</v>
      </c>
      <c r="O550" s="502"/>
    </row>
    <row r="551" spans="1:15">
      <c r="A551" s="180"/>
      <c r="B551" s="406">
        <v>9283180</v>
      </c>
      <c r="C551" s="265" t="s">
        <v>1045</v>
      </c>
      <c r="D551" s="266">
        <v>1</v>
      </c>
      <c r="E551" s="332"/>
      <c r="F551" s="333"/>
      <c r="G551" s="367">
        <v>745.99</v>
      </c>
      <c r="H551" s="157" t="str">
        <f t="shared" si="38"/>
        <v>CZK</v>
      </c>
      <c r="I551" s="334"/>
      <c r="J551" s="335" t="s">
        <v>54</v>
      </c>
      <c r="L551" s="97" t="e">
        <f>VLOOKUP(B551,$B$11:B550,1,FALSE)</f>
        <v>#N/A</v>
      </c>
      <c r="M551" s="317">
        <f>G551*(1-FORM!$AE$28/100)</f>
        <v>745.99</v>
      </c>
      <c r="O551" s="502"/>
    </row>
    <row r="552" spans="1:15">
      <c r="A552" s="180"/>
      <c r="B552" s="406">
        <v>9283181</v>
      </c>
      <c r="C552" s="265" t="s">
        <v>1046</v>
      </c>
      <c r="D552" s="266">
        <v>1</v>
      </c>
      <c r="E552" s="332"/>
      <c r="F552" s="333"/>
      <c r="G552" s="367">
        <v>783.93</v>
      </c>
      <c r="H552" s="157" t="str">
        <f t="shared" si="38"/>
        <v>CZK</v>
      </c>
      <c r="I552" s="334"/>
      <c r="J552" s="335" t="s">
        <v>54</v>
      </c>
      <c r="L552" s="97" t="e">
        <f>VLOOKUP(B552,$B$11:B551,1,FALSE)</f>
        <v>#N/A</v>
      </c>
      <c r="M552" s="317">
        <f>G552*(1-FORM!$AE$28/100)</f>
        <v>783.93</v>
      </c>
      <c r="O552" s="502"/>
    </row>
    <row r="553" spans="1:15">
      <c r="A553" s="180"/>
      <c r="B553" s="406">
        <v>9283182</v>
      </c>
      <c r="C553" s="265" t="s">
        <v>1047</v>
      </c>
      <c r="D553" s="266">
        <v>1</v>
      </c>
      <c r="E553" s="332"/>
      <c r="F553" s="333"/>
      <c r="G553" s="367">
        <v>859.8</v>
      </c>
      <c r="H553" s="157" t="str">
        <f t="shared" si="38"/>
        <v>CZK</v>
      </c>
      <c r="I553" s="334"/>
      <c r="J553" s="335" t="s">
        <v>54</v>
      </c>
      <c r="L553" s="97" t="e">
        <f>VLOOKUP(B553,$B$11:B552,1,FALSE)</f>
        <v>#N/A</v>
      </c>
      <c r="M553" s="317">
        <f>G553*(1-FORM!$AE$28/100)</f>
        <v>859.8</v>
      </c>
      <c r="O553" s="502"/>
    </row>
    <row r="554" spans="1:15">
      <c r="A554" s="180"/>
      <c r="B554" s="406">
        <v>9283183</v>
      </c>
      <c r="C554" s="265" t="s">
        <v>1048</v>
      </c>
      <c r="D554" s="266">
        <v>1</v>
      </c>
      <c r="E554" s="332"/>
      <c r="F554" s="333"/>
      <c r="G554" s="367">
        <v>935.66</v>
      </c>
      <c r="H554" s="157" t="str">
        <f t="shared" si="38"/>
        <v>CZK</v>
      </c>
      <c r="I554" s="334"/>
      <c r="J554" s="335" t="s">
        <v>54</v>
      </c>
      <c r="L554" s="97" t="e">
        <f>VLOOKUP(B554,$B$11:B553,1,FALSE)</f>
        <v>#N/A</v>
      </c>
      <c r="M554" s="317">
        <f>G554*(1-FORM!$AE$28/100)</f>
        <v>935.66</v>
      </c>
      <c r="O554" s="502"/>
    </row>
    <row r="555" spans="1:15">
      <c r="A555" s="180"/>
      <c r="B555" s="411">
        <v>9283184</v>
      </c>
      <c r="C555" s="412" t="s">
        <v>1049</v>
      </c>
      <c r="D555" s="275">
        <v>1</v>
      </c>
      <c r="E555" s="356"/>
      <c r="F555" s="357"/>
      <c r="G555" s="373">
        <v>1011.52</v>
      </c>
      <c r="H555" s="158" t="str">
        <f t="shared" si="38"/>
        <v>CZK</v>
      </c>
      <c r="I555" s="358"/>
      <c r="J555" s="359" t="s">
        <v>54</v>
      </c>
      <c r="L555" s="97" t="e">
        <f>VLOOKUP(B555,$B$11:B554,1,FALSE)</f>
        <v>#N/A</v>
      </c>
      <c r="M555" s="317">
        <f>G555*(1-FORM!$AE$28/100)</f>
        <v>1011.52</v>
      </c>
      <c r="O555" s="502"/>
    </row>
    <row r="556" spans="1:15">
      <c r="A556" s="180"/>
      <c r="B556" s="411"/>
      <c r="C556" s="412"/>
      <c r="D556" s="275"/>
      <c r="E556" s="356"/>
      <c r="F556" s="357"/>
      <c r="G556" s="373"/>
      <c r="H556" s="158"/>
      <c r="I556" s="358"/>
      <c r="J556" s="359" t="s">
        <v>54</v>
      </c>
      <c r="L556" s="97" t="e">
        <f>VLOOKUP(B556,$B$11:B555,1,FALSE)</f>
        <v>#N/A</v>
      </c>
      <c r="M556" s="317">
        <f>G556*(1-FORM!$AE$28/100)</f>
        <v>0</v>
      </c>
      <c r="O556" s="502"/>
    </row>
    <row r="557" spans="1:15">
      <c r="A557" s="180"/>
      <c r="B557" s="409">
        <v>9283185</v>
      </c>
      <c r="C557" s="271" t="s">
        <v>1050</v>
      </c>
      <c r="D557" s="272">
        <v>1</v>
      </c>
      <c r="E557" s="350"/>
      <c r="F557" s="351"/>
      <c r="G557" s="371">
        <v>289.77</v>
      </c>
      <c r="H557" s="254" t="str">
        <f t="shared" si="38"/>
        <v>CZK</v>
      </c>
      <c r="I557" s="352"/>
      <c r="J557" s="353" t="s">
        <v>54</v>
      </c>
      <c r="L557" s="97" t="e">
        <f>VLOOKUP(B557,$B$11:B556,1,FALSE)</f>
        <v>#N/A</v>
      </c>
      <c r="M557" s="317">
        <f>G557*(1-FORM!$AE$28/100)</f>
        <v>289.77</v>
      </c>
      <c r="O557" s="502"/>
    </row>
    <row r="558" spans="1:15">
      <c r="A558" s="180"/>
      <c r="B558" s="406">
        <v>9283186</v>
      </c>
      <c r="C558" s="265" t="s">
        <v>1051</v>
      </c>
      <c r="D558" s="266">
        <v>1</v>
      </c>
      <c r="E558" s="332"/>
      <c r="F558" s="333"/>
      <c r="G558" s="367">
        <v>332.18</v>
      </c>
      <c r="H558" s="157" t="str">
        <f t="shared" si="38"/>
        <v>CZK</v>
      </c>
      <c r="I558" s="334"/>
      <c r="J558" s="335" t="s">
        <v>54</v>
      </c>
      <c r="L558" s="97" t="e">
        <f>VLOOKUP(B558,$B$11:B557,1,FALSE)</f>
        <v>#N/A</v>
      </c>
      <c r="M558" s="317">
        <f>G558*(1-FORM!$AE$28/100)</f>
        <v>332.18</v>
      </c>
      <c r="O558" s="502"/>
    </row>
    <row r="559" spans="1:15">
      <c r="A559" s="180"/>
      <c r="B559" s="406">
        <v>9283187</v>
      </c>
      <c r="C559" s="265" t="s">
        <v>1052</v>
      </c>
      <c r="D559" s="266">
        <v>1</v>
      </c>
      <c r="E559" s="332"/>
      <c r="F559" s="333"/>
      <c r="G559" s="367">
        <v>586.6</v>
      </c>
      <c r="H559" s="157" t="str">
        <f t="shared" si="38"/>
        <v>CZK</v>
      </c>
      <c r="I559" s="334"/>
      <c r="J559" s="335" t="s">
        <v>54</v>
      </c>
      <c r="L559" s="97" t="e">
        <f>VLOOKUP(B559,$B$11:B558,1,FALSE)</f>
        <v>#N/A</v>
      </c>
      <c r="M559" s="317">
        <f>G559*(1-FORM!$AE$28/100)</f>
        <v>586.6</v>
      </c>
      <c r="O559" s="502"/>
    </row>
    <row r="560" spans="1:15">
      <c r="A560" s="180"/>
      <c r="B560" s="406">
        <v>9283188</v>
      </c>
      <c r="C560" s="265" t="s">
        <v>1053</v>
      </c>
      <c r="D560" s="266">
        <v>1</v>
      </c>
      <c r="E560" s="332"/>
      <c r="F560" s="333"/>
      <c r="G560" s="367">
        <v>756.22</v>
      </c>
      <c r="H560" s="157" t="str">
        <f t="shared" si="38"/>
        <v>CZK</v>
      </c>
      <c r="I560" s="334"/>
      <c r="J560" s="335" t="s">
        <v>54</v>
      </c>
      <c r="L560" s="97" t="e">
        <f>VLOOKUP(B560,$B$11:B559,1,FALSE)</f>
        <v>#N/A</v>
      </c>
      <c r="M560" s="317">
        <f>G560*(1-FORM!$AE$28/100)</f>
        <v>756.22</v>
      </c>
      <c r="O560" s="502"/>
    </row>
    <row r="561" spans="1:15">
      <c r="A561" s="180"/>
      <c r="B561" s="406">
        <v>9283228</v>
      </c>
      <c r="C561" s="265" t="s">
        <v>1054</v>
      </c>
      <c r="D561" s="266">
        <v>1</v>
      </c>
      <c r="E561" s="332"/>
      <c r="F561" s="333"/>
      <c r="G561" s="367">
        <v>289.77</v>
      </c>
      <c r="H561" s="157" t="str">
        <f t="shared" si="38"/>
        <v>CZK</v>
      </c>
      <c r="I561" s="334"/>
      <c r="J561" s="335" t="s">
        <v>54</v>
      </c>
      <c r="L561" s="97" t="e">
        <f>VLOOKUP(B561,$B$11:B560,1,FALSE)</f>
        <v>#N/A</v>
      </c>
      <c r="M561" s="317">
        <f>G561*(1-FORM!$AE$28/100)</f>
        <v>289.77</v>
      </c>
      <c r="O561" s="502"/>
    </row>
    <row r="562" spans="1:15">
      <c r="A562" s="180"/>
      <c r="B562" s="406">
        <v>9283229</v>
      </c>
      <c r="C562" s="265" t="s">
        <v>1055</v>
      </c>
      <c r="D562" s="266">
        <v>1</v>
      </c>
      <c r="E562" s="332"/>
      <c r="F562" s="333"/>
      <c r="G562" s="367">
        <v>332.18</v>
      </c>
      <c r="H562" s="157" t="str">
        <f t="shared" si="38"/>
        <v>CZK</v>
      </c>
      <c r="I562" s="334"/>
      <c r="J562" s="335" t="s">
        <v>54</v>
      </c>
      <c r="L562" s="97" t="e">
        <f>VLOOKUP(B562,$B$11:B561,1,FALSE)</f>
        <v>#N/A</v>
      </c>
      <c r="M562" s="317">
        <f>G562*(1-FORM!$AE$28/100)</f>
        <v>332.18</v>
      </c>
      <c r="O562" s="502"/>
    </row>
    <row r="563" spans="1:15">
      <c r="A563" s="180"/>
      <c r="B563" s="406">
        <v>9283231</v>
      </c>
      <c r="C563" s="265" t="s">
        <v>1056</v>
      </c>
      <c r="D563" s="266">
        <v>1</v>
      </c>
      <c r="E563" s="332"/>
      <c r="F563" s="333"/>
      <c r="G563" s="367">
        <v>586.6</v>
      </c>
      <c r="H563" s="157" t="str">
        <f t="shared" si="38"/>
        <v>CZK</v>
      </c>
      <c r="I563" s="334"/>
      <c r="J563" s="335" t="s">
        <v>54</v>
      </c>
      <c r="L563" s="97" t="e">
        <f>VLOOKUP(B563,$B$11:B562,1,FALSE)</f>
        <v>#N/A</v>
      </c>
      <c r="M563" s="317">
        <f>G563*(1-FORM!$AE$28/100)</f>
        <v>586.6</v>
      </c>
      <c r="O563" s="502"/>
    </row>
    <row r="564" spans="1:15">
      <c r="A564" s="180"/>
      <c r="B564" s="406">
        <v>9283232</v>
      </c>
      <c r="C564" s="265" t="s">
        <v>1057</v>
      </c>
      <c r="D564" s="266">
        <v>1</v>
      </c>
      <c r="E564" s="332"/>
      <c r="F564" s="333"/>
      <c r="G564" s="367">
        <v>756.22</v>
      </c>
      <c r="H564" s="157" t="str">
        <f t="shared" si="38"/>
        <v>CZK</v>
      </c>
      <c r="I564" s="334"/>
      <c r="J564" s="335" t="s">
        <v>54</v>
      </c>
      <c r="L564" s="97" t="e">
        <f>VLOOKUP(B564,$B$11:B563,1,FALSE)</f>
        <v>#N/A</v>
      </c>
      <c r="M564" s="317">
        <f>G564*(1-FORM!$AE$28/100)</f>
        <v>756.22</v>
      </c>
      <c r="O564" s="502"/>
    </row>
    <row r="565" spans="1:15">
      <c r="A565" s="180"/>
      <c r="B565" s="406">
        <v>9283241</v>
      </c>
      <c r="C565" s="265" t="s">
        <v>1058</v>
      </c>
      <c r="D565" s="266">
        <v>1</v>
      </c>
      <c r="E565" s="332"/>
      <c r="F565" s="333"/>
      <c r="G565" s="367">
        <v>289.77</v>
      </c>
      <c r="H565" s="157" t="str">
        <f t="shared" si="38"/>
        <v>CZK</v>
      </c>
      <c r="I565" s="334"/>
      <c r="J565" s="335" t="s">
        <v>54</v>
      </c>
      <c r="L565" s="97" t="e">
        <f>VLOOKUP(B565,$B$11:B564,1,FALSE)</f>
        <v>#N/A</v>
      </c>
      <c r="M565" s="317">
        <f>G565*(1-FORM!$AE$28/100)</f>
        <v>289.77</v>
      </c>
      <c r="O565" s="502"/>
    </row>
    <row r="566" spans="1:15">
      <c r="A566" s="180"/>
      <c r="B566" s="406">
        <v>9283242</v>
      </c>
      <c r="C566" s="265" t="s">
        <v>1059</v>
      </c>
      <c r="D566" s="266">
        <v>1</v>
      </c>
      <c r="E566" s="332"/>
      <c r="F566" s="333"/>
      <c r="G566" s="367">
        <v>332.18</v>
      </c>
      <c r="H566" s="157" t="str">
        <f t="shared" si="38"/>
        <v>CZK</v>
      </c>
      <c r="I566" s="334"/>
      <c r="J566" s="335" t="s">
        <v>54</v>
      </c>
      <c r="L566" s="97" t="e">
        <f>VLOOKUP(B566,$B$11:B565,1,FALSE)</f>
        <v>#N/A</v>
      </c>
      <c r="M566" s="317">
        <f>G566*(1-FORM!$AE$28/100)</f>
        <v>332.18</v>
      </c>
      <c r="O566" s="502"/>
    </row>
    <row r="567" spans="1:15">
      <c r="A567" s="180"/>
      <c r="B567" s="406">
        <v>9283244</v>
      </c>
      <c r="C567" s="265" t="s">
        <v>1060</v>
      </c>
      <c r="D567" s="266">
        <v>1</v>
      </c>
      <c r="E567" s="332"/>
      <c r="F567" s="333"/>
      <c r="G567" s="367">
        <v>586.6</v>
      </c>
      <c r="H567" s="157" t="str">
        <f t="shared" si="38"/>
        <v>CZK</v>
      </c>
      <c r="I567" s="334"/>
      <c r="J567" s="335" t="s">
        <v>54</v>
      </c>
      <c r="L567" s="97" t="e">
        <f>VLOOKUP(B567,$B$11:B566,1,FALSE)</f>
        <v>#N/A</v>
      </c>
      <c r="M567" s="317">
        <f>G567*(1-FORM!$AE$28/100)</f>
        <v>586.6</v>
      </c>
      <c r="O567" s="502"/>
    </row>
    <row r="568" spans="1:15">
      <c r="A568" s="180"/>
      <c r="B568" s="411">
        <v>9283245</v>
      </c>
      <c r="C568" s="412" t="s">
        <v>1061</v>
      </c>
      <c r="D568" s="275">
        <v>1</v>
      </c>
      <c r="E568" s="356"/>
      <c r="F568" s="357"/>
      <c r="G568" s="373">
        <v>756.22</v>
      </c>
      <c r="H568" s="158" t="str">
        <f t="shared" si="38"/>
        <v>CZK</v>
      </c>
      <c r="I568" s="358"/>
      <c r="J568" s="359" t="s">
        <v>54</v>
      </c>
      <c r="L568" s="97" t="e">
        <f>VLOOKUP(B568,$B$11:B567,1,FALSE)</f>
        <v>#N/A</v>
      </c>
      <c r="M568" s="317">
        <f>G568*(1-FORM!$AE$28/100)</f>
        <v>756.22</v>
      </c>
      <c r="O568" s="502"/>
    </row>
    <row r="569" spans="1:15">
      <c r="A569" s="180"/>
      <c r="B569" s="409">
        <v>9283189</v>
      </c>
      <c r="C569" s="271" t="s">
        <v>1062</v>
      </c>
      <c r="D569" s="272">
        <v>1</v>
      </c>
      <c r="E569" s="350"/>
      <c r="F569" s="351"/>
      <c r="G569" s="371">
        <v>458.09</v>
      </c>
      <c r="H569" s="254" t="str">
        <f t="shared" si="38"/>
        <v>CZK</v>
      </c>
      <c r="I569" s="352"/>
      <c r="J569" s="353" t="s">
        <v>54</v>
      </c>
      <c r="L569" s="97" t="e">
        <f>VLOOKUP(B569,$B$11:B568,1,FALSE)</f>
        <v>#N/A</v>
      </c>
      <c r="M569" s="317">
        <f>G569*(1-FORM!$AE$28/100)</f>
        <v>458.09</v>
      </c>
      <c r="O569" s="502"/>
    </row>
    <row r="570" spans="1:15">
      <c r="A570" s="180"/>
      <c r="B570" s="406">
        <v>9283190</v>
      </c>
      <c r="C570" s="265" t="s">
        <v>1063</v>
      </c>
      <c r="D570" s="266">
        <v>1</v>
      </c>
      <c r="E570" s="332"/>
      <c r="F570" s="333"/>
      <c r="G570" s="367">
        <v>520.58000000000004</v>
      </c>
      <c r="H570" s="157" t="str">
        <f t="shared" si="38"/>
        <v>CZK</v>
      </c>
      <c r="I570" s="334"/>
      <c r="J570" s="335" t="s">
        <v>54</v>
      </c>
      <c r="L570" s="97" t="e">
        <f>VLOOKUP(B570,$B$11:B569,1,FALSE)</f>
        <v>#N/A</v>
      </c>
      <c r="M570" s="317">
        <f>G570*(1-FORM!$AE$28/100)</f>
        <v>520.58000000000004</v>
      </c>
      <c r="O570" s="502"/>
    </row>
    <row r="571" spans="1:15">
      <c r="A571" s="180"/>
      <c r="B571" s="406">
        <v>9283191</v>
      </c>
      <c r="C571" s="265" t="s">
        <v>1064</v>
      </c>
      <c r="D571" s="266">
        <v>1</v>
      </c>
      <c r="E571" s="332"/>
      <c r="F571" s="333"/>
      <c r="G571" s="367">
        <v>867.64</v>
      </c>
      <c r="H571" s="157" t="str">
        <f t="shared" si="38"/>
        <v>CZK</v>
      </c>
      <c r="I571" s="334"/>
      <c r="J571" s="335" t="s">
        <v>54</v>
      </c>
      <c r="L571" s="97" t="e">
        <f>VLOOKUP(B571,$B$11:B570,1,FALSE)</f>
        <v>#N/A</v>
      </c>
      <c r="M571" s="317">
        <f>G571*(1-FORM!$AE$28/100)</f>
        <v>867.64</v>
      </c>
      <c r="O571" s="502"/>
    </row>
    <row r="572" spans="1:15">
      <c r="A572" s="180"/>
      <c r="B572" s="406">
        <v>9283192</v>
      </c>
      <c r="C572" s="265" t="s">
        <v>1065</v>
      </c>
      <c r="D572" s="266">
        <v>1</v>
      </c>
      <c r="E572" s="332"/>
      <c r="F572" s="333"/>
      <c r="G572" s="367">
        <v>1117.52</v>
      </c>
      <c r="H572" s="157" t="str">
        <f t="shared" si="38"/>
        <v>CZK</v>
      </c>
      <c r="I572" s="334"/>
      <c r="J572" s="335" t="s">
        <v>54</v>
      </c>
      <c r="L572" s="97" t="e">
        <f>VLOOKUP(B572,$B$11:B571,1,FALSE)</f>
        <v>#N/A</v>
      </c>
      <c r="M572" s="317">
        <f>G572*(1-FORM!$AE$28/100)</f>
        <v>1117.52</v>
      </c>
      <c r="O572" s="502"/>
    </row>
    <row r="573" spans="1:15">
      <c r="A573" s="180"/>
      <c r="B573" s="406">
        <v>9283233</v>
      </c>
      <c r="C573" s="265" t="s">
        <v>1066</v>
      </c>
      <c r="D573" s="266">
        <v>1</v>
      </c>
      <c r="E573" s="332"/>
      <c r="F573" s="333"/>
      <c r="G573" s="367">
        <v>458.09</v>
      </c>
      <c r="H573" s="157" t="str">
        <f t="shared" si="38"/>
        <v>CZK</v>
      </c>
      <c r="I573" s="334"/>
      <c r="J573" s="335" t="s">
        <v>54</v>
      </c>
      <c r="L573" s="97" t="e">
        <f>VLOOKUP(B573,$B$11:B572,1,FALSE)</f>
        <v>#N/A</v>
      </c>
      <c r="M573" s="317">
        <f>G573*(1-FORM!$AE$28/100)</f>
        <v>458.09</v>
      </c>
      <c r="O573" s="502"/>
    </row>
    <row r="574" spans="1:15">
      <c r="A574" s="180"/>
      <c r="B574" s="406">
        <v>9283235</v>
      </c>
      <c r="C574" s="265" t="s">
        <v>1067</v>
      </c>
      <c r="D574" s="266">
        <v>1</v>
      </c>
      <c r="E574" s="332"/>
      <c r="F574" s="333"/>
      <c r="G574" s="367">
        <v>520.58000000000004</v>
      </c>
      <c r="H574" s="157" t="str">
        <f t="shared" si="38"/>
        <v>CZK</v>
      </c>
      <c r="I574" s="334"/>
      <c r="J574" s="335" t="s">
        <v>54</v>
      </c>
      <c r="L574" s="97" t="e">
        <f>VLOOKUP(B574,$B$11:B573,1,FALSE)</f>
        <v>#N/A</v>
      </c>
      <c r="M574" s="317">
        <f>G574*(1-FORM!$AE$28/100)</f>
        <v>520.58000000000004</v>
      </c>
      <c r="O574" s="502"/>
    </row>
    <row r="575" spans="1:15">
      <c r="A575" s="180"/>
      <c r="B575" s="406">
        <v>9283237</v>
      </c>
      <c r="C575" s="265" t="s">
        <v>1068</v>
      </c>
      <c r="D575" s="266">
        <v>1</v>
      </c>
      <c r="E575" s="332"/>
      <c r="F575" s="333"/>
      <c r="G575" s="367">
        <v>867.64</v>
      </c>
      <c r="H575" s="157" t="str">
        <f t="shared" si="38"/>
        <v>CZK</v>
      </c>
      <c r="I575" s="334"/>
      <c r="J575" s="335" t="s">
        <v>54</v>
      </c>
      <c r="L575" s="97" t="e">
        <f>VLOOKUP(B575,$B$11:B574,1,FALSE)</f>
        <v>#N/A</v>
      </c>
      <c r="M575" s="317">
        <f>G575*(1-FORM!$AE$28/100)</f>
        <v>867.64</v>
      </c>
      <c r="O575" s="502"/>
    </row>
    <row r="576" spans="1:15">
      <c r="A576" s="180"/>
      <c r="B576" s="406">
        <v>9283238</v>
      </c>
      <c r="C576" s="265" t="s">
        <v>1069</v>
      </c>
      <c r="D576" s="266">
        <v>1</v>
      </c>
      <c r="E576" s="332"/>
      <c r="F576" s="333"/>
      <c r="G576" s="367">
        <v>1117.52</v>
      </c>
      <c r="H576" s="157" t="str">
        <f t="shared" si="38"/>
        <v>CZK</v>
      </c>
      <c r="I576" s="334"/>
      <c r="J576" s="335" t="s">
        <v>54</v>
      </c>
      <c r="L576" s="97" t="e">
        <f>VLOOKUP(B576,$B$11:B575,1,FALSE)</f>
        <v>#N/A</v>
      </c>
      <c r="M576" s="317">
        <f>G576*(1-FORM!$AE$28/100)</f>
        <v>1117.52</v>
      </c>
      <c r="O576" s="502"/>
    </row>
    <row r="577" spans="1:15">
      <c r="A577" s="180"/>
      <c r="B577" s="406">
        <v>9283246</v>
      </c>
      <c r="C577" s="265" t="s">
        <v>1070</v>
      </c>
      <c r="D577" s="266">
        <v>1</v>
      </c>
      <c r="E577" s="332"/>
      <c r="F577" s="333"/>
      <c r="G577" s="367">
        <v>458.09</v>
      </c>
      <c r="H577" s="157" t="str">
        <f t="shared" si="38"/>
        <v>CZK</v>
      </c>
      <c r="I577" s="334"/>
      <c r="J577" s="335" t="s">
        <v>54</v>
      </c>
      <c r="L577" s="97" t="e">
        <f>VLOOKUP(B577,$B$11:B576,1,FALSE)</f>
        <v>#N/A</v>
      </c>
      <c r="M577" s="317">
        <f>G577*(1-FORM!$AE$28/100)</f>
        <v>458.09</v>
      </c>
      <c r="O577" s="502"/>
    </row>
    <row r="578" spans="1:15">
      <c r="A578" s="180"/>
      <c r="B578" s="406">
        <v>9283247</v>
      </c>
      <c r="C578" s="265" t="s">
        <v>1071</v>
      </c>
      <c r="D578" s="266">
        <v>1</v>
      </c>
      <c r="E578" s="332"/>
      <c r="F578" s="333"/>
      <c r="G578" s="367">
        <v>520.58000000000004</v>
      </c>
      <c r="H578" s="157" t="str">
        <f t="shared" si="38"/>
        <v>CZK</v>
      </c>
      <c r="I578" s="334"/>
      <c r="J578" s="335" t="s">
        <v>54</v>
      </c>
      <c r="L578" s="97" t="e">
        <f>VLOOKUP(B578,$B$11:B577,1,FALSE)</f>
        <v>#N/A</v>
      </c>
      <c r="M578" s="317">
        <f>G578*(1-FORM!$AE$28/100)</f>
        <v>520.58000000000004</v>
      </c>
      <c r="O578" s="502"/>
    </row>
    <row r="579" spans="1:15">
      <c r="A579" s="180"/>
      <c r="B579" s="406">
        <v>9283259</v>
      </c>
      <c r="C579" s="265" t="s">
        <v>1072</v>
      </c>
      <c r="D579" s="266">
        <v>1</v>
      </c>
      <c r="E579" s="332"/>
      <c r="F579" s="333"/>
      <c r="G579" s="367">
        <v>867.64</v>
      </c>
      <c r="H579" s="157" t="str">
        <f t="shared" si="38"/>
        <v>CZK</v>
      </c>
      <c r="I579" s="334"/>
      <c r="J579" s="335" t="s">
        <v>54</v>
      </c>
      <c r="L579" s="97" t="e">
        <f>VLOOKUP(B579,$B$11:B578,1,FALSE)</f>
        <v>#N/A</v>
      </c>
      <c r="M579" s="317">
        <f>G579*(1-FORM!$AE$28/100)</f>
        <v>867.64</v>
      </c>
      <c r="O579" s="502"/>
    </row>
    <row r="580" spans="1:15">
      <c r="A580" s="180"/>
      <c r="B580" s="411">
        <v>9283260</v>
      </c>
      <c r="C580" s="412" t="s">
        <v>1073</v>
      </c>
      <c r="D580" s="275">
        <v>1</v>
      </c>
      <c r="E580" s="356"/>
      <c r="F580" s="357"/>
      <c r="G580" s="373">
        <v>1117.52</v>
      </c>
      <c r="H580" s="158" t="str">
        <f t="shared" si="38"/>
        <v>CZK</v>
      </c>
      <c r="I580" s="358"/>
      <c r="J580" s="359" t="s">
        <v>54</v>
      </c>
      <c r="L580" s="97" t="e">
        <f>VLOOKUP(B580,$B$11:B579,1,FALSE)</f>
        <v>#N/A</v>
      </c>
      <c r="M580" s="317">
        <f>G580*(1-FORM!$AE$28/100)</f>
        <v>1117.52</v>
      </c>
      <c r="O580" s="502"/>
    </row>
    <row r="581" spans="1:15">
      <c r="A581" s="180"/>
      <c r="B581" s="411"/>
      <c r="C581" s="412"/>
      <c r="D581" s="275"/>
      <c r="E581" s="356"/>
      <c r="F581" s="357"/>
      <c r="G581" s="373"/>
      <c r="H581" s="158"/>
      <c r="I581" s="358"/>
      <c r="J581" s="359"/>
      <c r="M581" s="317">
        <f>G581*(1-FORM!$AE$28/100)</f>
        <v>0</v>
      </c>
      <c r="O581" s="502"/>
    </row>
    <row r="582" spans="1:15">
      <c r="A582" s="180"/>
      <c r="B582" s="491">
        <v>9278225</v>
      </c>
      <c r="C582" s="492" t="s">
        <v>1074</v>
      </c>
      <c r="D582" s="493">
        <v>200</v>
      </c>
      <c r="E582" s="494"/>
      <c r="F582" s="495"/>
      <c r="G582" s="496">
        <v>0.73</v>
      </c>
      <c r="H582" s="149" t="str">
        <f t="shared" ref="H582:H587" si="39">IF(G582="","",$H$10)</f>
        <v>CZK</v>
      </c>
      <c r="I582" s="334"/>
      <c r="J582" s="335" t="s">
        <v>54</v>
      </c>
      <c r="M582" s="317">
        <f>G582*(1-FORM!$AE$28/100)</f>
        <v>0.73</v>
      </c>
      <c r="O582" s="502"/>
    </row>
    <row r="583" spans="1:15">
      <c r="A583" s="180"/>
      <c r="B583" s="407">
        <v>45167</v>
      </c>
      <c r="C583" s="267" t="s">
        <v>1075</v>
      </c>
      <c r="D583" s="268">
        <v>200</v>
      </c>
      <c r="E583" s="336"/>
      <c r="F583" s="337"/>
      <c r="G583" s="368">
        <v>0.54</v>
      </c>
      <c r="H583" s="149" t="str">
        <f t="shared" si="39"/>
        <v>CZK</v>
      </c>
      <c r="I583" s="334"/>
      <c r="J583" s="335" t="s">
        <v>54</v>
      </c>
      <c r="L583" s="97" t="e">
        <f>VLOOKUP(B583,$B$11:B581,1,FALSE)</f>
        <v>#N/A</v>
      </c>
      <c r="M583" s="317">
        <f>G583*(1-FORM!$AE$28/100)</f>
        <v>0.54</v>
      </c>
      <c r="O583" s="502"/>
    </row>
    <row r="584" spans="1:15">
      <c r="A584" s="180"/>
      <c r="B584" s="406">
        <v>45168</v>
      </c>
      <c r="C584" s="265" t="s">
        <v>1076</v>
      </c>
      <c r="D584" s="266">
        <v>200</v>
      </c>
      <c r="E584" s="332"/>
      <c r="F584" s="333"/>
      <c r="G584" s="367">
        <v>0.78</v>
      </c>
      <c r="H584" s="157" t="str">
        <f t="shared" si="39"/>
        <v>CZK</v>
      </c>
      <c r="I584" s="334"/>
      <c r="J584" s="335" t="s">
        <v>54</v>
      </c>
      <c r="L584" s="97" t="e">
        <f>VLOOKUP(B584,$B$11:B583,1,FALSE)</f>
        <v>#N/A</v>
      </c>
      <c r="M584" s="317">
        <f>G584*(1-FORM!$AE$28/100)</f>
        <v>0.78</v>
      </c>
      <c r="O584" s="502"/>
    </row>
    <row r="585" spans="1:15">
      <c r="A585" s="180"/>
      <c r="B585" s="406">
        <v>9278224</v>
      </c>
      <c r="C585" s="265" t="s">
        <v>1077</v>
      </c>
      <c r="D585" s="266">
        <v>200</v>
      </c>
      <c r="E585" s="332"/>
      <c r="F585" s="333"/>
      <c r="G585" s="367">
        <v>0.73</v>
      </c>
      <c r="H585" s="157" t="str">
        <f t="shared" si="39"/>
        <v>CZK</v>
      </c>
      <c r="I585" s="334"/>
      <c r="J585" s="335" t="s">
        <v>54</v>
      </c>
      <c r="L585" s="97" t="e">
        <f>VLOOKUP(B585,$B$11:B584,1,FALSE)</f>
        <v>#N/A</v>
      </c>
      <c r="M585" s="317">
        <f>G585*(1-FORM!$AE$28/100)</f>
        <v>0.73</v>
      </c>
      <c r="O585" s="502"/>
    </row>
    <row r="586" spans="1:15">
      <c r="A586" s="180"/>
      <c r="B586" s="406">
        <v>9279197</v>
      </c>
      <c r="C586" s="265" t="s">
        <v>1078</v>
      </c>
      <c r="D586" s="266">
        <v>1000</v>
      </c>
      <c r="E586" s="332"/>
      <c r="F586" s="333"/>
      <c r="G586" s="367">
        <v>1.51</v>
      </c>
      <c r="H586" s="157" t="str">
        <f t="shared" si="39"/>
        <v>CZK</v>
      </c>
      <c r="I586" s="334"/>
      <c r="J586" s="335" t="s">
        <v>54</v>
      </c>
      <c r="L586" s="97" t="e">
        <f>VLOOKUP(B586,$B$11:B585,1,FALSE)</f>
        <v>#N/A</v>
      </c>
      <c r="M586" s="317">
        <f>G586*(1-FORM!$AE$28/100)</f>
        <v>1.51</v>
      </c>
      <c r="O586" s="502"/>
    </row>
    <row r="587" spans="1:15">
      <c r="A587" s="180"/>
      <c r="B587" s="403">
        <v>9137114</v>
      </c>
      <c r="C587" s="16" t="s">
        <v>1079</v>
      </c>
      <c r="D587" s="200">
        <v>200</v>
      </c>
      <c r="E587" s="323"/>
      <c r="F587" s="324"/>
      <c r="G587" s="365">
        <v>1.2</v>
      </c>
      <c r="H587" s="148" t="str">
        <f t="shared" si="39"/>
        <v>CZK</v>
      </c>
      <c r="I587" s="326"/>
      <c r="J587" s="327" t="s">
        <v>54</v>
      </c>
      <c r="L587" s="97" t="e">
        <f>VLOOKUP(B587,$B$11:B586,1,FALSE)</f>
        <v>#N/A</v>
      </c>
      <c r="M587" s="317">
        <f>G587*(1-FORM!$AE$28/100)</f>
        <v>1.2</v>
      </c>
      <c r="O587" s="502"/>
    </row>
    <row r="588" spans="1:15">
      <c r="A588" s="180"/>
      <c r="B588" s="408"/>
      <c r="C588" s="202"/>
      <c r="D588" s="269"/>
      <c r="E588" s="340"/>
      <c r="F588" s="341"/>
      <c r="G588" s="369"/>
      <c r="H588" s="150"/>
      <c r="I588" s="342"/>
      <c r="J588" s="343" t="s">
        <v>54</v>
      </c>
      <c r="L588" s="97" t="e">
        <f>VLOOKUP(B588,$B$11:B580,1,FALSE)</f>
        <v>#N/A</v>
      </c>
      <c r="M588" s="317">
        <f>G588*(1-FORM!$AE$28/100)</f>
        <v>0</v>
      </c>
      <c r="O588" s="502"/>
    </row>
    <row r="589" spans="1:15">
      <c r="A589" s="180"/>
      <c r="B589" s="409">
        <v>9256968</v>
      </c>
      <c r="C589" s="271" t="s">
        <v>1080</v>
      </c>
      <c r="D589" s="272">
        <v>1</v>
      </c>
      <c r="E589" s="350"/>
      <c r="F589" s="351"/>
      <c r="G589" s="371">
        <v>561.63</v>
      </c>
      <c r="H589" s="254" t="str">
        <f t="shared" si="38"/>
        <v>CZK</v>
      </c>
      <c r="I589" s="352"/>
      <c r="J589" s="353" t="s">
        <v>54</v>
      </c>
      <c r="L589" s="97" t="e">
        <f>VLOOKUP(B589,$B$11:B588,1,FALSE)</f>
        <v>#N/A</v>
      </c>
      <c r="M589" s="317">
        <f>G589*(1-FORM!$AE$28/100)</f>
        <v>561.63</v>
      </c>
      <c r="O589" s="502"/>
    </row>
    <row r="590" spans="1:15">
      <c r="A590" s="180"/>
      <c r="B590" s="406">
        <v>9256969</v>
      </c>
      <c r="C590" s="265" t="s">
        <v>1081</v>
      </c>
      <c r="D590" s="266">
        <v>1</v>
      </c>
      <c r="E590" s="332"/>
      <c r="F590" s="333"/>
      <c r="G590" s="367">
        <v>561.63</v>
      </c>
      <c r="H590" s="157" t="str">
        <f t="shared" si="38"/>
        <v>CZK</v>
      </c>
      <c r="I590" s="334"/>
      <c r="J590" s="335" t="s">
        <v>54</v>
      </c>
      <c r="L590" s="97" t="e">
        <f>VLOOKUP(B590,$B$11:B589,1,FALSE)</f>
        <v>#N/A</v>
      </c>
      <c r="M590" s="317">
        <f>G590*(1-FORM!$AE$28/100)</f>
        <v>561.63</v>
      </c>
      <c r="O590" s="502"/>
    </row>
    <row r="591" spans="1:15">
      <c r="A591" s="180"/>
      <c r="B591" s="406">
        <v>9256971</v>
      </c>
      <c r="C591" s="265" t="s">
        <v>1082</v>
      </c>
      <c r="D591" s="266">
        <v>1</v>
      </c>
      <c r="E591" s="332"/>
      <c r="F591" s="333"/>
      <c r="G591" s="367">
        <v>561.63</v>
      </c>
      <c r="H591" s="157" t="str">
        <f t="shared" si="38"/>
        <v>CZK</v>
      </c>
      <c r="I591" s="334"/>
      <c r="J591" s="335" t="s">
        <v>54</v>
      </c>
      <c r="L591" s="97" t="e">
        <f>VLOOKUP(B591,$B$11:B590,1,FALSE)</f>
        <v>#N/A</v>
      </c>
      <c r="M591" s="317">
        <f>G591*(1-FORM!$AE$28/100)</f>
        <v>561.63</v>
      </c>
      <c r="O591" s="502"/>
    </row>
    <row r="592" spans="1:15">
      <c r="A592" s="180"/>
      <c r="B592" s="406">
        <v>9256959</v>
      </c>
      <c r="C592" s="265" t="s">
        <v>1083</v>
      </c>
      <c r="D592" s="266">
        <v>10</v>
      </c>
      <c r="E592" s="332"/>
      <c r="F592" s="333"/>
      <c r="G592" s="367">
        <v>243.93</v>
      </c>
      <c r="H592" s="157" t="str">
        <f>IF(G592="","",$H$10)</f>
        <v>CZK</v>
      </c>
      <c r="I592" s="334"/>
      <c r="J592" s="335" t="s">
        <v>54</v>
      </c>
      <c r="L592" s="97" t="e">
        <f>VLOOKUP(B592,$B$11:B591,1,FALSE)</f>
        <v>#N/A</v>
      </c>
      <c r="M592" s="317">
        <f>G592*(1-FORM!$AE$28/100)</f>
        <v>243.93</v>
      </c>
      <c r="O592" s="502"/>
    </row>
    <row r="593" spans="1:15">
      <c r="A593" s="180"/>
      <c r="B593" s="406">
        <v>9256960</v>
      </c>
      <c r="C593" s="265" t="s">
        <v>1084</v>
      </c>
      <c r="D593" s="266">
        <v>10</v>
      </c>
      <c r="E593" s="332"/>
      <c r="F593" s="333"/>
      <c r="G593" s="367">
        <v>243.93</v>
      </c>
      <c r="H593" s="157" t="str">
        <f t="shared" ref="H593:H602" si="40">IF(G593="","",$H$10)</f>
        <v>CZK</v>
      </c>
      <c r="I593" s="334"/>
      <c r="J593" s="335" t="s">
        <v>54</v>
      </c>
      <c r="L593" s="97" t="e">
        <f>VLOOKUP(B593,$B$11:B592,1,FALSE)</f>
        <v>#N/A</v>
      </c>
      <c r="M593" s="317">
        <f>G593*(1-FORM!$AE$28/100)</f>
        <v>243.93</v>
      </c>
      <c r="O593" s="502"/>
    </row>
    <row r="594" spans="1:15">
      <c r="A594" s="180"/>
      <c r="B594" s="406">
        <v>9256961</v>
      </c>
      <c r="C594" s="265" t="s">
        <v>1085</v>
      </c>
      <c r="D594" s="266">
        <v>10</v>
      </c>
      <c r="E594" s="332"/>
      <c r="F594" s="333"/>
      <c r="G594" s="367">
        <v>243.93</v>
      </c>
      <c r="H594" s="157" t="str">
        <f t="shared" si="40"/>
        <v>CZK</v>
      </c>
      <c r="I594" s="334"/>
      <c r="J594" s="335" t="s">
        <v>54</v>
      </c>
      <c r="L594" s="97" t="e">
        <f>VLOOKUP(B594,$B$11:B593,1,FALSE)</f>
        <v>#N/A</v>
      </c>
      <c r="M594" s="317">
        <f>G594*(1-FORM!$AE$28/100)</f>
        <v>243.93</v>
      </c>
      <c r="O594" s="502"/>
    </row>
    <row r="595" spans="1:15">
      <c r="A595" s="180"/>
      <c r="B595" s="406">
        <v>9256962</v>
      </c>
      <c r="C595" s="265" t="s">
        <v>1086</v>
      </c>
      <c r="D595" s="266">
        <v>10</v>
      </c>
      <c r="E595" s="332"/>
      <c r="F595" s="333"/>
      <c r="G595" s="367">
        <v>243.93</v>
      </c>
      <c r="H595" s="157" t="str">
        <f t="shared" si="40"/>
        <v>CZK</v>
      </c>
      <c r="I595" s="334"/>
      <c r="J595" s="335" t="s">
        <v>54</v>
      </c>
      <c r="L595" s="97" t="e">
        <f>VLOOKUP(B595,$B$11:B594,1,FALSE)</f>
        <v>#N/A</v>
      </c>
      <c r="M595" s="317">
        <f>G595*(1-FORM!$AE$28/100)</f>
        <v>243.93</v>
      </c>
      <c r="O595" s="502"/>
    </row>
    <row r="596" spans="1:15">
      <c r="A596" s="180"/>
      <c r="B596" s="406">
        <v>9256965</v>
      </c>
      <c r="C596" s="265" t="s">
        <v>1087</v>
      </c>
      <c r="D596" s="266">
        <v>10</v>
      </c>
      <c r="E596" s="332"/>
      <c r="F596" s="333"/>
      <c r="G596" s="367">
        <v>243.93</v>
      </c>
      <c r="H596" s="157" t="str">
        <f t="shared" si="40"/>
        <v>CZK</v>
      </c>
      <c r="I596" s="334"/>
      <c r="J596" s="335" t="s">
        <v>54</v>
      </c>
      <c r="L596" s="97" t="e">
        <f>VLOOKUP(B596,$B$11:B595,1,FALSE)</f>
        <v>#N/A</v>
      </c>
      <c r="M596" s="317">
        <f>G596*(1-FORM!$AE$28/100)</f>
        <v>243.93</v>
      </c>
      <c r="O596" s="502"/>
    </row>
    <row r="597" spans="1:15">
      <c r="A597" s="180"/>
      <c r="B597" s="411">
        <v>9256966</v>
      </c>
      <c r="C597" s="412" t="s">
        <v>1088</v>
      </c>
      <c r="D597" s="275">
        <v>10</v>
      </c>
      <c r="E597" s="356"/>
      <c r="F597" s="357"/>
      <c r="G597" s="373">
        <v>243.93</v>
      </c>
      <c r="H597" s="158" t="str">
        <f t="shared" si="40"/>
        <v>CZK</v>
      </c>
      <c r="I597" s="358"/>
      <c r="J597" s="359" t="s">
        <v>54</v>
      </c>
      <c r="L597" s="97" t="e">
        <f>VLOOKUP(B597,$B$11:B596,1,FALSE)</f>
        <v>#N/A</v>
      </c>
      <c r="M597" s="317">
        <f>G597*(1-FORM!$AE$28/100)</f>
        <v>243.93</v>
      </c>
      <c r="O597" s="502"/>
    </row>
    <row r="598" spans="1:15">
      <c r="A598" s="180"/>
      <c r="B598" s="411"/>
      <c r="C598" s="412"/>
      <c r="D598" s="275"/>
      <c r="E598" s="356"/>
      <c r="F598" s="357"/>
      <c r="G598" s="373"/>
      <c r="H598" s="158"/>
      <c r="I598" s="358"/>
      <c r="J598" s="359" t="s">
        <v>54</v>
      </c>
      <c r="L598" s="97" t="e">
        <f>VLOOKUP(B598,$B$11:B597,1,FALSE)</f>
        <v>#N/A</v>
      </c>
      <c r="M598" s="317">
        <f>G598*(1-FORM!$AE$28/100)</f>
        <v>0</v>
      </c>
      <c r="O598" s="502"/>
    </row>
    <row r="599" spans="1:15">
      <c r="A599" s="180"/>
      <c r="B599" s="409">
        <v>9256999</v>
      </c>
      <c r="C599" s="271" t="s">
        <v>1089</v>
      </c>
      <c r="D599" s="272">
        <v>1</v>
      </c>
      <c r="E599" s="350"/>
      <c r="F599" s="351"/>
      <c r="G599" s="371">
        <v>561.63</v>
      </c>
      <c r="H599" s="254" t="str">
        <f t="shared" si="40"/>
        <v>CZK</v>
      </c>
      <c r="I599" s="352"/>
      <c r="J599" s="353" t="s">
        <v>54</v>
      </c>
      <c r="L599" s="97" t="e">
        <f>VLOOKUP(B599,$B$11:B598,1,FALSE)</f>
        <v>#N/A</v>
      </c>
      <c r="M599" s="317">
        <f>G599*(1-FORM!$AE$28/100)</f>
        <v>561.63</v>
      </c>
      <c r="O599" s="502"/>
    </row>
    <row r="600" spans="1:15">
      <c r="A600" s="180"/>
      <c r="B600" s="406">
        <v>9257000</v>
      </c>
      <c r="C600" s="265" t="s">
        <v>1090</v>
      </c>
      <c r="D600" s="266">
        <v>1</v>
      </c>
      <c r="E600" s="332"/>
      <c r="F600" s="333"/>
      <c r="G600" s="367">
        <v>561.63</v>
      </c>
      <c r="H600" s="157" t="str">
        <f t="shared" si="40"/>
        <v>CZK</v>
      </c>
      <c r="I600" s="334"/>
      <c r="J600" s="335" t="s">
        <v>54</v>
      </c>
      <c r="L600" s="97" t="e">
        <f>VLOOKUP(B600,$B$11:B599,1,FALSE)</f>
        <v>#N/A</v>
      </c>
      <c r="M600" s="317">
        <f>G600*(1-FORM!$AE$28/100)</f>
        <v>561.63</v>
      </c>
      <c r="O600" s="502"/>
    </row>
    <row r="601" spans="1:15">
      <c r="A601" s="180"/>
      <c r="B601" s="406">
        <v>9257002</v>
      </c>
      <c r="C601" s="265" t="s">
        <v>1091</v>
      </c>
      <c r="D601" s="266">
        <v>1</v>
      </c>
      <c r="E601" s="332"/>
      <c r="F601" s="333"/>
      <c r="G601" s="367">
        <v>561.63</v>
      </c>
      <c r="H601" s="157" t="str">
        <f t="shared" si="40"/>
        <v>CZK</v>
      </c>
      <c r="I601" s="334"/>
      <c r="J601" s="335" t="s">
        <v>54</v>
      </c>
      <c r="L601" s="97" t="e">
        <f>VLOOKUP(B601,$B$11:B600,1,FALSE)</f>
        <v>#N/A</v>
      </c>
      <c r="M601" s="317">
        <f>G601*(1-FORM!$AE$28/100)</f>
        <v>561.63</v>
      </c>
      <c r="O601" s="502"/>
    </row>
    <row r="602" spans="1:15">
      <c r="A602" s="180"/>
      <c r="B602" s="406">
        <v>9257004</v>
      </c>
      <c r="C602" s="265" t="s">
        <v>1092</v>
      </c>
      <c r="D602" s="266">
        <v>1</v>
      </c>
      <c r="E602" s="332"/>
      <c r="F602" s="333"/>
      <c r="G602" s="367">
        <v>567.85</v>
      </c>
      <c r="H602" s="157" t="str">
        <f t="shared" si="40"/>
        <v>CZK</v>
      </c>
      <c r="I602" s="334"/>
      <c r="J602" s="335" t="s">
        <v>54</v>
      </c>
      <c r="L602" s="97" t="e">
        <f>VLOOKUP(B602,$B$11:B601,1,FALSE)</f>
        <v>#N/A</v>
      </c>
      <c r="M602" s="317">
        <f>G602*(1-FORM!$AE$28/100)</f>
        <v>567.85</v>
      </c>
      <c r="O602" s="502"/>
    </row>
    <row r="603" spans="1:15">
      <c r="A603" s="180"/>
      <c r="B603" s="406">
        <v>9257006</v>
      </c>
      <c r="C603" s="265" t="s">
        <v>1093</v>
      </c>
      <c r="D603" s="266">
        <v>1</v>
      </c>
      <c r="E603" s="332"/>
      <c r="F603" s="333"/>
      <c r="G603" s="367">
        <v>574.04</v>
      </c>
      <c r="H603" s="157" t="str">
        <f>IF(G603="","",$H$10)</f>
        <v>CZK</v>
      </c>
      <c r="I603" s="334"/>
      <c r="J603" s="335" t="s">
        <v>54</v>
      </c>
      <c r="L603" s="97" t="e">
        <f>VLOOKUP(B603,$B$11:B602,1,FALSE)</f>
        <v>#N/A</v>
      </c>
      <c r="M603" s="317">
        <f>G603*(1-FORM!$AE$28/100)</f>
        <v>574.04</v>
      </c>
      <c r="O603" s="502"/>
    </row>
    <row r="604" spans="1:15">
      <c r="A604" s="180"/>
      <c r="B604" s="406">
        <v>9257008</v>
      </c>
      <c r="C604" s="265" t="s">
        <v>1094</v>
      </c>
      <c r="D604" s="266">
        <v>1</v>
      </c>
      <c r="E604" s="332"/>
      <c r="F604" s="333"/>
      <c r="G604" s="367">
        <v>580.26</v>
      </c>
      <c r="H604" s="157" t="str">
        <f>IF(G604="","",$H$10)</f>
        <v>CZK</v>
      </c>
      <c r="I604" s="334"/>
      <c r="J604" s="335" t="s">
        <v>54</v>
      </c>
      <c r="L604" s="97" t="e">
        <f>VLOOKUP(B604,$B$11:B603,1,FALSE)</f>
        <v>#N/A</v>
      </c>
      <c r="M604" s="317">
        <f>G604*(1-FORM!$AE$28/100)</f>
        <v>580.26</v>
      </c>
      <c r="O604" s="502"/>
    </row>
    <row r="605" spans="1:15">
      <c r="A605" s="180"/>
      <c r="B605" s="406">
        <v>9257010</v>
      </c>
      <c r="C605" s="265" t="s">
        <v>1095</v>
      </c>
      <c r="D605" s="266">
        <v>1</v>
      </c>
      <c r="E605" s="332"/>
      <c r="F605" s="333"/>
      <c r="G605" s="367">
        <v>613.44000000000005</v>
      </c>
      <c r="H605" s="157" t="str">
        <f>IF(G605="","",$H$10)</f>
        <v>CZK</v>
      </c>
      <c r="I605" s="334"/>
      <c r="J605" s="335" t="s">
        <v>54</v>
      </c>
      <c r="L605" s="97" t="e">
        <f>VLOOKUP(B605,$B$11:B604,1,FALSE)</f>
        <v>#N/A</v>
      </c>
      <c r="M605" s="317">
        <f>G605*(1-FORM!$AE$28/100)</f>
        <v>613.44000000000005</v>
      </c>
      <c r="O605" s="502"/>
    </row>
    <row r="606" spans="1:15">
      <c r="A606" s="180"/>
      <c r="B606" s="406">
        <v>9268681</v>
      </c>
      <c r="C606" s="265" t="s">
        <v>1096</v>
      </c>
      <c r="D606" s="266">
        <v>1</v>
      </c>
      <c r="E606" s="332"/>
      <c r="F606" s="333"/>
      <c r="G606" s="367">
        <v>620.78</v>
      </c>
      <c r="H606" s="157" t="str">
        <f>IF(G606="","",$H$10)</f>
        <v>CZK</v>
      </c>
      <c r="I606" s="334"/>
      <c r="J606" s="335" t="s">
        <v>54</v>
      </c>
      <c r="L606" s="97" t="e">
        <f>VLOOKUP(B606,$B$11:B605,1,FALSE)</f>
        <v>#N/A</v>
      </c>
      <c r="M606" s="317">
        <f>G606*(1-FORM!$AE$28/100)</f>
        <v>620.78</v>
      </c>
      <c r="O606" s="502"/>
    </row>
    <row r="607" spans="1:15">
      <c r="A607" s="180"/>
      <c r="B607" s="406">
        <v>9256974</v>
      </c>
      <c r="C607" s="265" t="s">
        <v>1097</v>
      </c>
      <c r="D607" s="266">
        <v>10</v>
      </c>
      <c r="E607" s="332"/>
      <c r="F607" s="333"/>
      <c r="G607" s="367">
        <v>243.93</v>
      </c>
      <c r="H607" s="157" t="str">
        <f t="shared" ref="H607:H650" si="41">IF(G607="","",$H$10)</f>
        <v>CZK</v>
      </c>
      <c r="I607" s="334"/>
      <c r="J607" s="335" t="s">
        <v>54</v>
      </c>
      <c r="L607" s="97" t="e">
        <f>VLOOKUP(B607,$B$11:B606,1,FALSE)</f>
        <v>#N/A</v>
      </c>
      <c r="M607" s="317">
        <f>G607*(1-FORM!$AE$28/100)</f>
        <v>243.93</v>
      </c>
      <c r="O607" s="502"/>
    </row>
    <row r="608" spans="1:15">
      <c r="A608" s="180"/>
      <c r="B608" s="406">
        <v>9256975</v>
      </c>
      <c r="C608" s="265" t="s">
        <v>1098</v>
      </c>
      <c r="D608" s="266">
        <v>10</v>
      </c>
      <c r="E608" s="332"/>
      <c r="F608" s="333"/>
      <c r="G608" s="367">
        <v>243.93</v>
      </c>
      <c r="H608" s="157" t="str">
        <f t="shared" si="41"/>
        <v>CZK</v>
      </c>
      <c r="I608" s="334"/>
      <c r="J608" s="335" t="s">
        <v>54</v>
      </c>
      <c r="L608" s="97" t="e">
        <f>VLOOKUP(B608,$B$11:B607,1,FALSE)</f>
        <v>#N/A</v>
      </c>
      <c r="M608" s="317">
        <f>G608*(1-FORM!$AE$28/100)</f>
        <v>243.93</v>
      </c>
      <c r="O608" s="502"/>
    </row>
    <row r="609" spans="1:15">
      <c r="A609" s="180"/>
      <c r="B609" s="406">
        <v>9256976</v>
      </c>
      <c r="C609" s="265" t="s">
        <v>1099</v>
      </c>
      <c r="D609" s="266">
        <v>10</v>
      </c>
      <c r="E609" s="332"/>
      <c r="F609" s="333"/>
      <c r="G609" s="367">
        <v>243.93</v>
      </c>
      <c r="H609" s="157" t="str">
        <f t="shared" si="41"/>
        <v>CZK</v>
      </c>
      <c r="I609" s="334"/>
      <c r="J609" s="335" t="s">
        <v>54</v>
      </c>
      <c r="L609" s="97" t="e">
        <f>VLOOKUP(B609,$B$11:B608,1,FALSE)</f>
        <v>#N/A</v>
      </c>
      <c r="M609" s="317">
        <f>G609*(1-FORM!$AE$28/100)</f>
        <v>243.93</v>
      </c>
      <c r="O609" s="502"/>
    </row>
    <row r="610" spans="1:15">
      <c r="A610" s="180"/>
      <c r="B610" s="406">
        <v>9256977</v>
      </c>
      <c r="C610" s="265" t="s">
        <v>1100</v>
      </c>
      <c r="D610" s="266">
        <v>10</v>
      </c>
      <c r="E610" s="332"/>
      <c r="F610" s="333"/>
      <c r="G610" s="367">
        <v>243.93</v>
      </c>
      <c r="H610" s="157" t="str">
        <f t="shared" si="41"/>
        <v>CZK</v>
      </c>
      <c r="I610" s="334"/>
      <c r="J610" s="335" t="s">
        <v>54</v>
      </c>
      <c r="L610" s="97" t="e">
        <f>VLOOKUP(B610,$B$11:B609,1,FALSE)</f>
        <v>#N/A</v>
      </c>
      <c r="M610" s="317">
        <f>G610*(1-FORM!$AE$28/100)</f>
        <v>243.93</v>
      </c>
      <c r="O610" s="502"/>
    </row>
    <row r="611" spans="1:15">
      <c r="A611" s="180"/>
      <c r="B611" s="406">
        <v>9256980</v>
      </c>
      <c r="C611" s="265" t="s">
        <v>1101</v>
      </c>
      <c r="D611" s="266">
        <v>10</v>
      </c>
      <c r="E611" s="332"/>
      <c r="F611" s="333"/>
      <c r="G611" s="367">
        <v>243.93</v>
      </c>
      <c r="H611" s="157" t="str">
        <f t="shared" si="41"/>
        <v>CZK</v>
      </c>
      <c r="I611" s="334"/>
      <c r="J611" s="335" t="s">
        <v>54</v>
      </c>
      <c r="L611" s="97" t="e">
        <f>VLOOKUP(B611,$B$11:B610,1,FALSE)</f>
        <v>#N/A</v>
      </c>
      <c r="M611" s="317">
        <f>G611*(1-FORM!$AE$28/100)</f>
        <v>243.93</v>
      </c>
      <c r="O611" s="502"/>
    </row>
    <row r="612" spans="1:15">
      <c r="A612" s="180"/>
      <c r="B612" s="406">
        <v>9256981</v>
      </c>
      <c r="C612" s="265" t="s">
        <v>1102</v>
      </c>
      <c r="D612" s="266">
        <v>10</v>
      </c>
      <c r="E612" s="332"/>
      <c r="F612" s="333"/>
      <c r="G612" s="367">
        <v>243.93</v>
      </c>
      <c r="H612" s="157" t="str">
        <f t="shared" si="41"/>
        <v>CZK</v>
      </c>
      <c r="I612" s="334"/>
      <c r="J612" s="335" t="s">
        <v>54</v>
      </c>
      <c r="L612" s="97" t="e">
        <f>VLOOKUP(B612,$B$11:B611,1,FALSE)</f>
        <v>#N/A</v>
      </c>
      <c r="M612" s="317">
        <f>G612*(1-FORM!$AE$28/100)</f>
        <v>243.93</v>
      </c>
      <c r="O612" s="502"/>
    </row>
    <row r="613" spans="1:15">
      <c r="A613" s="180"/>
      <c r="B613" s="406">
        <v>9256984</v>
      </c>
      <c r="C613" s="265" t="s">
        <v>1103</v>
      </c>
      <c r="D613" s="266">
        <v>10</v>
      </c>
      <c r="E613" s="332"/>
      <c r="F613" s="333"/>
      <c r="G613" s="367">
        <v>247.05</v>
      </c>
      <c r="H613" s="157" t="str">
        <f t="shared" si="41"/>
        <v>CZK</v>
      </c>
      <c r="I613" s="334"/>
      <c r="J613" s="335" t="s">
        <v>54</v>
      </c>
      <c r="L613" s="97" t="e">
        <f>VLOOKUP(B613,$B$11:B612,1,FALSE)</f>
        <v>#N/A</v>
      </c>
      <c r="M613" s="317">
        <f>G613*(1-FORM!$AE$28/100)</f>
        <v>247.05</v>
      </c>
      <c r="O613" s="502"/>
    </row>
    <row r="614" spans="1:15">
      <c r="A614" s="180"/>
      <c r="B614" s="406">
        <v>9256985</v>
      </c>
      <c r="C614" s="265" t="s">
        <v>1104</v>
      </c>
      <c r="D614" s="266">
        <v>10</v>
      </c>
      <c r="E614" s="332"/>
      <c r="F614" s="333"/>
      <c r="G614" s="367">
        <v>247.05</v>
      </c>
      <c r="H614" s="157" t="str">
        <f t="shared" si="41"/>
        <v>CZK</v>
      </c>
      <c r="I614" s="334"/>
      <c r="J614" s="335" t="s">
        <v>54</v>
      </c>
      <c r="L614" s="97" t="e">
        <f>VLOOKUP(B614,$B$11:B613,1,FALSE)</f>
        <v>#N/A</v>
      </c>
      <c r="M614" s="317">
        <f>G614*(1-FORM!$AE$28/100)</f>
        <v>247.05</v>
      </c>
      <c r="O614" s="502"/>
    </row>
    <row r="615" spans="1:15">
      <c r="A615" s="180"/>
      <c r="B615" s="406">
        <v>9256988</v>
      </c>
      <c r="C615" s="265" t="s">
        <v>1105</v>
      </c>
      <c r="D615" s="266">
        <v>10</v>
      </c>
      <c r="E615" s="332"/>
      <c r="F615" s="333"/>
      <c r="G615" s="367">
        <v>250.14</v>
      </c>
      <c r="H615" s="157" t="str">
        <f t="shared" si="41"/>
        <v>CZK</v>
      </c>
      <c r="I615" s="334"/>
      <c r="J615" s="335" t="s">
        <v>54</v>
      </c>
      <c r="L615" s="97" t="e">
        <f>VLOOKUP(B615,$B$11:B614,1,FALSE)</f>
        <v>#N/A</v>
      </c>
      <c r="M615" s="317">
        <f>G615*(1-FORM!$AE$28/100)</f>
        <v>250.14</v>
      </c>
      <c r="O615" s="502"/>
    </row>
    <row r="616" spans="1:15">
      <c r="A616" s="180"/>
      <c r="B616" s="406">
        <v>9256989</v>
      </c>
      <c r="C616" s="265" t="s">
        <v>1106</v>
      </c>
      <c r="D616" s="266">
        <v>10</v>
      </c>
      <c r="E616" s="332"/>
      <c r="F616" s="333"/>
      <c r="G616" s="367">
        <v>250.14</v>
      </c>
      <c r="H616" s="157" t="str">
        <f t="shared" si="41"/>
        <v>CZK</v>
      </c>
      <c r="I616" s="334"/>
      <c r="J616" s="335" t="s">
        <v>54</v>
      </c>
      <c r="L616" s="97" t="e">
        <f>VLOOKUP(B616,$B$11:B615,1,FALSE)</f>
        <v>#N/A</v>
      </c>
      <c r="M616" s="317">
        <f>G616*(1-FORM!$AE$28/100)</f>
        <v>250.14</v>
      </c>
      <c r="O616" s="502"/>
    </row>
    <row r="617" spans="1:15">
      <c r="A617" s="180"/>
      <c r="B617" s="406">
        <v>9256992</v>
      </c>
      <c r="C617" s="265" t="s">
        <v>1107</v>
      </c>
      <c r="D617" s="266">
        <v>10</v>
      </c>
      <c r="E617" s="332"/>
      <c r="F617" s="333"/>
      <c r="G617" s="367">
        <v>253.25</v>
      </c>
      <c r="H617" s="157" t="str">
        <f t="shared" si="41"/>
        <v>CZK</v>
      </c>
      <c r="I617" s="334"/>
      <c r="J617" s="335" t="s">
        <v>54</v>
      </c>
      <c r="L617" s="97" t="e">
        <f>VLOOKUP(B617,$B$11:B616,1,FALSE)</f>
        <v>#N/A</v>
      </c>
      <c r="M617" s="317">
        <f>G617*(1-FORM!$AE$28/100)</f>
        <v>253.25</v>
      </c>
      <c r="O617" s="502"/>
    </row>
    <row r="618" spans="1:15">
      <c r="A618" s="180"/>
      <c r="B618" s="406">
        <v>9256993</v>
      </c>
      <c r="C618" s="265" t="s">
        <v>1108</v>
      </c>
      <c r="D618" s="266">
        <v>10</v>
      </c>
      <c r="E618" s="332"/>
      <c r="F618" s="333"/>
      <c r="G618" s="367">
        <v>253.25</v>
      </c>
      <c r="H618" s="157" t="str">
        <f t="shared" si="41"/>
        <v>CZK</v>
      </c>
      <c r="I618" s="334"/>
      <c r="J618" s="335" t="s">
        <v>54</v>
      </c>
      <c r="L618" s="97" t="e">
        <f>VLOOKUP(B618,$B$11:B617,1,FALSE)</f>
        <v>#N/A</v>
      </c>
      <c r="M618" s="317">
        <f>G618*(1-FORM!$AE$28/100)</f>
        <v>253.25</v>
      </c>
      <c r="O618" s="502"/>
    </row>
    <row r="619" spans="1:15">
      <c r="A619" s="180"/>
      <c r="B619" s="406">
        <v>9256996</v>
      </c>
      <c r="C619" s="265" t="s">
        <v>1109</v>
      </c>
      <c r="D619" s="266">
        <v>10</v>
      </c>
      <c r="E619" s="332"/>
      <c r="F619" s="333"/>
      <c r="G619" s="367">
        <v>269.83999999999997</v>
      </c>
      <c r="H619" s="157" t="str">
        <f t="shared" si="41"/>
        <v>CZK</v>
      </c>
      <c r="I619" s="334"/>
      <c r="J619" s="335" t="s">
        <v>54</v>
      </c>
      <c r="L619" s="97" t="e">
        <f>VLOOKUP(B619,$B$11:B618,1,FALSE)</f>
        <v>#N/A</v>
      </c>
      <c r="M619" s="317">
        <f>G619*(1-FORM!$AE$28/100)</f>
        <v>269.83999999999997</v>
      </c>
      <c r="O619" s="502"/>
    </row>
    <row r="620" spans="1:15">
      <c r="A620" s="180"/>
      <c r="B620" s="406">
        <v>9256997</v>
      </c>
      <c r="C620" s="265" t="s">
        <v>1110</v>
      </c>
      <c r="D620" s="266">
        <v>10</v>
      </c>
      <c r="E620" s="332"/>
      <c r="F620" s="333"/>
      <c r="G620" s="367">
        <v>269.83999999999997</v>
      </c>
      <c r="H620" s="157" t="str">
        <f t="shared" si="41"/>
        <v>CZK</v>
      </c>
      <c r="I620" s="334"/>
      <c r="J620" s="335" t="s">
        <v>54</v>
      </c>
      <c r="L620" s="97" t="e">
        <f>VLOOKUP(B620,$B$11:B619,1,FALSE)</f>
        <v>#N/A</v>
      </c>
      <c r="M620" s="317">
        <f>G620*(1-FORM!$AE$28/100)</f>
        <v>269.83999999999997</v>
      </c>
      <c r="O620" s="502"/>
    </row>
    <row r="621" spans="1:15">
      <c r="A621" s="180"/>
      <c r="B621" s="406">
        <v>9268679</v>
      </c>
      <c r="C621" s="265" t="s">
        <v>1111</v>
      </c>
      <c r="D621" s="266">
        <v>10</v>
      </c>
      <c r="E621" s="332"/>
      <c r="F621" s="333"/>
      <c r="G621" s="367">
        <v>273.51</v>
      </c>
      <c r="H621" s="157" t="str">
        <f t="shared" si="41"/>
        <v>CZK</v>
      </c>
      <c r="I621" s="334"/>
      <c r="J621" s="335" t="s">
        <v>54</v>
      </c>
      <c r="L621" s="97" t="e">
        <f>VLOOKUP(B621,$B$11:B620,1,FALSE)</f>
        <v>#N/A</v>
      </c>
      <c r="M621" s="317">
        <f>G621*(1-FORM!$AE$28/100)</f>
        <v>273.51</v>
      </c>
      <c r="O621" s="502"/>
    </row>
    <row r="622" spans="1:15">
      <c r="A622" s="180"/>
      <c r="B622" s="411">
        <v>9268680</v>
      </c>
      <c r="C622" s="412" t="s">
        <v>1112</v>
      </c>
      <c r="D622" s="275">
        <v>10</v>
      </c>
      <c r="E622" s="356"/>
      <c r="F622" s="357"/>
      <c r="G622" s="373">
        <v>273.51</v>
      </c>
      <c r="H622" s="158" t="str">
        <f t="shared" si="41"/>
        <v>CZK</v>
      </c>
      <c r="I622" s="358"/>
      <c r="J622" s="359" t="s">
        <v>54</v>
      </c>
      <c r="L622" s="97" t="e">
        <f>VLOOKUP(B622,$B$11:B621,1,FALSE)</f>
        <v>#N/A</v>
      </c>
      <c r="M622" s="317">
        <f>G622*(1-FORM!$AE$28/100)</f>
        <v>273.51</v>
      </c>
      <c r="O622" s="502"/>
    </row>
    <row r="623" spans="1:15">
      <c r="A623" s="180"/>
      <c r="B623" s="411"/>
      <c r="C623" s="412"/>
      <c r="D623" s="275"/>
      <c r="E623" s="356"/>
      <c r="F623" s="357"/>
      <c r="G623" s="373"/>
      <c r="H623" s="158"/>
      <c r="I623" s="358"/>
      <c r="J623" s="359" t="s">
        <v>54</v>
      </c>
      <c r="L623" s="97" t="e">
        <f>VLOOKUP(B623,$B$11:B622,1,FALSE)</f>
        <v>#N/A</v>
      </c>
      <c r="M623" s="317">
        <f>G623*(1-FORM!$AE$28/100)</f>
        <v>0</v>
      </c>
      <c r="O623" s="502"/>
    </row>
    <row r="624" spans="1:15">
      <c r="A624" s="180"/>
      <c r="B624" s="409">
        <v>9257034</v>
      </c>
      <c r="C624" s="271" t="s">
        <v>1113</v>
      </c>
      <c r="D624" s="272">
        <v>1</v>
      </c>
      <c r="E624" s="350"/>
      <c r="F624" s="351"/>
      <c r="G624" s="371">
        <v>691.9</v>
      </c>
      <c r="H624" s="254" t="str">
        <f t="shared" si="41"/>
        <v>CZK</v>
      </c>
      <c r="I624" s="352"/>
      <c r="J624" s="353" t="s">
        <v>54</v>
      </c>
      <c r="L624" s="97" t="e">
        <f>VLOOKUP(B624,$B$11:B623,1,FALSE)</f>
        <v>#N/A</v>
      </c>
      <c r="M624" s="317">
        <f>G624*(1-FORM!$AE$28/100)</f>
        <v>691.9</v>
      </c>
      <c r="O624" s="502"/>
    </row>
    <row r="625" spans="1:15">
      <c r="A625" s="180"/>
      <c r="B625" s="406">
        <v>9257036</v>
      </c>
      <c r="C625" s="265" t="s">
        <v>1114</v>
      </c>
      <c r="D625" s="266">
        <v>1</v>
      </c>
      <c r="E625" s="332"/>
      <c r="F625" s="333"/>
      <c r="G625" s="367">
        <v>698.13</v>
      </c>
      <c r="H625" s="157" t="str">
        <f t="shared" si="41"/>
        <v>CZK</v>
      </c>
      <c r="I625" s="334"/>
      <c r="J625" s="335" t="s">
        <v>54</v>
      </c>
      <c r="L625" s="97" t="e">
        <f>VLOOKUP(B625,$B$11:B624,1,FALSE)</f>
        <v>#N/A</v>
      </c>
      <c r="M625" s="317">
        <f>G625*(1-FORM!$AE$28/100)</f>
        <v>698.13</v>
      </c>
      <c r="O625" s="502"/>
    </row>
    <row r="626" spans="1:15">
      <c r="A626" s="180"/>
      <c r="B626" s="406">
        <v>9257038</v>
      </c>
      <c r="C626" s="265" t="s">
        <v>1115</v>
      </c>
      <c r="D626" s="266">
        <v>1</v>
      </c>
      <c r="E626" s="332"/>
      <c r="F626" s="333"/>
      <c r="G626" s="367">
        <v>731.3</v>
      </c>
      <c r="H626" s="157" t="str">
        <f t="shared" si="41"/>
        <v>CZK</v>
      </c>
      <c r="I626" s="334"/>
      <c r="J626" s="335" t="s">
        <v>54</v>
      </c>
      <c r="L626" s="97" t="e">
        <f>VLOOKUP(B626,$B$11:B625,1,FALSE)</f>
        <v>#N/A</v>
      </c>
      <c r="M626" s="317">
        <f>G626*(1-FORM!$AE$28/100)</f>
        <v>731.3</v>
      </c>
      <c r="O626" s="502"/>
    </row>
    <row r="627" spans="1:15">
      <c r="A627" s="180"/>
      <c r="B627" s="406">
        <v>9257040</v>
      </c>
      <c r="C627" s="265" t="s">
        <v>1116</v>
      </c>
      <c r="D627" s="266">
        <v>1</v>
      </c>
      <c r="E627" s="332"/>
      <c r="F627" s="333"/>
      <c r="G627" s="367">
        <v>798.31</v>
      </c>
      <c r="H627" s="157" t="str">
        <f t="shared" si="41"/>
        <v>CZK</v>
      </c>
      <c r="I627" s="334"/>
      <c r="J627" s="335" t="s">
        <v>54</v>
      </c>
      <c r="L627" s="97" t="e">
        <f>VLOOKUP(B627,$B$11:B626,1,FALSE)</f>
        <v>#N/A</v>
      </c>
      <c r="M627" s="317">
        <f>G627*(1-FORM!$AE$28/100)</f>
        <v>798.31</v>
      </c>
      <c r="O627" s="502"/>
    </row>
    <row r="628" spans="1:15">
      <c r="A628" s="180"/>
      <c r="B628" s="406">
        <v>9257041</v>
      </c>
      <c r="C628" s="265" t="s">
        <v>1117</v>
      </c>
      <c r="D628" s="266">
        <v>1</v>
      </c>
      <c r="E628" s="332"/>
      <c r="F628" s="333"/>
      <c r="G628" s="367">
        <v>828.55</v>
      </c>
      <c r="H628" s="157" t="str">
        <f t="shared" si="41"/>
        <v>CZK</v>
      </c>
      <c r="I628" s="334"/>
      <c r="J628" s="335" t="s">
        <v>54</v>
      </c>
      <c r="L628" s="97" t="e">
        <f>VLOOKUP(B628,$B$11:B627,1,FALSE)</f>
        <v>#N/A</v>
      </c>
      <c r="M628" s="317">
        <f>G628*(1-FORM!$AE$28/100)</f>
        <v>828.55</v>
      </c>
      <c r="O628" s="502"/>
    </row>
    <row r="629" spans="1:15">
      <c r="A629" s="180"/>
      <c r="B629" s="406">
        <v>9257013</v>
      </c>
      <c r="C629" s="265" t="s">
        <v>1118</v>
      </c>
      <c r="D629" s="266">
        <v>10</v>
      </c>
      <c r="E629" s="332"/>
      <c r="F629" s="333"/>
      <c r="G629" s="367">
        <v>309.07</v>
      </c>
      <c r="H629" s="157" t="str">
        <f t="shared" si="41"/>
        <v>CZK</v>
      </c>
      <c r="I629" s="334"/>
      <c r="J629" s="335" t="s">
        <v>54</v>
      </c>
      <c r="L629" s="97" t="e">
        <f>VLOOKUP(B629,$B$11:B628,1,FALSE)</f>
        <v>#N/A</v>
      </c>
      <c r="M629" s="317">
        <f>G629*(1-FORM!$AE$28/100)</f>
        <v>309.07</v>
      </c>
      <c r="O629" s="502"/>
    </row>
    <row r="630" spans="1:15">
      <c r="A630" s="180"/>
      <c r="B630" s="406">
        <v>9257014</v>
      </c>
      <c r="C630" s="265" t="s">
        <v>1119</v>
      </c>
      <c r="D630" s="266">
        <v>10</v>
      </c>
      <c r="E630" s="332"/>
      <c r="F630" s="333"/>
      <c r="G630" s="367">
        <v>309.07</v>
      </c>
      <c r="H630" s="157" t="str">
        <f t="shared" si="41"/>
        <v>CZK</v>
      </c>
      <c r="I630" s="334"/>
      <c r="J630" s="335" t="s">
        <v>54</v>
      </c>
      <c r="L630" s="97" t="e">
        <f>VLOOKUP(B630,$B$11:B629,1,FALSE)</f>
        <v>#N/A</v>
      </c>
      <c r="M630" s="317">
        <f>G630*(1-FORM!$AE$28/100)</f>
        <v>309.07</v>
      </c>
      <c r="O630" s="502"/>
    </row>
    <row r="631" spans="1:15">
      <c r="A631" s="180"/>
      <c r="B631" s="406">
        <v>9257017</v>
      </c>
      <c r="C631" s="265" t="s">
        <v>1120</v>
      </c>
      <c r="D631" s="266">
        <v>10</v>
      </c>
      <c r="E631" s="332"/>
      <c r="F631" s="333"/>
      <c r="G631" s="367">
        <v>312.18</v>
      </c>
      <c r="H631" s="157" t="str">
        <f t="shared" si="41"/>
        <v>CZK</v>
      </c>
      <c r="I631" s="334"/>
      <c r="J631" s="335" t="s">
        <v>54</v>
      </c>
      <c r="L631" s="97" t="e">
        <f>VLOOKUP(B631,$B$11:B630,1,FALSE)</f>
        <v>#N/A</v>
      </c>
      <c r="M631" s="317">
        <f>G631*(1-FORM!$AE$28/100)</f>
        <v>312.18</v>
      </c>
      <c r="O631" s="502"/>
    </row>
    <row r="632" spans="1:15">
      <c r="A632" s="180"/>
      <c r="B632" s="406">
        <v>9257018</v>
      </c>
      <c r="C632" s="265" t="s">
        <v>1121</v>
      </c>
      <c r="D632" s="266">
        <v>10</v>
      </c>
      <c r="E632" s="332"/>
      <c r="F632" s="333"/>
      <c r="G632" s="367">
        <v>312.18</v>
      </c>
      <c r="H632" s="157" t="str">
        <f t="shared" si="41"/>
        <v>CZK</v>
      </c>
      <c r="I632" s="334"/>
      <c r="J632" s="335" t="s">
        <v>54</v>
      </c>
      <c r="L632" s="97" t="e">
        <f>VLOOKUP(B632,$B$11:B631,1,FALSE)</f>
        <v>#N/A</v>
      </c>
      <c r="M632" s="317">
        <f>G632*(1-FORM!$AE$28/100)</f>
        <v>312.18</v>
      </c>
      <c r="O632" s="502"/>
    </row>
    <row r="633" spans="1:15">
      <c r="A633" s="180"/>
      <c r="B633" s="406">
        <v>9257021</v>
      </c>
      <c r="C633" s="265" t="s">
        <v>1122</v>
      </c>
      <c r="D633" s="266">
        <v>10</v>
      </c>
      <c r="E633" s="332"/>
      <c r="F633" s="333"/>
      <c r="G633" s="367">
        <v>328.77</v>
      </c>
      <c r="H633" s="157" t="str">
        <f t="shared" si="41"/>
        <v>CZK</v>
      </c>
      <c r="I633" s="334"/>
      <c r="J633" s="335" t="s">
        <v>54</v>
      </c>
      <c r="L633" s="97" t="e">
        <f>VLOOKUP(B633,$B$11:B632,1,FALSE)</f>
        <v>#N/A</v>
      </c>
      <c r="M633" s="317">
        <f>G633*(1-FORM!$AE$28/100)</f>
        <v>328.77</v>
      </c>
      <c r="O633" s="502"/>
    </row>
    <row r="634" spans="1:15">
      <c r="A634" s="180"/>
      <c r="B634" s="406">
        <v>9257022</v>
      </c>
      <c r="C634" s="265" t="s">
        <v>1123</v>
      </c>
      <c r="D634" s="266">
        <v>10</v>
      </c>
      <c r="E634" s="332"/>
      <c r="F634" s="333"/>
      <c r="G634" s="367">
        <v>328.77</v>
      </c>
      <c r="H634" s="157" t="str">
        <f t="shared" si="41"/>
        <v>CZK</v>
      </c>
      <c r="I634" s="334"/>
      <c r="J634" s="335" t="s">
        <v>54</v>
      </c>
      <c r="L634" s="97" t="e">
        <f>VLOOKUP(B634,$B$11:B633,1,FALSE)</f>
        <v>#N/A</v>
      </c>
      <c r="M634" s="317">
        <f>G634*(1-FORM!$AE$28/100)</f>
        <v>328.77</v>
      </c>
      <c r="O634" s="502"/>
    </row>
    <row r="635" spans="1:15">
      <c r="A635" s="180"/>
      <c r="B635" s="406">
        <v>9257025</v>
      </c>
      <c r="C635" s="265" t="s">
        <v>1124</v>
      </c>
      <c r="D635" s="266">
        <v>10</v>
      </c>
      <c r="E635" s="332"/>
      <c r="F635" s="333"/>
      <c r="G635" s="367">
        <v>362.28</v>
      </c>
      <c r="H635" s="157" t="str">
        <f t="shared" si="41"/>
        <v>CZK</v>
      </c>
      <c r="I635" s="334"/>
      <c r="J635" s="335" t="s">
        <v>54</v>
      </c>
      <c r="L635" s="97" t="e">
        <f>VLOOKUP(B635,$B$11:B634,1,FALSE)</f>
        <v>#N/A</v>
      </c>
      <c r="M635" s="317">
        <f>G635*(1-FORM!$AE$28/100)</f>
        <v>362.28</v>
      </c>
      <c r="O635" s="502"/>
    </row>
    <row r="636" spans="1:15">
      <c r="A636" s="180"/>
      <c r="B636" s="406">
        <v>9257026</v>
      </c>
      <c r="C636" s="265" t="s">
        <v>1125</v>
      </c>
      <c r="D636" s="266">
        <v>10</v>
      </c>
      <c r="E636" s="332"/>
      <c r="F636" s="333"/>
      <c r="G636" s="367">
        <v>362.28</v>
      </c>
      <c r="H636" s="157" t="str">
        <f t="shared" si="41"/>
        <v>CZK</v>
      </c>
      <c r="I636" s="334"/>
      <c r="J636" s="335" t="s">
        <v>54</v>
      </c>
      <c r="L636" s="97" t="e">
        <f>VLOOKUP(B636,$B$11:B635,1,FALSE)</f>
        <v>#N/A</v>
      </c>
      <c r="M636" s="317">
        <f>G636*(1-FORM!$AE$28/100)</f>
        <v>362.28</v>
      </c>
      <c r="O636" s="502"/>
    </row>
    <row r="637" spans="1:15">
      <c r="A637" s="180"/>
      <c r="B637" s="406">
        <v>9257027</v>
      </c>
      <c r="C637" s="265" t="s">
        <v>1126</v>
      </c>
      <c r="D637" s="266">
        <v>5</v>
      </c>
      <c r="E637" s="332"/>
      <c r="F637" s="333"/>
      <c r="G637" s="367">
        <v>377.39</v>
      </c>
      <c r="H637" s="157" t="str">
        <f t="shared" si="41"/>
        <v>CZK</v>
      </c>
      <c r="I637" s="334"/>
      <c r="J637" s="335" t="s">
        <v>54</v>
      </c>
      <c r="L637" s="97" t="e">
        <f>VLOOKUP(B637,$B$11:B636,1,FALSE)</f>
        <v>#N/A</v>
      </c>
      <c r="M637" s="317">
        <f>G637*(1-FORM!$AE$28/100)</f>
        <v>377.39</v>
      </c>
      <c r="O637" s="502"/>
    </row>
    <row r="638" spans="1:15">
      <c r="A638" s="180"/>
      <c r="B638" s="411">
        <v>9257028</v>
      </c>
      <c r="C638" s="412" t="s">
        <v>1127</v>
      </c>
      <c r="D638" s="275">
        <v>5</v>
      </c>
      <c r="E638" s="356"/>
      <c r="F638" s="357"/>
      <c r="G638" s="373">
        <v>377.39</v>
      </c>
      <c r="H638" s="158" t="str">
        <f t="shared" si="41"/>
        <v>CZK</v>
      </c>
      <c r="I638" s="358"/>
      <c r="J638" s="359" t="s">
        <v>54</v>
      </c>
      <c r="L638" s="97" t="e">
        <f>VLOOKUP(B638,$B$11:B637,1,FALSE)</f>
        <v>#N/A</v>
      </c>
      <c r="M638" s="317">
        <f>G638*(1-FORM!$AE$28/100)</f>
        <v>377.39</v>
      </c>
      <c r="O638" s="502"/>
    </row>
    <row r="639" spans="1:15">
      <c r="A639" s="180"/>
      <c r="B639" s="411"/>
      <c r="C639" s="412"/>
      <c r="D639" s="275"/>
      <c r="E639" s="356"/>
      <c r="F639" s="357"/>
      <c r="G639" s="373"/>
      <c r="H639" s="158"/>
      <c r="I639" s="358"/>
      <c r="J639" s="359" t="s">
        <v>54</v>
      </c>
      <c r="L639" s="97" t="e">
        <f>VLOOKUP(B639,$B$11:B638,1,FALSE)</f>
        <v>#N/A</v>
      </c>
      <c r="M639" s="317">
        <f>G639*(1-FORM!$AE$28/100)</f>
        <v>0</v>
      </c>
      <c r="O639" s="502"/>
    </row>
    <row r="640" spans="1:15">
      <c r="A640" s="180"/>
      <c r="B640" s="409">
        <v>9257890</v>
      </c>
      <c r="C640" s="271" t="s">
        <v>1128</v>
      </c>
      <c r="D640" s="272">
        <v>1</v>
      </c>
      <c r="E640" s="350"/>
      <c r="F640" s="351"/>
      <c r="G640" s="371">
        <v>544.37</v>
      </c>
      <c r="H640" s="254" t="str">
        <f t="shared" si="41"/>
        <v>CZK</v>
      </c>
      <c r="I640" s="352"/>
      <c r="J640" s="353" t="s">
        <v>54</v>
      </c>
      <c r="L640" s="97" t="e">
        <f>VLOOKUP(B640,$B$11:B639,1,FALSE)</f>
        <v>#N/A</v>
      </c>
      <c r="M640" s="317">
        <f>G640*(1-FORM!$AE$28/100)</f>
        <v>544.37</v>
      </c>
      <c r="O640" s="502"/>
    </row>
    <row r="641" spans="1:15">
      <c r="A641" s="180"/>
      <c r="B641" s="406">
        <v>9257891</v>
      </c>
      <c r="C641" s="265" t="s">
        <v>1129</v>
      </c>
      <c r="D641" s="266">
        <v>1</v>
      </c>
      <c r="E641" s="332"/>
      <c r="F641" s="333"/>
      <c r="G641" s="367">
        <v>544.37</v>
      </c>
      <c r="H641" s="157" t="str">
        <f t="shared" si="41"/>
        <v>CZK</v>
      </c>
      <c r="I641" s="334"/>
      <c r="J641" s="335" t="s">
        <v>54</v>
      </c>
      <c r="L641" s="97" t="e">
        <f>VLOOKUP(B641,$B$11:B640,1,FALSE)</f>
        <v>#N/A</v>
      </c>
      <c r="M641" s="317">
        <f>G641*(1-FORM!$AE$28/100)</f>
        <v>544.37</v>
      </c>
      <c r="O641" s="502"/>
    </row>
    <row r="642" spans="1:15">
      <c r="A642" s="180"/>
      <c r="B642" s="406">
        <v>9257892</v>
      </c>
      <c r="C642" s="265" t="s">
        <v>1130</v>
      </c>
      <c r="D642" s="266">
        <v>1</v>
      </c>
      <c r="E642" s="332"/>
      <c r="F642" s="333"/>
      <c r="G642" s="367">
        <v>544.37</v>
      </c>
      <c r="H642" s="157" t="str">
        <f t="shared" si="41"/>
        <v>CZK</v>
      </c>
      <c r="I642" s="334"/>
      <c r="J642" s="335" t="s">
        <v>54</v>
      </c>
      <c r="L642" s="97" t="e">
        <f>VLOOKUP(B642,$B$11:B641,1,FALSE)</f>
        <v>#N/A</v>
      </c>
      <c r="M642" s="317">
        <f>G642*(1-FORM!$AE$28/100)</f>
        <v>544.37</v>
      </c>
      <c r="O642" s="502"/>
    </row>
    <row r="643" spans="1:15">
      <c r="A643" s="180"/>
      <c r="B643" s="411">
        <v>9257893</v>
      </c>
      <c r="C643" s="412" t="s">
        <v>1131</v>
      </c>
      <c r="D643" s="275">
        <v>1</v>
      </c>
      <c r="E643" s="356"/>
      <c r="F643" s="357"/>
      <c r="G643" s="373">
        <v>544.37</v>
      </c>
      <c r="H643" s="158" t="str">
        <f t="shared" si="41"/>
        <v>CZK</v>
      </c>
      <c r="I643" s="358"/>
      <c r="J643" s="359" t="s">
        <v>54</v>
      </c>
      <c r="L643" s="97" t="e">
        <f>VLOOKUP(B643,$B$11:B642,1,FALSE)</f>
        <v>#N/A</v>
      </c>
      <c r="M643" s="317">
        <f>G643*(1-FORM!$AE$28/100)</f>
        <v>544.37</v>
      </c>
      <c r="O643" s="502"/>
    </row>
    <row r="644" spans="1:15">
      <c r="A644" s="180"/>
      <c r="B644" s="409">
        <v>9236718</v>
      </c>
      <c r="C644" s="271" t="s">
        <v>1132</v>
      </c>
      <c r="D644" s="272">
        <v>100</v>
      </c>
      <c r="E644" s="350"/>
      <c r="F644" s="351"/>
      <c r="G644" s="371">
        <v>144.30000000000001</v>
      </c>
      <c r="H644" s="254" t="str">
        <f t="shared" si="41"/>
        <v>CZK</v>
      </c>
      <c r="I644" s="352"/>
      <c r="J644" s="353" t="s">
        <v>54</v>
      </c>
      <c r="L644" s="97" t="e">
        <f>VLOOKUP(B644,$B$11:B643,1,FALSE)</f>
        <v>#N/A</v>
      </c>
      <c r="M644" s="317">
        <f>G644*(1-FORM!$AE$28/100)</f>
        <v>144.30000000000001</v>
      </c>
      <c r="O644" s="502"/>
    </row>
    <row r="645" spans="1:15">
      <c r="A645" s="180"/>
      <c r="B645" s="406">
        <v>9221295</v>
      </c>
      <c r="C645" s="265" t="s">
        <v>1133</v>
      </c>
      <c r="D645" s="266">
        <v>20</v>
      </c>
      <c r="E645" s="332"/>
      <c r="F645" s="333"/>
      <c r="G645" s="367">
        <v>13.07</v>
      </c>
      <c r="H645" s="157" t="str">
        <f t="shared" si="41"/>
        <v>CZK</v>
      </c>
      <c r="I645" s="334"/>
      <c r="J645" s="335" t="s">
        <v>54</v>
      </c>
      <c r="L645" s="97" t="e">
        <f>VLOOKUP(B645,$B$11:B644,1,FALSE)</f>
        <v>#N/A</v>
      </c>
      <c r="M645" s="317">
        <f>G645*(1-FORM!$AE$28/100)</f>
        <v>13.07</v>
      </c>
      <c r="O645" s="502"/>
    </row>
    <row r="646" spans="1:15">
      <c r="A646" s="180"/>
      <c r="B646" s="406">
        <v>9278452</v>
      </c>
      <c r="C646" s="265" t="s">
        <v>1134</v>
      </c>
      <c r="D646" s="266">
        <v>20</v>
      </c>
      <c r="E646" s="332"/>
      <c r="F646" s="333"/>
      <c r="G646" s="367">
        <v>35.33</v>
      </c>
      <c r="H646" s="157" t="str">
        <f t="shared" si="41"/>
        <v>CZK</v>
      </c>
      <c r="I646" s="334"/>
      <c r="J646" s="335" t="s">
        <v>54</v>
      </c>
      <c r="L646" s="97" t="e">
        <f>VLOOKUP(B646,$B$11:B645,1,FALSE)</f>
        <v>#N/A</v>
      </c>
      <c r="M646" s="317">
        <f>G646*(1-FORM!$AE$28/100)</f>
        <v>35.33</v>
      </c>
      <c r="O646" s="502"/>
    </row>
    <row r="647" spans="1:15">
      <c r="A647" s="180"/>
      <c r="B647" s="406">
        <v>9262213</v>
      </c>
      <c r="C647" s="265" t="s">
        <v>1135</v>
      </c>
      <c r="D647" s="266">
        <v>20</v>
      </c>
      <c r="E647" s="332"/>
      <c r="F647" s="333"/>
      <c r="G647" s="367">
        <v>82.35</v>
      </c>
      <c r="H647" s="157" t="str">
        <f t="shared" si="41"/>
        <v>CZK</v>
      </c>
      <c r="I647" s="334"/>
      <c r="J647" s="335" t="s">
        <v>54</v>
      </c>
      <c r="L647" s="97" t="e">
        <f>VLOOKUP(B647,$B$11:B646,1,FALSE)</f>
        <v>#N/A</v>
      </c>
      <c r="M647" s="317">
        <f>G647*(1-FORM!$AE$28/100)</f>
        <v>82.35</v>
      </c>
      <c r="O647" s="502"/>
    </row>
    <row r="648" spans="1:15">
      <c r="A648" s="180"/>
      <c r="B648" s="411">
        <v>9278453</v>
      </c>
      <c r="C648" s="412" t="s">
        <v>1136</v>
      </c>
      <c r="D648" s="275">
        <v>1</v>
      </c>
      <c r="E648" s="356"/>
      <c r="F648" s="357"/>
      <c r="G648" s="373">
        <v>783.93</v>
      </c>
      <c r="H648" s="158" t="str">
        <f t="shared" si="41"/>
        <v>CZK</v>
      </c>
      <c r="I648" s="358"/>
      <c r="J648" s="359" t="s">
        <v>54</v>
      </c>
      <c r="L648" s="97" t="e">
        <f>VLOOKUP(B648,$B$11:B647,1,FALSE)</f>
        <v>#N/A</v>
      </c>
      <c r="M648" s="317">
        <f>G648*(1-FORM!$AE$28/100)</f>
        <v>783.93</v>
      </c>
      <c r="O648" s="502"/>
    </row>
    <row r="649" spans="1:15">
      <c r="A649" s="180"/>
      <c r="B649" s="411"/>
      <c r="C649" s="412"/>
      <c r="D649" s="275"/>
      <c r="E649" s="356"/>
      <c r="F649" s="357"/>
      <c r="G649" s="373"/>
      <c r="H649" s="158"/>
      <c r="I649" s="358"/>
      <c r="J649" s="359" t="s">
        <v>54</v>
      </c>
      <c r="L649" s="97" t="e">
        <f>VLOOKUP(B649,$B$11:B648,1,FALSE)</f>
        <v>#N/A</v>
      </c>
      <c r="M649" s="317">
        <f>G649*(1-FORM!$AE$28/100)</f>
        <v>0</v>
      </c>
      <c r="O649" s="502"/>
    </row>
    <row r="650" spans="1:15">
      <c r="A650" s="180"/>
      <c r="B650" s="409">
        <v>9256953</v>
      </c>
      <c r="C650" s="271" t="s">
        <v>1137</v>
      </c>
      <c r="D650" s="272">
        <v>1</v>
      </c>
      <c r="E650" s="350"/>
      <c r="F650" s="351"/>
      <c r="G650" s="371">
        <v>413.4</v>
      </c>
      <c r="H650" s="254" t="str">
        <f t="shared" si="41"/>
        <v>CZK</v>
      </c>
      <c r="I650" s="352"/>
      <c r="J650" s="353" t="s">
        <v>54</v>
      </c>
      <c r="L650" s="97" t="e">
        <f>VLOOKUP(B650,$B$11:B649,1,FALSE)</f>
        <v>#N/A</v>
      </c>
      <c r="M650" s="317">
        <f>G650*(1-FORM!$AE$28/100)</f>
        <v>413.4</v>
      </c>
      <c r="O650" s="502"/>
    </row>
    <row r="651" spans="1:15">
      <c r="A651" s="180"/>
      <c r="B651" s="406">
        <v>9256954</v>
      </c>
      <c r="C651" s="265" t="s">
        <v>1138</v>
      </c>
      <c r="D651" s="266">
        <v>1</v>
      </c>
      <c r="E651" s="332"/>
      <c r="F651" s="333"/>
      <c r="G651" s="367">
        <v>414.13</v>
      </c>
      <c r="H651" s="157" t="str">
        <f>IF(G651="","",$H$10)</f>
        <v>CZK</v>
      </c>
      <c r="I651" s="334"/>
      <c r="J651" s="335" t="s">
        <v>54</v>
      </c>
      <c r="L651" s="97" t="e">
        <f>VLOOKUP(B651,$B$11:B650,1,FALSE)</f>
        <v>#N/A</v>
      </c>
      <c r="M651" s="317">
        <f>G651*(1-FORM!$AE$28/100)</f>
        <v>414.13</v>
      </c>
      <c r="O651" s="502"/>
    </row>
    <row r="652" spans="1:15">
      <c r="A652" s="180"/>
      <c r="B652" s="406">
        <v>9256956</v>
      </c>
      <c r="C652" s="265" t="s">
        <v>1139</v>
      </c>
      <c r="D652" s="266">
        <v>1</v>
      </c>
      <c r="E652" s="332"/>
      <c r="F652" s="333"/>
      <c r="G652" s="367">
        <v>421.61</v>
      </c>
      <c r="H652" s="157" t="str">
        <f>IF(G652="","",$H$10)</f>
        <v>CZK</v>
      </c>
      <c r="I652" s="334"/>
      <c r="J652" s="335" t="s">
        <v>54</v>
      </c>
      <c r="L652" s="97" t="e">
        <f>VLOOKUP(B652,$B$11:B651,1,FALSE)</f>
        <v>#N/A</v>
      </c>
      <c r="M652" s="317">
        <f>G652*(1-FORM!$AE$28/100)</f>
        <v>421.61</v>
      </c>
      <c r="O652" s="502"/>
    </row>
    <row r="653" spans="1:15">
      <c r="A653" s="180"/>
      <c r="B653" s="406">
        <v>9256944</v>
      </c>
      <c r="C653" s="265" t="s">
        <v>1140</v>
      </c>
      <c r="D653" s="266">
        <v>20</v>
      </c>
      <c r="E653" s="332"/>
      <c r="F653" s="333"/>
      <c r="G653" s="367">
        <v>174.19</v>
      </c>
      <c r="H653" s="157" t="str">
        <f>IF(G653="","",$H$10)</f>
        <v>CZK</v>
      </c>
      <c r="I653" s="334"/>
      <c r="J653" s="335" t="s">
        <v>54</v>
      </c>
      <c r="L653" s="97" t="e">
        <f>VLOOKUP(B653,$B$11:B652,1,FALSE)</f>
        <v>#N/A</v>
      </c>
      <c r="M653" s="317">
        <f>G653*(1-FORM!$AE$28/100)</f>
        <v>174.19</v>
      </c>
      <c r="O653" s="502"/>
    </row>
    <row r="654" spans="1:15">
      <c r="A654" s="180"/>
      <c r="B654" s="406">
        <v>9256945</v>
      </c>
      <c r="C654" s="265" t="s">
        <v>1141</v>
      </c>
      <c r="D654" s="266">
        <v>20</v>
      </c>
      <c r="E654" s="332"/>
      <c r="F654" s="333"/>
      <c r="G654" s="367">
        <v>174.19</v>
      </c>
      <c r="H654" s="157" t="str">
        <f>IF(G654="","",$H$10)</f>
        <v>CZK</v>
      </c>
      <c r="I654" s="334"/>
      <c r="J654" s="335" t="s">
        <v>54</v>
      </c>
      <c r="L654" s="97" t="e">
        <f>VLOOKUP(B654,$B$11:B653,1,FALSE)</f>
        <v>#N/A</v>
      </c>
      <c r="M654" s="317">
        <f>G654*(1-FORM!$AE$28/100)</f>
        <v>174.19</v>
      </c>
      <c r="O654" s="502"/>
    </row>
    <row r="655" spans="1:15">
      <c r="A655" s="180"/>
      <c r="B655" s="406">
        <v>9256946</v>
      </c>
      <c r="C655" s="265" t="s">
        <v>1142</v>
      </c>
      <c r="D655" s="266">
        <v>20</v>
      </c>
      <c r="E655" s="332"/>
      <c r="F655" s="333"/>
      <c r="G655" s="367">
        <v>172.7</v>
      </c>
      <c r="H655" s="157" t="str">
        <f t="shared" ref="H655:H660" si="42">IF(G655="","",$H$10)</f>
        <v>CZK</v>
      </c>
      <c r="I655" s="334"/>
      <c r="J655" s="335" t="s">
        <v>54</v>
      </c>
      <c r="L655" s="97" t="e">
        <f>VLOOKUP(B655,$B$11:B654,1,FALSE)</f>
        <v>#N/A</v>
      </c>
      <c r="M655" s="317">
        <f>G655*(1-FORM!$AE$28/100)</f>
        <v>172.7</v>
      </c>
      <c r="O655" s="502"/>
    </row>
    <row r="656" spans="1:15">
      <c r="A656" s="180"/>
      <c r="B656" s="406">
        <v>9256947</v>
      </c>
      <c r="C656" s="265" t="s">
        <v>1143</v>
      </c>
      <c r="D656" s="266">
        <v>20</v>
      </c>
      <c r="E656" s="332"/>
      <c r="F656" s="333"/>
      <c r="G656" s="367">
        <v>172.7</v>
      </c>
      <c r="H656" s="157" t="str">
        <f t="shared" si="42"/>
        <v>CZK</v>
      </c>
      <c r="I656" s="334"/>
      <c r="J656" s="335" t="s">
        <v>54</v>
      </c>
      <c r="L656" s="97" t="e">
        <f>VLOOKUP(B656,$B$11:B655,1,FALSE)</f>
        <v>#N/A</v>
      </c>
      <c r="M656" s="317">
        <f>G656*(1-FORM!$AE$28/100)</f>
        <v>172.7</v>
      </c>
      <c r="O656" s="502"/>
    </row>
    <row r="657" spans="1:15">
      <c r="A657" s="180"/>
      <c r="B657" s="406">
        <v>9256950</v>
      </c>
      <c r="C657" s="265" t="s">
        <v>1144</v>
      </c>
      <c r="D657" s="266">
        <v>20</v>
      </c>
      <c r="E657" s="332"/>
      <c r="F657" s="333"/>
      <c r="G657" s="367">
        <v>176.43</v>
      </c>
      <c r="H657" s="157" t="str">
        <f t="shared" si="42"/>
        <v>CZK</v>
      </c>
      <c r="I657" s="334"/>
      <c r="J657" s="335" t="s">
        <v>54</v>
      </c>
      <c r="L657" s="97" t="e">
        <f>VLOOKUP(B657,$B$11:B656,1,FALSE)</f>
        <v>#N/A</v>
      </c>
      <c r="M657" s="317">
        <f>G657*(1-FORM!$AE$28/100)</f>
        <v>176.43</v>
      </c>
      <c r="O657" s="502"/>
    </row>
    <row r="658" spans="1:15">
      <c r="A658" s="180"/>
      <c r="B658" s="411">
        <v>9256951</v>
      </c>
      <c r="C658" s="412" t="s">
        <v>1145</v>
      </c>
      <c r="D658" s="275">
        <v>20</v>
      </c>
      <c r="E658" s="356"/>
      <c r="F658" s="357"/>
      <c r="G658" s="373">
        <v>176.43</v>
      </c>
      <c r="H658" s="158" t="str">
        <f t="shared" si="42"/>
        <v>CZK</v>
      </c>
      <c r="I658" s="358"/>
      <c r="J658" s="359" t="s">
        <v>54</v>
      </c>
      <c r="L658" s="97" t="e">
        <f>VLOOKUP(B658,$B$11:B657,1,FALSE)</f>
        <v>#N/A</v>
      </c>
      <c r="M658" s="317">
        <f>G658*(1-FORM!$AE$28/100)</f>
        <v>176.43</v>
      </c>
      <c r="O658" s="502"/>
    </row>
    <row r="659" spans="1:15">
      <c r="A659" s="180"/>
      <c r="B659" s="411"/>
      <c r="C659" s="412"/>
      <c r="D659" s="275"/>
      <c r="E659" s="356"/>
      <c r="F659" s="357"/>
      <c r="G659" s="373"/>
      <c r="H659" s="158"/>
      <c r="I659" s="358"/>
      <c r="J659" s="359" t="s">
        <v>54</v>
      </c>
      <c r="L659" s="97" t="e">
        <f>VLOOKUP(B659,$B$11:B658,1,FALSE)</f>
        <v>#N/A</v>
      </c>
      <c r="M659" s="317">
        <f>G659*(1-FORM!$AE$28/100)</f>
        <v>0</v>
      </c>
      <c r="O659" s="502"/>
    </row>
    <row r="660" spans="1:15">
      <c r="A660" s="180"/>
      <c r="B660" s="409">
        <v>9256883</v>
      </c>
      <c r="C660" s="271" t="s">
        <v>1146</v>
      </c>
      <c r="D660" s="272">
        <v>1</v>
      </c>
      <c r="E660" s="350"/>
      <c r="F660" s="351"/>
      <c r="G660" s="371">
        <v>372.29</v>
      </c>
      <c r="H660" s="254" t="str">
        <f t="shared" si="42"/>
        <v>CZK</v>
      </c>
      <c r="I660" s="352"/>
      <c r="J660" s="353" t="s">
        <v>54</v>
      </c>
      <c r="L660" s="97" t="e">
        <f>VLOOKUP(B660,$B$11:B659,1,FALSE)</f>
        <v>#N/A</v>
      </c>
      <c r="M660" s="317">
        <f>G660*(1-FORM!$AE$28/100)</f>
        <v>372.29</v>
      </c>
      <c r="O660" s="502"/>
    </row>
    <row r="661" spans="1:15">
      <c r="A661" s="180"/>
      <c r="B661" s="406">
        <v>9256884</v>
      </c>
      <c r="C661" s="265" t="s">
        <v>1147</v>
      </c>
      <c r="D661" s="266">
        <v>1</v>
      </c>
      <c r="E661" s="332"/>
      <c r="F661" s="333"/>
      <c r="G661" s="367">
        <v>369.3</v>
      </c>
      <c r="H661" s="157" t="str">
        <f t="shared" ref="H661:H676" si="43">IF(G661="","",$H$10)</f>
        <v>CZK</v>
      </c>
      <c r="I661" s="334"/>
      <c r="J661" s="335" t="s">
        <v>54</v>
      </c>
      <c r="L661" s="97" t="e">
        <f>VLOOKUP(B661,$B$11:B660,1,FALSE)</f>
        <v>#N/A</v>
      </c>
      <c r="M661" s="317">
        <f>G661*(1-FORM!$AE$28/100)</f>
        <v>369.3</v>
      </c>
      <c r="O661" s="502"/>
    </row>
    <row r="662" spans="1:15">
      <c r="A662" s="180"/>
      <c r="B662" s="406">
        <v>9256886</v>
      </c>
      <c r="C662" s="265" t="s">
        <v>1148</v>
      </c>
      <c r="D662" s="266">
        <v>1</v>
      </c>
      <c r="E662" s="332"/>
      <c r="F662" s="333"/>
      <c r="G662" s="367">
        <v>376.77</v>
      </c>
      <c r="H662" s="157" t="str">
        <f t="shared" si="43"/>
        <v>CZK</v>
      </c>
      <c r="I662" s="334"/>
      <c r="J662" s="335" t="s">
        <v>54</v>
      </c>
      <c r="L662" s="97" t="e">
        <f>VLOOKUP(B662,$B$11:B661,1,FALSE)</f>
        <v>#N/A</v>
      </c>
      <c r="M662" s="317">
        <f>G662*(1-FORM!$AE$28/100)</f>
        <v>376.77</v>
      </c>
      <c r="O662" s="502"/>
    </row>
    <row r="663" spans="1:15">
      <c r="A663" s="180"/>
      <c r="B663" s="406">
        <v>9256888</v>
      </c>
      <c r="C663" s="265" t="s">
        <v>1149</v>
      </c>
      <c r="D663" s="266">
        <v>1</v>
      </c>
      <c r="E663" s="332"/>
      <c r="F663" s="333"/>
      <c r="G663" s="367">
        <v>384.24</v>
      </c>
      <c r="H663" s="157" t="str">
        <f t="shared" si="43"/>
        <v>CZK</v>
      </c>
      <c r="I663" s="334"/>
      <c r="J663" s="335" t="s">
        <v>54</v>
      </c>
      <c r="L663" s="97" t="e">
        <f>VLOOKUP(B663,$B$11:B662,1,FALSE)</f>
        <v>#N/A</v>
      </c>
      <c r="M663" s="317">
        <f>G663*(1-FORM!$AE$28/100)</f>
        <v>384.24</v>
      </c>
      <c r="O663" s="502"/>
    </row>
    <row r="664" spans="1:15">
      <c r="A664" s="180"/>
      <c r="B664" s="406">
        <v>9256890</v>
      </c>
      <c r="C664" s="265" t="s">
        <v>1150</v>
      </c>
      <c r="D664" s="266">
        <v>1</v>
      </c>
      <c r="E664" s="332"/>
      <c r="F664" s="333"/>
      <c r="G664" s="367">
        <v>391.72</v>
      </c>
      <c r="H664" s="157" t="str">
        <f t="shared" si="43"/>
        <v>CZK</v>
      </c>
      <c r="I664" s="334"/>
      <c r="J664" s="335" t="s">
        <v>54</v>
      </c>
      <c r="L664" s="97" t="e">
        <f>VLOOKUP(B664,$B$11:B663,1,FALSE)</f>
        <v>#N/A</v>
      </c>
      <c r="M664" s="317">
        <f>G664*(1-FORM!$AE$28/100)</f>
        <v>391.72</v>
      </c>
      <c r="O664" s="502"/>
    </row>
    <row r="665" spans="1:15">
      <c r="A665" s="180"/>
      <c r="B665" s="406">
        <v>9256892</v>
      </c>
      <c r="C665" s="265" t="s">
        <v>1151</v>
      </c>
      <c r="D665" s="266">
        <v>1</v>
      </c>
      <c r="E665" s="332"/>
      <c r="F665" s="333"/>
      <c r="G665" s="367">
        <v>399.19</v>
      </c>
      <c r="H665" s="157" t="str">
        <f t="shared" si="43"/>
        <v>CZK</v>
      </c>
      <c r="I665" s="334"/>
      <c r="J665" s="335" t="s">
        <v>54</v>
      </c>
      <c r="L665" s="97" t="e">
        <f>VLOOKUP(B665,$B$11:B664,1,FALSE)</f>
        <v>#N/A</v>
      </c>
      <c r="M665" s="317">
        <f>G665*(1-FORM!$AE$28/100)</f>
        <v>399.19</v>
      </c>
      <c r="O665" s="502"/>
    </row>
    <row r="666" spans="1:15">
      <c r="A666" s="180"/>
      <c r="B666" s="406">
        <v>9256894</v>
      </c>
      <c r="C666" s="265" t="s">
        <v>1152</v>
      </c>
      <c r="D666" s="266">
        <v>1</v>
      </c>
      <c r="E666" s="332"/>
      <c r="F666" s="333"/>
      <c r="G666" s="367">
        <v>412.64</v>
      </c>
      <c r="H666" s="157" t="str">
        <f t="shared" si="43"/>
        <v>CZK</v>
      </c>
      <c r="I666" s="334"/>
      <c r="J666" s="335" t="s">
        <v>54</v>
      </c>
      <c r="L666" s="97" t="e">
        <f>VLOOKUP(B666,$B$11:B665,1,FALSE)</f>
        <v>#N/A</v>
      </c>
      <c r="M666" s="317">
        <f>G666*(1-FORM!$AE$28/100)</f>
        <v>412.64</v>
      </c>
      <c r="O666" s="502"/>
    </row>
    <row r="667" spans="1:15">
      <c r="A667" s="180"/>
      <c r="B667" s="406">
        <v>9256896</v>
      </c>
      <c r="C667" s="265" t="s">
        <v>1153</v>
      </c>
      <c r="D667" s="266">
        <v>1</v>
      </c>
      <c r="E667" s="332"/>
      <c r="F667" s="333"/>
      <c r="G667" s="367">
        <v>420.11</v>
      </c>
      <c r="H667" s="157" t="str">
        <f t="shared" si="43"/>
        <v>CZK</v>
      </c>
      <c r="I667" s="334"/>
      <c r="J667" s="335" t="s">
        <v>54</v>
      </c>
      <c r="L667" s="97" t="e">
        <f>VLOOKUP(B667,$B$11:B666,1,FALSE)</f>
        <v>#N/A</v>
      </c>
      <c r="M667" s="317">
        <f>G667*(1-FORM!$AE$28/100)</f>
        <v>420.11</v>
      </c>
      <c r="O667" s="502"/>
    </row>
    <row r="668" spans="1:15">
      <c r="A668" s="180"/>
      <c r="B668" s="406">
        <v>9256854</v>
      </c>
      <c r="C668" s="265" t="s">
        <v>1154</v>
      </c>
      <c r="D668" s="266">
        <v>20</v>
      </c>
      <c r="E668" s="332"/>
      <c r="F668" s="333"/>
      <c r="G668" s="367">
        <v>174.19</v>
      </c>
      <c r="H668" s="157" t="str">
        <f t="shared" si="43"/>
        <v>CZK</v>
      </c>
      <c r="I668" s="334"/>
      <c r="J668" s="335" t="s">
        <v>54</v>
      </c>
      <c r="L668" s="97" t="e">
        <f>VLOOKUP(B668,$B$11:B667,1,FALSE)</f>
        <v>#N/A</v>
      </c>
      <c r="M668" s="317">
        <f>G668*(1-FORM!$AE$28/100)</f>
        <v>174.19</v>
      </c>
      <c r="O668" s="502"/>
    </row>
    <row r="669" spans="1:15">
      <c r="A669" s="180"/>
      <c r="B669" s="406">
        <v>9256855</v>
      </c>
      <c r="C669" s="265" t="s">
        <v>1155</v>
      </c>
      <c r="D669" s="266">
        <v>20</v>
      </c>
      <c r="E669" s="332"/>
      <c r="F669" s="333"/>
      <c r="G669" s="367">
        <v>174.19</v>
      </c>
      <c r="H669" s="157" t="str">
        <f t="shared" si="43"/>
        <v>CZK</v>
      </c>
      <c r="I669" s="334"/>
      <c r="J669" s="335" t="s">
        <v>54</v>
      </c>
      <c r="L669" s="97" t="e">
        <f>VLOOKUP(B669,$B$11:B668,1,FALSE)</f>
        <v>#N/A</v>
      </c>
      <c r="M669" s="317">
        <f>G669*(1-FORM!$AE$28/100)</f>
        <v>174.19</v>
      </c>
      <c r="O669" s="502"/>
    </row>
    <row r="670" spans="1:15">
      <c r="A670" s="180"/>
      <c r="B670" s="406">
        <v>9256856</v>
      </c>
      <c r="C670" s="265" t="s">
        <v>1156</v>
      </c>
      <c r="D670" s="266">
        <v>20</v>
      </c>
      <c r="E670" s="332"/>
      <c r="F670" s="333"/>
      <c r="G670" s="367">
        <v>172.7</v>
      </c>
      <c r="H670" s="157" t="str">
        <f t="shared" si="43"/>
        <v>CZK</v>
      </c>
      <c r="I670" s="334"/>
      <c r="J670" s="335" t="s">
        <v>54</v>
      </c>
      <c r="L670" s="97" t="e">
        <f>VLOOKUP(B670,$B$11:B669,1,FALSE)</f>
        <v>#N/A</v>
      </c>
      <c r="M670" s="317">
        <f>G670*(1-FORM!$AE$28/100)</f>
        <v>172.7</v>
      </c>
      <c r="O670" s="502"/>
    </row>
    <row r="671" spans="1:15">
      <c r="A671" s="180"/>
      <c r="B671" s="406">
        <v>9256857</v>
      </c>
      <c r="C671" s="265" t="s">
        <v>1157</v>
      </c>
      <c r="D671" s="266">
        <v>20</v>
      </c>
      <c r="E671" s="332"/>
      <c r="F671" s="333"/>
      <c r="G671" s="367">
        <v>172.7</v>
      </c>
      <c r="H671" s="157" t="str">
        <f t="shared" si="43"/>
        <v>CZK</v>
      </c>
      <c r="I671" s="334"/>
      <c r="J671" s="335" t="s">
        <v>54</v>
      </c>
      <c r="L671" s="97" t="e">
        <f>VLOOKUP(B671,$B$11:B670,1,FALSE)</f>
        <v>#N/A</v>
      </c>
      <c r="M671" s="317">
        <f>G671*(1-FORM!$AE$28/100)</f>
        <v>172.7</v>
      </c>
      <c r="O671" s="502"/>
    </row>
    <row r="672" spans="1:15">
      <c r="A672" s="180"/>
      <c r="B672" s="406">
        <v>9256860</v>
      </c>
      <c r="C672" s="265" t="s">
        <v>1158</v>
      </c>
      <c r="D672" s="266">
        <v>20</v>
      </c>
      <c r="E672" s="332"/>
      <c r="F672" s="333"/>
      <c r="G672" s="367">
        <v>176.43</v>
      </c>
      <c r="H672" s="157" t="str">
        <f t="shared" si="43"/>
        <v>CZK</v>
      </c>
      <c r="I672" s="334"/>
      <c r="J672" s="335" t="s">
        <v>54</v>
      </c>
      <c r="L672" s="97" t="e">
        <f>VLOOKUP(B672,$B$11:B671,1,FALSE)</f>
        <v>#N/A</v>
      </c>
      <c r="M672" s="317">
        <f>G672*(1-FORM!$AE$28/100)</f>
        <v>176.43</v>
      </c>
      <c r="O672" s="502"/>
    </row>
    <row r="673" spans="1:15">
      <c r="A673" s="180"/>
      <c r="B673" s="406">
        <v>9256861</v>
      </c>
      <c r="C673" s="265" t="s">
        <v>1159</v>
      </c>
      <c r="D673" s="266">
        <v>20</v>
      </c>
      <c r="E673" s="332"/>
      <c r="F673" s="333"/>
      <c r="G673" s="367">
        <v>176.43</v>
      </c>
      <c r="H673" s="157" t="str">
        <f t="shared" si="43"/>
        <v>CZK</v>
      </c>
      <c r="I673" s="334"/>
      <c r="J673" s="335" t="s">
        <v>54</v>
      </c>
      <c r="L673" s="97" t="e">
        <f>VLOOKUP(B673,$B$11:B672,1,FALSE)</f>
        <v>#N/A</v>
      </c>
      <c r="M673" s="317">
        <f>G673*(1-FORM!$AE$28/100)</f>
        <v>176.43</v>
      </c>
      <c r="O673" s="502"/>
    </row>
    <row r="674" spans="1:15">
      <c r="A674" s="180"/>
      <c r="B674" s="406">
        <v>9256864</v>
      </c>
      <c r="C674" s="265" t="s">
        <v>1160</v>
      </c>
      <c r="D674" s="266">
        <v>20</v>
      </c>
      <c r="E674" s="332"/>
      <c r="F674" s="333"/>
      <c r="G674" s="367">
        <v>180.17</v>
      </c>
      <c r="H674" s="157" t="str">
        <f t="shared" si="43"/>
        <v>CZK</v>
      </c>
      <c r="I674" s="334"/>
      <c r="J674" s="335" t="s">
        <v>54</v>
      </c>
      <c r="L674" s="97" t="e">
        <f>VLOOKUP(B674,$B$11:B673,1,FALSE)</f>
        <v>#N/A</v>
      </c>
      <c r="M674" s="317">
        <f>G674*(1-FORM!$AE$28/100)</f>
        <v>180.17</v>
      </c>
      <c r="O674" s="502"/>
    </row>
    <row r="675" spans="1:15">
      <c r="A675" s="180"/>
      <c r="B675" s="406">
        <v>9256865</v>
      </c>
      <c r="C675" s="265" t="s">
        <v>1161</v>
      </c>
      <c r="D675" s="266">
        <v>20</v>
      </c>
      <c r="E675" s="332"/>
      <c r="F675" s="333"/>
      <c r="G675" s="367">
        <v>180.17</v>
      </c>
      <c r="H675" s="157" t="str">
        <f t="shared" si="43"/>
        <v>CZK</v>
      </c>
      <c r="I675" s="334"/>
      <c r="J675" s="335" t="s">
        <v>54</v>
      </c>
      <c r="L675" s="97" t="e">
        <f>VLOOKUP(B675,$B$11:B674,1,FALSE)</f>
        <v>#N/A</v>
      </c>
      <c r="M675" s="317">
        <f>G675*(1-FORM!$AE$28/100)</f>
        <v>180.17</v>
      </c>
      <c r="O675" s="502"/>
    </row>
    <row r="676" spans="1:15">
      <c r="A676" s="180"/>
      <c r="B676" s="406">
        <v>9256868</v>
      </c>
      <c r="C676" s="265" t="s">
        <v>1162</v>
      </c>
      <c r="D676" s="266">
        <v>20</v>
      </c>
      <c r="E676" s="332"/>
      <c r="F676" s="333"/>
      <c r="G676" s="367">
        <v>183.9</v>
      </c>
      <c r="H676" s="157" t="str">
        <f t="shared" si="43"/>
        <v>CZK</v>
      </c>
      <c r="I676" s="334"/>
      <c r="J676" s="335" t="s">
        <v>54</v>
      </c>
      <c r="L676" s="97" t="e">
        <f>VLOOKUP(B676,$B$11:B675,1,FALSE)</f>
        <v>#N/A</v>
      </c>
      <c r="M676" s="317">
        <f>G676*(1-FORM!$AE$28/100)</f>
        <v>183.9</v>
      </c>
      <c r="O676" s="502"/>
    </row>
    <row r="677" spans="1:15">
      <c r="A677" s="180"/>
      <c r="B677" s="406">
        <v>9256869</v>
      </c>
      <c r="C677" s="265" t="s">
        <v>1163</v>
      </c>
      <c r="D677" s="266">
        <v>20</v>
      </c>
      <c r="E677" s="332"/>
      <c r="F677" s="333"/>
      <c r="G677" s="367">
        <v>183.9</v>
      </c>
      <c r="H677" s="157" t="str">
        <f t="shared" ref="H677:H742" si="44">IF(G677="","",$H$10)</f>
        <v>CZK</v>
      </c>
      <c r="I677" s="334"/>
      <c r="J677" s="335" t="s">
        <v>54</v>
      </c>
      <c r="L677" s="97" t="e">
        <f>VLOOKUP(B677,$B$11:B676,1,FALSE)</f>
        <v>#N/A</v>
      </c>
      <c r="M677" s="317">
        <f>G677*(1-FORM!$AE$28/100)</f>
        <v>183.9</v>
      </c>
      <c r="O677" s="502"/>
    </row>
    <row r="678" spans="1:15">
      <c r="A678" s="180"/>
      <c r="B678" s="406">
        <v>9256872</v>
      </c>
      <c r="C678" s="265" t="s">
        <v>1164</v>
      </c>
      <c r="D678" s="266">
        <v>20</v>
      </c>
      <c r="E678" s="332"/>
      <c r="F678" s="333"/>
      <c r="G678" s="367">
        <v>187.64</v>
      </c>
      <c r="H678" s="157" t="str">
        <f t="shared" si="44"/>
        <v>CZK</v>
      </c>
      <c r="I678" s="334"/>
      <c r="J678" s="335" t="s">
        <v>54</v>
      </c>
      <c r="L678" s="97" t="e">
        <f>VLOOKUP(B678,$B$11:B677,1,FALSE)</f>
        <v>#N/A</v>
      </c>
      <c r="M678" s="317">
        <f>G678*(1-FORM!$AE$28/100)</f>
        <v>187.64</v>
      </c>
      <c r="O678" s="502"/>
    </row>
    <row r="679" spans="1:15">
      <c r="A679" s="180"/>
      <c r="B679" s="406">
        <v>9256873</v>
      </c>
      <c r="C679" s="265" t="s">
        <v>1165</v>
      </c>
      <c r="D679" s="266">
        <v>20</v>
      </c>
      <c r="E679" s="332"/>
      <c r="F679" s="333"/>
      <c r="G679" s="367">
        <v>187.64</v>
      </c>
      <c r="H679" s="157" t="str">
        <f t="shared" si="44"/>
        <v>CZK</v>
      </c>
      <c r="I679" s="334"/>
      <c r="J679" s="335" t="s">
        <v>54</v>
      </c>
      <c r="L679" s="97" t="e">
        <f>VLOOKUP(B679,$B$11:B678,1,FALSE)</f>
        <v>#N/A</v>
      </c>
      <c r="M679" s="317">
        <f>G679*(1-FORM!$AE$28/100)</f>
        <v>187.64</v>
      </c>
      <c r="O679" s="502"/>
    </row>
    <row r="680" spans="1:15">
      <c r="A680" s="180"/>
      <c r="B680" s="406">
        <v>9256876</v>
      </c>
      <c r="C680" s="265" t="s">
        <v>1166</v>
      </c>
      <c r="D680" s="266">
        <v>20</v>
      </c>
      <c r="E680" s="332"/>
      <c r="F680" s="333"/>
      <c r="G680" s="367">
        <v>194.36</v>
      </c>
      <c r="H680" s="157" t="str">
        <f t="shared" si="44"/>
        <v>CZK</v>
      </c>
      <c r="I680" s="334"/>
      <c r="J680" s="335" t="s">
        <v>54</v>
      </c>
      <c r="L680" s="97" t="e">
        <f>VLOOKUP(B680,$B$11:B679,1,FALSE)</f>
        <v>#N/A</v>
      </c>
      <c r="M680" s="317">
        <f>G680*(1-FORM!$AE$28/100)</f>
        <v>194.36</v>
      </c>
      <c r="O680" s="502"/>
    </row>
    <row r="681" spans="1:15">
      <c r="A681" s="180"/>
      <c r="B681" s="406">
        <v>9256877</v>
      </c>
      <c r="C681" s="265" t="s">
        <v>1167</v>
      </c>
      <c r="D681" s="266">
        <v>20</v>
      </c>
      <c r="E681" s="332"/>
      <c r="F681" s="333"/>
      <c r="G681" s="367">
        <v>194.36</v>
      </c>
      <c r="H681" s="157" t="str">
        <f t="shared" si="44"/>
        <v>CZK</v>
      </c>
      <c r="I681" s="334"/>
      <c r="J681" s="335" t="s">
        <v>54</v>
      </c>
      <c r="L681" s="97" t="e">
        <f>VLOOKUP(B681,$B$11:B680,1,FALSE)</f>
        <v>#N/A</v>
      </c>
      <c r="M681" s="317">
        <f>G681*(1-FORM!$AE$28/100)</f>
        <v>194.36</v>
      </c>
      <c r="O681" s="502"/>
    </row>
    <row r="682" spans="1:15">
      <c r="A682" s="180"/>
      <c r="B682" s="406">
        <v>9256880</v>
      </c>
      <c r="C682" s="265" t="s">
        <v>1168</v>
      </c>
      <c r="D682" s="266">
        <v>20</v>
      </c>
      <c r="E682" s="332"/>
      <c r="F682" s="333"/>
      <c r="G682" s="367">
        <v>198.1</v>
      </c>
      <c r="H682" s="157" t="str">
        <f t="shared" si="44"/>
        <v>CZK</v>
      </c>
      <c r="I682" s="334"/>
      <c r="J682" s="335" t="s">
        <v>54</v>
      </c>
      <c r="L682" s="97" t="e">
        <f>VLOOKUP(B682,$B$11:B681,1,FALSE)</f>
        <v>#N/A</v>
      </c>
      <c r="M682" s="317">
        <f>G682*(1-FORM!$AE$28/100)</f>
        <v>198.1</v>
      </c>
      <c r="O682" s="502"/>
    </row>
    <row r="683" spans="1:15">
      <c r="A683" s="180"/>
      <c r="B683" s="411">
        <v>9256881</v>
      </c>
      <c r="C683" s="412" t="s">
        <v>1169</v>
      </c>
      <c r="D683" s="275">
        <v>20</v>
      </c>
      <c r="E683" s="356"/>
      <c r="F683" s="357"/>
      <c r="G683" s="373">
        <v>198.1</v>
      </c>
      <c r="H683" s="158" t="str">
        <f t="shared" si="44"/>
        <v>CZK</v>
      </c>
      <c r="I683" s="358"/>
      <c r="J683" s="359" t="s">
        <v>54</v>
      </c>
      <c r="L683" s="97" t="e">
        <f>VLOOKUP(B683,$B$11:B682,1,FALSE)</f>
        <v>#N/A</v>
      </c>
      <c r="M683" s="317">
        <f>G683*(1-FORM!$AE$28/100)</f>
        <v>198.1</v>
      </c>
      <c r="O683" s="502"/>
    </row>
    <row r="684" spans="1:15">
      <c r="A684" s="180"/>
      <c r="B684" s="411"/>
      <c r="C684" s="412"/>
      <c r="D684" s="275"/>
      <c r="E684" s="356"/>
      <c r="F684" s="357"/>
      <c r="G684" s="373"/>
      <c r="H684" s="158"/>
      <c r="I684" s="358"/>
      <c r="J684" s="359" t="s">
        <v>54</v>
      </c>
      <c r="L684" s="97" t="e">
        <f>VLOOKUP(B684,$B$11:B683,1,FALSE)</f>
        <v>#N/A</v>
      </c>
      <c r="M684" s="317">
        <f>G684*(1-FORM!$AE$28/100)</f>
        <v>0</v>
      </c>
      <c r="O684" s="502"/>
    </row>
    <row r="685" spans="1:15">
      <c r="A685" s="180"/>
      <c r="B685" s="409">
        <v>9257894</v>
      </c>
      <c r="C685" s="271" t="s">
        <v>1170</v>
      </c>
      <c r="D685" s="272">
        <v>1</v>
      </c>
      <c r="E685" s="350"/>
      <c r="F685" s="351"/>
      <c r="G685" s="371">
        <v>544.37</v>
      </c>
      <c r="H685" s="254" t="str">
        <f t="shared" si="44"/>
        <v>CZK</v>
      </c>
      <c r="I685" s="352"/>
      <c r="J685" s="353" t="s">
        <v>54</v>
      </c>
      <c r="L685" s="97" t="e">
        <f>VLOOKUP(B685,$B$11:B684,1,FALSE)</f>
        <v>#N/A</v>
      </c>
      <c r="M685" s="317">
        <f>G685*(1-FORM!$AE$28/100)</f>
        <v>544.37</v>
      </c>
      <c r="O685" s="502"/>
    </row>
    <row r="686" spans="1:15">
      <c r="A686" s="180"/>
      <c r="B686" s="406">
        <v>9257895</v>
      </c>
      <c r="C686" s="265" t="s">
        <v>1171</v>
      </c>
      <c r="D686" s="266">
        <v>1</v>
      </c>
      <c r="E686" s="332"/>
      <c r="F686" s="333"/>
      <c r="G686" s="367">
        <v>544.37</v>
      </c>
      <c r="H686" s="157" t="str">
        <f t="shared" si="44"/>
        <v>CZK</v>
      </c>
      <c r="I686" s="334"/>
      <c r="J686" s="335" t="s">
        <v>54</v>
      </c>
      <c r="L686" s="97" t="e">
        <f>VLOOKUP(B686,$B$11:B685,1,FALSE)</f>
        <v>#N/A</v>
      </c>
      <c r="M686" s="317">
        <f>G686*(1-FORM!$AE$28/100)</f>
        <v>544.37</v>
      </c>
      <c r="O686" s="502"/>
    </row>
    <row r="687" spans="1:15">
      <c r="A687" s="180"/>
      <c r="B687" s="411">
        <v>9257896</v>
      </c>
      <c r="C687" s="412" t="s">
        <v>1172</v>
      </c>
      <c r="D687" s="275">
        <v>1</v>
      </c>
      <c r="E687" s="356"/>
      <c r="F687" s="357"/>
      <c r="G687" s="373">
        <v>544.37</v>
      </c>
      <c r="H687" s="158" t="str">
        <f t="shared" si="44"/>
        <v>CZK</v>
      </c>
      <c r="I687" s="358"/>
      <c r="J687" s="359" t="s">
        <v>54</v>
      </c>
      <c r="L687" s="97" t="e">
        <f>VLOOKUP(B687,$B$11:B686,1,FALSE)</f>
        <v>#N/A</v>
      </c>
      <c r="M687" s="317">
        <f>G687*(1-FORM!$AE$28/100)</f>
        <v>544.37</v>
      </c>
      <c r="O687" s="502"/>
    </row>
    <row r="688" spans="1:15">
      <c r="A688" s="180"/>
      <c r="B688" s="411"/>
      <c r="C688" s="412"/>
      <c r="D688" s="275"/>
      <c r="E688" s="356"/>
      <c r="F688" s="357"/>
      <c r="G688" s="373"/>
      <c r="H688" s="158"/>
      <c r="I688" s="358"/>
      <c r="J688" s="359" t="s">
        <v>54</v>
      </c>
      <c r="L688" s="97" t="e">
        <f>VLOOKUP(B688,$B$11:B687,1,FALSE)</f>
        <v>#N/A</v>
      </c>
      <c r="M688" s="317">
        <f>G688*(1-FORM!$AE$28/100)</f>
        <v>0</v>
      </c>
      <c r="O688" s="502"/>
    </row>
    <row r="689" spans="1:15">
      <c r="A689" s="180"/>
      <c r="B689" s="409">
        <v>9256928</v>
      </c>
      <c r="C689" s="271" t="s">
        <v>1173</v>
      </c>
      <c r="D689" s="272">
        <v>1</v>
      </c>
      <c r="E689" s="350"/>
      <c r="F689" s="351"/>
      <c r="G689" s="371">
        <v>413.4</v>
      </c>
      <c r="H689" s="254" t="str">
        <f t="shared" si="44"/>
        <v>CZK</v>
      </c>
      <c r="I689" s="352"/>
      <c r="J689" s="353" t="s">
        <v>54</v>
      </c>
      <c r="L689" s="97" t="e">
        <f>VLOOKUP(B689,$B$11:B688,1,FALSE)</f>
        <v>#N/A</v>
      </c>
      <c r="M689" s="317">
        <f>G689*(1-FORM!$AE$28/100)</f>
        <v>413.4</v>
      </c>
      <c r="O689" s="502"/>
    </row>
    <row r="690" spans="1:15">
      <c r="A690" s="180"/>
      <c r="B690" s="406">
        <v>9256929</v>
      </c>
      <c r="C690" s="265" t="s">
        <v>1174</v>
      </c>
      <c r="D690" s="266">
        <v>1</v>
      </c>
      <c r="E690" s="332"/>
      <c r="F690" s="333"/>
      <c r="G690" s="367">
        <v>414.13</v>
      </c>
      <c r="H690" s="157" t="str">
        <f t="shared" si="44"/>
        <v>CZK</v>
      </c>
      <c r="I690" s="334"/>
      <c r="J690" s="335" t="s">
        <v>54</v>
      </c>
      <c r="L690" s="97" t="e">
        <f>VLOOKUP(B690,$B$11:B689,1,FALSE)</f>
        <v>#N/A</v>
      </c>
      <c r="M690" s="317">
        <f>G690*(1-FORM!$AE$28/100)</f>
        <v>414.13</v>
      </c>
      <c r="O690" s="502"/>
    </row>
    <row r="691" spans="1:15">
      <c r="A691" s="180"/>
      <c r="B691" s="406">
        <v>9256931</v>
      </c>
      <c r="C691" s="265" t="s">
        <v>1175</v>
      </c>
      <c r="D691" s="266">
        <v>1</v>
      </c>
      <c r="E691" s="332"/>
      <c r="F691" s="333"/>
      <c r="G691" s="367">
        <v>421.61</v>
      </c>
      <c r="H691" s="157" t="str">
        <f>IF(G691="","",$H$10)</f>
        <v>CZK</v>
      </c>
      <c r="I691" s="334"/>
      <c r="J691" s="335" t="s">
        <v>54</v>
      </c>
      <c r="L691" s="97" t="e">
        <f>VLOOKUP(B691,$B$11:B690,1,FALSE)</f>
        <v>#N/A</v>
      </c>
      <c r="M691" s="317">
        <f>G691*(1-FORM!$AE$28/100)</f>
        <v>421.61</v>
      </c>
      <c r="O691" s="502"/>
    </row>
    <row r="692" spans="1:15">
      <c r="A692" s="180"/>
      <c r="B692" s="406">
        <v>9256933</v>
      </c>
      <c r="C692" s="265" t="s">
        <v>1176</v>
      </c>
      <c r="D692" s="266">
        <v>1</v>
      </c>
      <c r="E692" s="332"/>
      <c r="F692" s="333"/>
      <c r="G692" s="367">
        <v>429.08</v>
      </c>
      <c r="H692" s="157" t="str">
        <f t="shared" si="44"/>
        <v>CZK</v>
      </c>
      <c r="I692" s="334"/>
      <c r="J692" s="335" t="s">
        <v>54</v>
      </c>
      <c r="L692" s="97" t="e">
        <f>VLOOKUP(B692,$B$11:B691,1,FALSE)</f>
        <v>#N/A</v>
      </c>
      <c r="M692" s="317">
        <f>G692*(1-FORM!$AE$28/100)</f>
        <v>429.08</v>
      </c>
      <c r="O692" s="502"/>
    </row>
    <row r="693" spans="1:15">
      <c r="A693" s="180"/>
      <c r="B693" s="406">
        <v>9256935</v>
      </c>
      <c r="C693" s="265" t="s">
        <v>1177</v>
      </c>
      <c r="D693" s="266">
        <v>1</v>
      </c>
      <c r="E693" s="332"/>
      <c r="F693" s="333"/>
      <c r="G693" s="367">
        <v>436.55</v>
      </c>
      <c r="H693" s="157" t="str">
        <f t="shared" si="44"/>
        <v>CZK</v>
      </c>
      <c r="I693" s="334"/>
      <c r="J693" s="335" t="s">
        <v>54</v>
      </c>
      <c r="L693" s="97" t="e">
        <f>VLOOKUP(B693,$B$11:B692,1,FALSE)</f>
        <v>#N/A</v>
      </c>
      <c r="M693" s="317">
        <f>G693*(1-FORM!$AE$28/100)</f>
        <v>436.55</v>
      </c>
      <c r="O693" s="502"/>
    </row>
    <row r="694" spans="1:15">
      <c r="A694" s="180"/>
      <c r="B694" s="406">
        <v>9256937</v>
      </c>
      <c r="C694" s="265" t="s">
        <v>1178</v>
      </c>
      <c r="D694" s="266">
        <v>1</v>
      </c>
      <c r="E694" s="332"/>
      <c r="F694" s="333"/>
      <c r="G694" s="367">
        <v>444.02</v>
      </c>
      <c r="H694" s="157" t="str">
        <f t="shared" si="44"/>
        <v>CZK</v>
      </c>
      <c r="I694" s="334"/>
      <c r="J694" s="335" t="s">
        <v>54</v>
      </c>
      <c r="L694" s="97" t="e">
        <f>VLOOKUP(B694,$B$11:B693,1,FALSE)</f>
        <v>#N/A</v>
      </c>
      <c r="M694" s="317">
        <f>G694*(1-FORM!$AE$28/100)</f>
        <v>444.02</v>
      </c>
      <c r="O694" s="502"/>
    </row>
    <row r="695" spans="1:15">
      <c r="A695" s="180"/>
      <c r="B695" s="406">
        <v>9256939</v>
      </c>
      <c r="C695" s="265" t="s">
        <v>1179</v>
      </c>
      <c r="D695" s="266">
        <v>1</v>
      </c>
      <c r="E695" s="332"/>
      <c r="F695" s="333"/>
      <c r="G695" s="367">
        <v>457.48</v>
      </c>
      <c r="H695" s="157" t="str">
        <f t="shared" si="44"/>
        <v>CZK</v>
      </c>
      <c r="I695" s="334"/>
      <c r="J695" s="335" t="s">
        <v>54</v>
      </c>
      <c r="L695" s="97" t="e">
        <f>VLOOKUP(B695,$B$11:B694,1,FALSE)</f>
        <v>#N/A</v>
      </c>
      <c r="M695" s="317">
        <f>G695*(1-FORM!$AE$28/100)</f>
        <v>457.48</v>
      </c>
      <c r="O695" s="502"/>
    </row>
    <row r="696" spans="1:15">
      <c r="A696" s="180"/>
      <c r="B696" s="406">
        <v>9256941</v>
      </c>
      <c r="C696" s="265" t="s">
        <v>1180</v>
      </c>
      <c r="D696" s="266">
        <v>1</v>
      </c>
      <c r="E696" s="332"/>
      <c r="F696" s="333"/>
      <c r="G696" s="367">
        <v>464.95</v>
      </c>
      <c r="H696" s="157" t="str">
        <f t="shared" si="44"/>
        <v>CZK</v>
      </c>
      <c r="I696" s="334"/>
      <c r="J696" s="335" t="s">
        <v>54</v>
      </c>
      <c r="L696" s="97" t="e">
        <f>VLOOKUP(B696,$B$11:B695,1,FALSE)</f>
        <v>#N/A</v>
      </c>
      <c r="M696" s="317">
        <f>G696*(1-FORM!$AE$28/100)</f>
        <v>464.95</v>
      </c>
      <c r="O696" s="502"/>
    </row>
    <row r="697" spans="1:15">
      <c r="A697" s="180"/>
      <c r="B697" s="406">
        <v>9256899</v>
      </c>
      <c r="C697" s="265" t="s">
        <v>1181</v>
      </c>
      <c r="D697" s="266">
        <v>20</v>
      </c>
      <c r="E697" s="332"/>
      <c r="F697" s="333"/>
      <c r="G697" s="367">
        <v>194.74</v>
      </c>
      <c r="H697" s="157" t="str">
        <f t="shared" si="44"/>
        <v>CZK</v>
      </c>
      <c r="I697" s="334"/>
      <c r="J697" s="335" t="s">
        <v>54</v>
      </c>
      <c r="L697" s="97" t="e">
        <f>VLOOKUP(B697,$B$11:B696,1,FALSE)</f>
        <v>#N/A</v>
      </c>
      <c r="M697" s="317">
        <f>G697*(1-FORM!$AE$28/100)</f>
        <v>194.74</v>
      </c>
      <c r="O697" s="502"/>
    </row>
    <row r="698" spans="1:15">
      <c r="A698" s="180"/>
      <c r="B698" s="406">
        <v>9256900</v>
      </c>
      <c r="C698" s="265" t="s">
        <v>1182</v>
      </c>
      <c r="D698" s="266">
        <v>20</v>
      </c>
      <c r="E698" s="332"/>
      <c r="F698" s="333"/>
      <c r="G698" s="367">
        <v>194.74</v>
      </c>
      <c r="H698" s="157" t="str">
        <f t="shared" si="44"/>
        <v>CZK</v>
      </c>
      <c r="I698" s="334"/>
      <c r="J698" s="335" t="s">
        <v>54</v>
      </c>
      <c r="L698" s="97" t="e">
        <f>VLOOKUP(B698,$B$11:B697,1,FALSE)</f>
        <v>#N/A</v>
      </c>
      <c r="M698" s="317">
        <f>G698*(1-FORM!$AE$28/100)</f>
        <v>194.74</v>
      </c>
      <c r="O698" s="502"/>
    </row>
    <row r="699" spans="1:15">
      <c r="A699" s="180"/>
      <c r="B699" s="406">
        <v>9256901</v>
      </c>
      <c r="C699" s="265" t="s">
        <v>1183</v>
      </c>
      <c r="D699" s="266">
        <v>20</v>
      </c>
      <c r="E699" s="332"/>
      <c r="F699" s="333"/>
      <c r="G699" s="367">
        <v>195.11</v>
      </c>
      <c r="H699" s="157" t="str">
        <f t="shared" si="44"/>
        <v>CZK</v>
      </c>
      <c r="I699" s="334"/>
      <c r="J699" s="335" t="s">
        <v>54</v>
      </c>
      <c r="L699" s="97" t="e">
        <f>VLOOKUP(B699,$B$11:B698,1,FALSE)</f>
        <v>#N/A</v>
      </c>
      <c r="M699" s="317">
        <f>G699*(1-FORM!$AE$28/100)</f>
        <v>195.11</v>
      </c>
      <c r="O699" s="502"/>
    </row>
    <row r="700" spans="1:15">
      <c r="A700" s="180"/>
      <c r="B700" s="406">
        <v>9256902</v>
      </c>
      <c r="C700" s="265" t="s">
        <v>1184</v>
      </c>
      <c r="D700" s="266">
        <v>20</v>
      </c>
      <c r="E700" s="332"/>
      <c r="F700" s="333"/>
      <c r="G700" s="367">
        <v>195.11</v>
      </c>
      <c r="H700" s="157" t="str">
        <f t="shared" si="44"/>
        <v>CZK</v>
      </c>
      <c r="I700" s="334"/>
      <c r="J700" s="335" t="s">
        <v>54</v>
      </c>
      <c r="L700" s="97" t="e">
        <f>VLOOKUP(B700,$B$11:B699,1,FALSE)</f>
        <v>#N/A</v>
      </c>
      <c r="M700" s="317">
        <f>G700*(1-FORM!$AE$28/100)</f>
        <v>195.11</v>
      </c>
      <c r="O700" s="502"/>
    </row>
    <row r="701" spans="1:15">
      <c r="A701" s="180"/>
      <c r="B701" s="406">
        <v>9256905</v>
      </c>
      <c r="C701" s="265" t="s">
        <v>1185</v>
      </c>
      <c r="D701" s="266">
        <v>20</v>
      </c>
      <c r="E701" s="332"/>
      <c r="F701" s="333"/>
      <c r="G701" s="367">
        <v>198.85</v>
      </c>
      <c r="H701" s="157" t="str">
        <f t="shared" si="44"/>
        <v>CZK</v>
      </c>
      <c r="I701" s="334"/>
      <c r="J701" s="335" t="s">
        <v>54</v>
      </c>
      <c r="L701" s="97" t="e">
        <f>VLOOKUP(B701,$B$11:B700,1,FALSE)</f>
        <v>#N/A</v>
      </c>
      <c r="M701" s="317">
        <f>G701*(1-FORM!$AE$28/100)</f>
        <v>198.85</v>
      </c>
      <c r="O701" s="502"/>
    </row>
    <row r="702" spans="1:15">
      <c r="A702" s="180"/>
      <c r="B702" s="406">
        <v>9256906</v>
      </c>
      <c r="C702" s="265" t="s">
        <v>1186</v>
      </c>
      <c r="D702" s="266">
        <v>20</v>
      </c>
      <c r="E702" s="332"/>
      <c r="F702" s="333"/>
      <c r="G702" s="367">
        <v>198.85</v>
      </c>
      <c r="H702" s="157" t="str">
        <f t="shared" si="44"/>
        <v>CZK</v>
      </c>
      <c r="I702" s="334"/>
      <c r="J702" s="335" t="s">
        <v>54</v>
      </c>
      <c r="L702" s="97" t="e">
        <f>VLOOKUP(B702,$B$11:B701,1,FALSE)</f>
        <v>#N/A</v>
      </c>
      <c r="M702" s="317">
        <f>G702*(1-FORM!$AE$28/100)</f>
        <v>198.85</v>
      </c>
      <c r="O702" s="502"/>
    </row>
    <row r="703" spans="1:15">
      <c r="A703" s="180"/>
      <c r="B703" s="406">
        <v>9256909</v>
      </c>
      <c r="C703" s="265" t="s">
        <v>1187</v>
      </c>
      <c r="D703" s="266">
        <v>20</v>
      </c>
      <c r="E703" s="332"/>
      <c r="F703" s="333"/>
      <c r="G703" s="367">
        <v>202.58</v>
      </c>
      <c r="H703" s="157" t="str">
        <f t="shared" si="44"/>
        <v>CZK</v>
      </c>
      <c r="I703" s="334"/>
      <c r="J703" s="335" t="s">
        <v>54</v>
      </c>
      <c r="L703" s="97" t="e">
        <f>VLOOKUP(B703,$B$11:B702,1,FALSE)</f>
        <v>#N/A</v>
      </c>
      <c r="M703" s="317">
        <f>G703*(1-FORM!$AE$28/100)</f>
        <v>202.58</v>
      </c>
      <c r="O703" s="502"/>
    </row>
    <row r="704" spans="1:15">
      <c r="A704" s="180"/>
      <c r="B704" s="406">
        <v>9256910</v>
      </c>
      <c r="C704" s="265" t="s">
        <v>1188</v>
      </c>
      <c r="D704" s="266">
        <v>20</v>
      </c>
      <c r="E704" s="332"/>
      <c r="F704" s="333"/>
      <c r="G704" s="367">
        <v>202.58</v>
      </c>
      <c r="H704" s="157" t="str">
        <f t="shared" si="44"/>
        <v>CZK</v>
      </c>
      <c r="I704" s="334"/>
      <c r="J704" s="335" t="s">
        <v>54</v>
      </c>
      <c r="L704" s="97" t="e">
        <f>VLOOKUP(B704,$B$11:B703,1,FALSE)</f>
        <v>#N/A</v>
      </c>
      <c r="M704" s="317">
        <f>G704*(1-FORM!$AE$28/100)</f>
        <v>202.58</v>
      </c>
      <c r="O704" s="502"/>
    </row>
    <row r="705" spans="1:15">
      <c r="A705" s="180"/>
      <c r="B705" s="406">
        <v>9256913</v>
      </c>
      <c r="C705" s="265" t="s">
        <v>1189</v>
      </c>
      <c r="D705" s="266">
        <v>20</v>
      </c>
      <c r="E705" s="332"/>
      <c r="F705" s="333"/>
      <c r="G705" s="367">
        <v>206.32</v>
      </c>
      <c r="H705" s="157" t="str">
        <f t="shared" si="44"/>
        <v>CZK</v>
      </c>
      <c r="I705" s="334"/>
      <c r="J705" s="335" t="s">
        <v>54</v>
      </c>
      <c r="L705" s="97" t="e">
        <f>VLOOKUP(B705,$B$11:B704,1,FALSE)</f>
        <v>#N/A</v>
      </c>
      <c r="M705" s="317">
        <f>G705*(1-FORM!$AE$28/100)</f>
        <v>206.32</v>
      </c>
      <c r="O705" s="502"/>
    </row>
    <row r="706" spans="1:15">
      <c r="A706" s="180"/>
      <c r="B706" s="406">
        <v>9256914</v>
      </c>
      <c r="C706" s="265" t="s">
        <v>1190</v>
      </c>
      <c r="D706" s="266">
        <v>20</v>
      </c>
      <c r="E706" s="332"/>
      <c r="F706" s="333"/>
      <c r="G706" s="367">
        <v>206.32</v>
      </c>
      <c r="H706" s="157" t="str">
        <f t="shared" si="44"/>
        <v>CZK</v>
      </c>
      <c r="I706" s="334"/>
      <c r="J706" s="335" t="s">
        <v>54</v>
      </c>
      <c r="L706" s="97" t="e">
        <f>VLOOKUP(B706,$B$11:B705,1,FALSE)</f>
        <v>#N/A</v>
      </c>
      <c r="M706" s="317">
        <f>G706*(1-FORM!$AE$28/100)</f>
        <v>206.32</v>
      </c>
      <c r="O706" s="502"/>
    </row>
    <row r="707" spans="1:15">
      <c r="A707" s="180"/>
      <c r="B707" s="406">
        <v>9256917</v>
      </c>
      <c r="C707" s="265" t="s">
        <v>1191</v>
      </c>
      <c r="D707" s="266">
        <v>20</v>
      </c>
      <c r="E707" s="332"/>
      <c r="F707" s="333"/>
      <c r="G707" s="367">
        <v>210.06</v>
      </c>
      <c r="H707" s="157" t="str">
        <f t="shared" si="44"/>
        <v>CZK</v>
      </c>
      <c r="I707" s="334"/>
      <c r="J707" s="335" t="s">
        <v>54</v>
      </c>
      <c r="L707" s="97" t="e">
        <f>VLOOKUP(B707,$B$11:B706,1,FALSE)</f>
        <v>#N/A</v>
      </c>
      <c r="M707" s="317">
        <f>G707*(1-FORM!$AE$28/100)</f>
        <v>210.06</v>
      </c>
      <c r="O707" s="502"/>
    </row>
    <row r="708" spans="1:15">
      <c r="A708" s="180"/>
      <c r="B708" s="406">
        <v>9256918</v>
      </c>
      <c r="C708" s="265" t="s">
        <v>1192</v>
      </c>
      <c r="D708" s="266">
        <v>20</v>
      </c>
      <c r="E708" s="332"/>
      <c r="F708" s="333"/>
      <c r="G708" s="367">
        <v>210.06</v>
      </c>
      <c r="H708" s="157" t="str">
        <f t="shared" si="44"/>
        <v>CZK</v>
      </c>
      <c r="I708" s="334"/>
      <c r="J708" s="335" t="s">
        <v>54</v>
      </c>
      <c r="L708" s="97" t="e">
        <f>VLOOKUP(B708,$B$11:B707,1,FALSE)</f>
        <v>#N/A</v>
      </c>
      <c r="M708" s="317">
        <f>G708*(1-FORM!$AE$28/100)</f>
        <v>210.06</v>
      </c>
      <c r="O708" s="502"/>
    </row>
    <row r="709" spans="1:15">
      <c r="A709" s="180"/>
      <c r="B709" s="406">
        <v>9256921</v>
      </c>
      <c r="C709" s="265" t="s">
        <v>1193</v>
      </c>
      <c r="D709" s="266">
        <v>20</v>
      </c>
      <c r="E709" s="332"/>
      <c r="F709" s="333"/>
      <c r="G709" s="367">
        <v>216.78</v>
      </c>
      <c r="H709" s="157" t="str">
        <f t="shared" si="44"/>
        <v>CZK</v>
      </c>
      <c r="I709" s="334"/>
      <c r="J709" s="335" t="s">
        <v>54</v>
      </c>
      <c r="L709" s="97" t="e">
        <f>VLOOKUP(B709,$B$11:B708,1,FALSE)</f>
        <v>#N/A</v>
      </c>
      <c r="M709" s="317">
        <f>G709*(1-FORM!$AE$28/100)</f>
        <v>216.78</v>
      </c>
      <c r="O709" s="502"/>
    </row>
    <row r="710" spans="1:15">
      <c r="A710" s="180"/>
      <c r="B710" s="406">
        <v>9256922</v>
      </c>
      <c r="C710" s="265" t="s">
        <v>1194</v>
      </c>
      <c r="D710" s="266">
        <v>20</v>
      </c>
      <c r="E710" s="332"/>
      <c r="F710" s="333"/>
      <c r="G710" s="367">
        <v>216.78</v>
      </c>
      <c r="H710" s="157" t="str">
        <f t="shared" si="44"/>
        <v>CZK</v>
      </c>
      <c r="I710" s="334"/>
      <c r="J710" s="335" t="s">
        <v>54</v>
      </c>
      <c r="L710" s="97" t="e">
        <f>VLOOKUP(B710,$B$11:B709,1,FALSE)</f>
        <v>#N/A</v>
      </c>
      <c r="M710" s="317">
        <f>G710*(1-FORM!$AE$28/100)</f>
        <v>216.78</v>
      </c>
      <c r="O710" s="502"/>
    </row>
    <row r="711" spans="1:15">
      <c r="A711" s="180"/>
      <c r="B711" s="406">
        <v>9256925</v>
      </c>
      <c r="C711" s="265" t="s">
        <v>1195</v>
      </c>
      <c r="D711" s="266">
        <v>20</v>
      </c>
      <c r="E711" s="332"/>
      <c r="F711" s="333"/>
      <c r="G711" s="367">
        <v>223.51</v>
      </c>
      <c r="H711" s="157" t="str">
        <f t="shared" si="44"/>
        <v>CZK</v>
      </c>
      <c r="I711" s="334"/>
      <c r="J711" s="335" t="s">
        <v>54</v>
      </c>
      <c r="L711" s="97" t="e">
        <f>VLOOKUP(B711,$B$11:B710,1,FALSE)</f>
        <v>#N/A</v>
      </c>
      <c r="M711" s="317">
        <f>G711*(1-FORM!$AE$28/100)</f>
        <v>223.51</v>
      </c>
      <c r="O711" s="502"/>
    </row>
    <row r="712" spans="1:15">
      <c r="A712" s="180"/>
      <c r="B712" s="411">
        <v>9256926</v>
      </c>
      <c r="C712" s="412" t="s">
        <v>1196</v>
      </c>
      <c r="D712" s="275">
        <v>20</v>
      </c>
      <c r="E712" s="356"/>
      <c r="F712" s="357"/>
      <c r="G712" s="373">
        <v>223.51</v>
      </c>
      <c r="H712" s="158" t="str">
        <f t="shared" si="44"/>
        <v>CZK</v>
      </c>
      <c r="I712" s="358"/>
      <c r="J712" s="359" t="s">
        <v>54</v>
      </c>
      <c r="L712" s="97" t="e">
        <f>VLOOKUP(B712,$B$11:B711,1,FALSE)</f>
        <v>#N/A</v>
      </c>
      <c r="M712" s="317">
        <f>G712*(1-FORM!$AE$28/100)</f>
        <v>223.51</v>
      </c>
      <c r="O712" s="502"/>
    </row>
    <row r="713" spans="1:15">
      <c r="A713" s="180"/>
      <c r="B713" s="411"/>
      <c r="C713" s="412"/>
      <c r="D713" s="275"/>
      <c r="E713" s="356"/>
      <c r="F713" s="357"/>
      <c r="G713" s="373"/>
      <c r="H713" s="158"/>
      <c r="I713" s="358"/>
      <c r="J713" s="359" t="s">
        <v>54</v>
      </c>
      <c r="L713" s="97" t="e">
        <f>VLOOKUP(B713,$B$11:B712,1,FALSE)</f>
        <v>#N/A</v>
      </c>
      <c r="M713" s="317">
        <f>G713*(1-FORM!$AE$28/100)</f>
        <v>0</v>
      </c>
      <c r="O713" s="502"/>
    </row>
    <row r="714" spans="1:15">
      <c r="A714" s="180"/>
      <c r="B714" s="408">
        <v>9219966</v>
      </c>
      <c r="C714" s="202" t="s">
        <v>1197</v>
      </c>
      <c r="D714" s="269">
        <v>200</v>
      </c>
      <c r="E714" s="340"/>
      <c r="F714" s="341"/>
      <c r="G714" s="369">
        <v>13.07</v>
      </c>
      <c r="H714" s="150" t="str">
        <f t="shared" si="44"/>
        <v>CZK</v>
      </c>
      <c r="I714" s="342"/>
      <c r="J714" s="343" t="s">
        <v>54</v>
      </c>
      <c r="L714" s="97" t="e">
        <f>VLOOKUP(B714,$B$11:B713,1,FALSE)</f>
        <v>#N/A</v>
      </c>
      <c r="M714" s="317">
        <f>G714*(1-FORM!$AE$28/100)</f>
        <v>13.07</v>
      </c>
      <c r="O714" s="502"/>
    </row>
    <row r="715" spans="1:15">
      <c r="A715" s="180" t="s">
        <v>412</v>
      </c>
      <c r="B715" s="435"/>
      <c r="C715" s="202"/>
      <c r="D715" s="269"/>
      <c r="E715" s="436"/>
      <c r="F715" s="341"/>
      <c r="G715" s="437"/>
      <c r="H715" s="438"/>
      <c r="I715" s="342"/>
      <c r="J715" s="343"/>
      <c r="L715" s="97" t="e">
        <f>VLOOKUP(B715,$B$11:B714,1,FALSE)</f>
        <v>#N/A</v>
      </c>
      <c r="M715" s="317">
        <f>G715*(1-FORM!$AE$28/100)</f>
        <v>0</v>
      </c>
      <c r="O715" s="502"/>
    </row>
    <row r="716" spans="1:15">
      <c r="A716" s="153"/>
      <c r="B716" s="426"/>
      <c r="C716" s="427"/>
      <c r="D716" s="428"/>
      <c r="E716" s="429"/>
      <c r="F716" s="430"/>
      <c r="G716" s="431"/>
      <c r="H716" s="432"/>
      <c r="I716" s="433"/>
      <c r="J716" s="434"/>
      <c r="L716" s="97" t="e">
        <f>VLOOKUP(B716,$B$11:B715,1,FALSE)</f>
        <v>#N/A</v>
      </c>
      <c r="M716" s="317">
        <f>G716*(1-FORM!$AE$28/100)</f>
        <v>0</v>
      </c>
    </row>
    <row r="717" spans="1:15">
      <c r="A717" s="153"/>
      <c r="B717" s="417"/>
      <c r="C717" s="418"/>
      <c r="D717" s="419"/>
      <c r="E717" s="420"/>
      <c r="F717" s="421"/>
      <c r="G717" s="422"/>
      <c r="H717" s="423"/>
      <c r="I717" s="424"/>
      <c r="J717" s="425"/>
      <c r="L717" s="97" t="e">
        <f>VLOOKUP(B717,$B$11:B716,1,FALSE)</f>
        <v>#N/A</v>
      </c>
      <c r="M717" s="317">
        <f>G717*(1-FORM!$AE$28/100)</f>
        <v>0</v>
      </c>
    </row>
    <row r="718" spans="1:15">
      <c r="A718" s="153"/>
      <c r="B718" s="417"/>
      <c r="C718" s="418"/>
      <c r="D718" s="419"/>
      <c r="E718" s="420"/>
      <c r="F718" s="421"/>
      <c r="G718" s="422"/>
      <c r="H718" s="423"/>
      <c r="I718" s="424"/>
      <c r="J718" s="425"/>
      <c r="L718" s="97" t="e">
        <f>VLOOKUP(B718,$B$11:B717,1,FALSE)</f>
        <v>#N/A</v>
      </c>
      <c r="M718" s="317">
        <f>G718*(1-FORM!$AE$28/100)</f>
        <v>0</v>
      </c>
    </row>
    <row r="719" spans="1:15">
      <c r="A719" s="153"/>
      <c r="B719" s="417"/>
      <c r="C719" s="418"/>
      <c r="D719" s="419"/>
      <c r="E719" s="420"/>
      <c r="F719" s="421"/>
      <c r="G719" s="422"/>
      <c r="H719" s="423"/>
      <c r="I719" s="424"/>
      <c r="J719" s="425"/>
      <c r="L719" s="97" t="e">
        <f>VLOOKUP(B719,$B$11:B718,1,FALSE)</f>
        <v>#N/A</v>
      </c>
      <c r="M719" s="317">
        <f>G719*(1-FORM!$AE$28/100)</f>
        <v>0</v>
      </c>
    </row>
    <row r="720" spans="1:15">
      <c r="A720" s="153"/>
      <c r="B720" s="417"/>
      <c r="C720" s="418"/>
      <c r="D720" s="419"/>
      <c r="E720" s="420"/>
      <c r="F720" s="421"/>
      <c r="G720" s="422"/>
      <c r="H720" s="423"/>
      <c r="I720" s="424"/>
      <c r="J720" s="425"/>
      <c r="L720" s="97" t="e">
        <f>VLOOKUP(B720,$B$11:B719,1,FALSE)</f>
        <v>#N/A</v>
      </c>
      <c r="M720" s="317">
        <f>G720*(1-FORM!$AE$28/100)</f>
        <v>0</v>
      </c>
    </row>
    <row r="721" spans="1:13">
      <c r="A721" s="153"/>
      <c r="B721" s="417"/>
      <c r="C721" s="418"/>
      <c r="D721" s="419"/>
      <c r="E721" s="420"/>
      <c r="F721" s="421"/>
      <c r="G721" s="422"/>
      <c r="H721" s="423"/>
      <c r="I721" s="424"/>
      <c r="J721" s="425"/>
      <c r="L721" s="97" t="e">
        <f>VLOOKUP(B721,$B$11:B720,1,FALSE)</f>
        <v>#N/A</v>
      </c>
      <c r="M721" s="317">
        <f>G721*(1-FORM!$AE$28/100)</f>
        <v>0</v>
      </c>
    </row>
    <row r="722" spans="1:13">
      <c r="A722" s="153"/>
      <c r="B722" s="417"/>
      <c r="C722" s="418"/>
      <c r="D722" s="419"/>
      <c r="E722" s="420"/>
      <c r="F722" s="421"/>
      <c r="G722" s="422"/>
      <c r="H722" s="423"/>
      <c r="I722" s="424"/>
      <c r="J722" s="425"/>
      <c r="L722" s="97" t="e">
        <f>VLOOKUP(B722,$B$11:B721,1,FALSE)</f>
        <v>#N/A</v>
      </c>
      <c r="M722" s="317">
        <f>G722*(1-FORM!$AE$28/100)</f>
        <v>0</v>
      </c>
    </row>
    <row r="723" spans="1:13" hidden="1">
      <c r="A723" s="153"/>
      <c r="B723" s="406">
        <v>9194970</v>
      </c>
      <c r="C723" s="265" t="s">
        <v>370</v>
      </c>
      <c r="D723" s="266">
        <v>1</v>
      </c>
      <c r="E723" s="332"/>
      <c r="F723" s="333"/>
      <c r="G723" s="367">
        <v>15.8918</v>
      </c>
      <c r="H723" s="157" t="str">
        <f t="shared" si="44"/>
        <v>CZK</v>
      </c>
      <c r="I723" s="334"/>
      <c r="J723" s="335" t="s">
        <v>54</v>
      </c>
      <c r="L723" s="97" t="e">
        <f>VLOOKUP(B723,$B$11:B722,1,FALSE)</f>
        <v>#N/A</v>
      </c>
      <c r="M723" s="317">
        <f>G723*(1-FORM!$AE$28/100)</f>
        <v>15.8918</v>
      </c>
    </row>
    <row r="724" spans="1:13" hidden="1">
      <c r="A724" s="153"/>
      <c r="B724" s="406">
        <v>9194971</v>
      </c>
      <c r="C724" s="265" t="s">
        <v>371</v>
      </c>
      <c r="D724" s="266">
        <v>1</v>
      </c>
      <c r="E724" s="332"/>
      <c r="F724" s="333"/>
      <c r="G724" s="367">
        <v>16.700399999999998</v>
      </c>
      <c r="H724" s="157" t="str">
        <f t="shared" si="44"/>
        <v>CZK</v>
      </c>
      <c r="I724" s="334"/>
      <c r="J724" s="335" t="s">
        <v>54</v>
      </c>
      <c r="L724" s="97" t="e">
        <f>VLOOKUP(B724,$B$11:B723,1,FALSE)</f>
        <v>#N/A</v>
      </c>
      <c r="M724" s="317">
        <f>G724*(1-FORM!$AE$28/100)</f>
        <v>16.700399999999998</v>
      </c>
    </row>
    <row r="725" spans="1:13" hidden="1">
      <c r="A725" s="153"/>
      <c r="B725" s="406">
        <v>9194972</v>
      </c>
      <c r="C725" s="265" t="s">
        <v>372</v>
      </c>
      <c r="D725" s="266">
        <v>1</v>
      </c>
      <c r="E725" s="332"/>
      <c r="F725" s="333"/>
      <c r="G725" s="367">
        <v>17.509</v>
      </c>
      <c r="H725" s="157" t="str">
        <f t="shared" si="44"/>
        <v>CZK</v>
      </c>
      <c r="I725" s="334"/>
      <c r="J725" s="335" t="s">
        <v>54</v>
      </c>
      <c r="L725" s="97" t="e">
        <f>VLOOKUP(B725,$B$11:B724,1,FALSE)</f>
        <v>#N/A</v>
      </c>
      <c r="M725" s="317">
        <f>G725*(1-FORM!$AE$28/100)</f>
        <v>17.509</v>
      </c>
    </row>
    <row r="726" spans="1:13" hidden="1">
      <c r="A726" s="153"/>
      <c r="B726" s="406">
        <v>9194973</v>
      </c>
      <c r="C726" s="265" t="s">
        <v>373</v>
      </c>
      <c r="D726" s="266">
        <v>1</v>
      </c>
      <c r="E726" s="332"/>
      <c r="F726" s="333"/>
      <c r="G726" s="367">
        <v>18.721900000000002</v>
      </c>
      <c r="H726" s="157" t="str">
        <f t="shared" si="44"/>
        <v>CZK</v>
      </c>
      <c r="I726" s="334"/>
      <c r="J726" s="335" t="s">
        <v>54</v>
      </c>
      <c r="L726" s="97" t="e">
        <f>VLOOKUP(B726,$B$11:B725,1,FALSE)</f>
        <v>#N/A</v>
      </c>
      <c r="M726" s="317">
        <f>G726*(1-FORM!$AE$28/100)</f>
        <v>18.721900000000002</v>
      </c>
    </row>
    <row r="727" spans="1:13" hidden="1">
      <c r="A727" s="153"/>
      <c r="B727" s="406">
        <v>9194974</v>
      </c>
      <c r="C727" s="265" t="s">
        <v>374</v>
      </c>
      <c r="D727" s="266">
        <v>1</v>
      </c>
      <c r="E727" s="332"/>
      <c r="F727" s="333"/>
      <c r="G727" s="367">
        <v>9.3765000000000001</v>
      </c>
      <c r="H727" s="157" t="str">
        <f t="shared" si="44"/>
        <v>CZK</v>
      </c>
      <c r="I727" s="334"/>
      <c r="J727" s="335" t="s">
        <v>54</v>
      </c>
      <c r="L727" s="97" t="e">
        <f>VLOOKUP(B727,$B$11:B726,1,FALSE)</f>
        <v>#N/A</v>
      </c>
      <c r="M727" s="317">
        <f>G727*(1-FORM!$AE$28/100)</f>
        <v>9.3765000000000001</v>
      </c>
    </row>
    <row r="728" spans="1:13" hidden="1">
      <c r="A728" s="153"/>
      <c r="B728" s="406">
        <v>9202777</v>
      </c>
      <c r="C728" s="265" t="s">
        <v>375</v>
      </c>
      <c r="D728" s="266">
        <v>1</v>
      </c>
      <c r="E728" s="332"/>
      <c r="F728" s="333"/>
      <c r="G728" s="367">
        <v>16.171700000000001</v>
      </c>
      <c r="H728" s="157" t="str">
        <f>IF(G728="","",$H$10)</f>
        <v>CZK</v>
      </c>
      <c r="I728" s="334"/>
      <c r="J728" s="335" t="s">
        <v>54</v>
      </c>
      <c r="L728" s="97" t="e">
        <f>VLOOKUP(B728,$B$11:B727,1,FALSE)</f>
        <v>#N/A</v>
      </c>
      <c r="M728" s="317">
        <f>G728*(1-FORM!$AE$28/100)</f>
        <v>16.171700000000001</v>
      </c>
    </row>
    <row r="729" spans="1:13" hidden="1">
      <c r="A729" s="153"/>
      <c r="B729" s="406">
        <v>9194975</v>
      </c>
      <c r="C729" s="265" t="s">
        <v>376</v>
      </c>
      <c r="D729" s="266">
        <v>1</v>
      </c>
      <c r="E729" s="332"/>
      <c r="F729" s="333"/>
      <c r="G729" s="367">
        <v>17.1358</v>
      </c>
      <c r="H729" s="157" t="str">
        <f t="shared" si="44"/>
        <v>CZK</v>
      </c>
      <c r="I729" s="334"/>
      <c r="J729" s="335" t="s">
        <v>54</v>
      </c>
      <c r="L729" s="97" t="e">
        <f>VLOOKUP(B729,$B$11:B728,1,FALSE)</f>
        <v>#N/A</v>
      </c>
      <c r="M729" s="317">
        <f>G729*(1-FORM!$AE$28/100)</f>
        <v>17.1358</v>
      </c>
    </row>
    <row r="730" spans="1:13" hidden="1">
      <c r="A730" s="153"/>
      <c r="B730" s="406">
        <v>9194976</v>
      </c>
      <c r="C730" s="265" t="s">
        <v>377</v>
      </c>
      <c r="D730" s="266">
        <v>1</v>
      </c>
      <c r="E730" s="332"/>
      <c r="F730" s="333"/>
      <c r="G730" s="367">
        <v>18.099900000000002</v>
      </c>
      <c r="H730" s="157" t="str">
        <f t="shared" si="44"/>
        <v>CZK</v>
      </c>
      <c r="I730" s="334"/>
      <c r="J730" s="335" t="s">
        <v>54</v>
      </c>
      <c r="L730" s="97" t="e">
        <f>VLOOKUP(B730,$B$11:B729,1,FALSE)</f>
        <v>#N/A</v>
      </c>
      <c r="M730" s="317">
        <f>G730*(1-FORM!$AE$28/100)</f>
        <v>18.099900000000002</v>
      </c>
    </row>
    <row r="731" spans="1:13" hidden="1">
      <c r="A731" s="153"/>
      <c r="B731" s="406">
        <v>9194977</v>
      </c>
      <c r="C731" s="265" t="s">
        <v>378</v>
      </c>
      <c r="D731" s="266">
        <v>1</v>
      </c>
      <c r="E731" s="332"/>
      <c r="F731" s="333"/>
      <c r="G731" s="367">
        <v>19.064</v>
      </c>
      <c r="H731" s="157" t="str">
        <f t="shared" si="44"/>
        <v>CZK</v>
      </c>
      <c r="I731" s="334"/>
      <c r="J731" s="335" t="s">
        <v>54</v>
      </c>
      <c r="L731" s="97" t="e">
        <f>VLOOKUP(B731,$B$11:B730,1,FALSE)</f>
        <v>#N/A</v>
      </c>
      <c r="M731" s="317">
        <f>G731*(1-FORM!$AE$28/100)</f>
        <v>19.064</v>
      </c>
    </row>
    <row r="732" spans="1:13" hidden="1">
      <c r="A732" s="153"/>
      <c r="B732" s="406">
        <v>9194978</v>
      </c>
      <c r="C732" s="265" t="s">
        <v>379</v>
      </c>
      <c r="D732" s="266">
        <v>1</v>
      </c>
      <c r="E732" s="332"/>
      <c r="F732" s="333"/>
      <c r="G732" s="367">
        <v>20.510100000000001</v>
      </c>
      <c r="H732" s="157" t="str">
        <f t="shared" si="44"/>
        <v>CZK</v>
      </c>
      <c r="I732" s="334"/>
      <c r="J732" s="335" t="s">
        <v>54</v>
      </c>
      <c r="L732" s="97" t="e">
        <f>VLOOKUP(B732,$B$11:B731,1,FALSE)</f>
        <v>#N/A</v>
      </c>
      <c r="M732" s="317">
        <f>G732*(1-FORM!$AE$28/100)</f>
        <v>20.510100000000001</v>
      </c>
    </row>
    <row r="733" spans="1:13" hidden="1">
      <c r="A733" s="153"/>
      <c r="B733" s="406">
        <v>9202819</v>
      </c>
      <c r="C733" s="265" t="s">
        <v>380</v>
      </c>
      <c r="D733" s="266">
        <v>1</v>
      </c>
      <c r="E733" s="332"/>
      <c r="F733" s="333"/>
      <c r="G733" s="367">
        <v>9.1928999999999998</v>
      </c>
      <c r="H733" s="157" t="str">
        <f t="shared" si="44"/>
        <v>CZK</v>
      </c>
      <c r="I733" s="334"/>
      <c r="J733" s="335" t="s">
        <v>54</v>
      </c>
      <c r="L733" s="97" t="e">
        <f>VLOOKUP(B733,$B$11:B732,1,FALSE)</f>
        <v>#N/A</v>
      </c>
      <c r="M733" s="317">
        <f>G733*(1-FORM!$AE$28/100)</f>
        <v>9.1928999999999998</v>
      </c>
    </row>
    <row r="734" spans="1:13" hidden="1">
      <c r="A734" s="153"/>
      <c r="B734" s="406">
        <v>9202820</v>
      </c>
      <c r="C734" s="265" t="s">
        <v>381</v>
      </c>
      <c r="D734" s="266">
        <v>1</v>
      </c>
      <c r="E734" s="332"/>
      <c r="F734" s="333"/>
      <c r="G734" s="367">
        <v>10.2241</v>
      </c>
      <c r="H734" s="157" t="str">
        <f t="shared" si="44"/>
        <v>CZK</v>
      </c>
      <c r="I734" s="334"/>
      <c r="J734" s="335" t="s">
        <v>54</v>
      </c>
      <c r="L734" s="97" t="e">
        <f>VLOOKUP(B734,$B$11:B733,1,FALSE)</f>
        <v>#N/A</v>
      </c>
      <c r="M734" s="317">
        <f>G734*(1-FORM!$AE$28/100)</f>
        <v>10.2241</v>
      </c>
    </row>
    <row r="735" spans="1:13" hidden="1">
      <c r="A735" s="153"/>
      <c r="B735" s="406">
        <v>9202821</v>
      </c>
      <c r="C735" s="265" t="s">
        <v>382</v>
      </c>
      <c r="D735" s="266">
        <v>1</v>
      </c>
      <c r="E735" s="332"/>
      <c r="F735" s="333"/>
      <c r="G735" s="367">
        <v>10.739699999999999</v>
      </c>
      <c r="H735" s="157" t="str">
        <f t="shared" si="44"/>
        <v>CZK</v>
      </c>
      <c r="I735" s="334"/>
      <c r="J735" s="335" t="s">
        <v>54</v>
      </c>
      <c r="L735" s="97" t="e">
        <f>VLOOKUP(B735,$B$11:B734,1,FALSE)</f>
        <v>#N/A</v>
      </c>
      <c r="M735" s="317">
        <f>G735*(1-FORM!$AE$28/100)</f>
        <v>10.739699999999999</v>
      </c>
    </row>
    <row r="736" spans="1:13" hidden="1">
      <c r="A736" s="153"/>
      <c r="B736" s="406">
        <v>9202822</v>
      </c>
      <c r="C736" s="265" t="s">
        <v>383</v>
      </c>
      <c r="D736" s="266">
        <v>1</v>
      </c>
      <c r="E736" s="332"/>
      <c r="F736" s="333"/>
      <c r="G736" s="367">
        <v>11.2552</v>
      </c>
      <c r="H736" s="157" t="str">
        <f t="shared" si="44"/>
        <v>CZK</v>
      </c>
      <c r="I736" s="334"/>
      <c r="J736" s="335" t="s">
        <v>54</v>
      </c>
      <c r="L736" s="97" t="e">
        <f>VLOOKUP(B736,$B$11:B735,1,FALSE)</f>
        <v>#N/A</v>
      </c>
      <c r="M736" s="317">
        <f>G736*(1-FORM!$AE$28/100)</f>
        <v>11.2552</v>
      </c>
    </row>
    <row r="737" spans="1:13" hidden="1">
      <c r="A737" s="153"/>
      <c r="B737" s="406">
        <v>9202823</v>
      </c>
      <c r="C737" s="265" t="s">
        <v>384</v>
      </c>
      <c r="D737" s="266">
        <v>1</v>
      </c>
      <c r="E737" s="332"/>
      <c r="F737" s="333"/>
      <c r="G737" s="367">
        <v>22.5763</v>
      </c>
      <c r="H737" s="157" t="str">
        <f t="shared" si="44"/>
        <v>CZK</v>
      </c>
      <c r="I737" s="334"/>
      <c r="J737" s="335" t="s">
        <v>54</v>
      </c>
      <c r="L737" s="97" t="e">
        <f>VLOOKUP(B737,$B$11:B736,1,FALSE)</f>
        <v>#N/A</v>
      </c>
      <c r="M737" s="317">
        <f>G737*(1-FORM!$AE$28/100)</f>
        <v>22.5763</v>
      </c>
    </row>
    <row r="738" spans="1:13" hidden="1">
      <c r="A738" s="155"/>
      <c r="B738" s="406">
        <v>9194979</v>
      </c>
      <c r="C738" s="265" t="s">
        <v>332</v>
      </c>
      <c r="D738" s="266">
        <v>1</v>
      </c>
      <c r="E738" s="332"/>
      <c r="F738" s="333"/>
      <c r="G738" s="367">
        <v>4.9603999999999999</v>
      </c>
      <c r="H738" s="157" t="str">
        <f t="shared" si="44"/>
        <v>CZK</v>
      </c>
      <c r="I738" s="334"/>
      <c r="J738" s="335" t="s">
        <v>54</v>
      </c>
      <c r="L738" s="97" t="e">
        <f>VLOOKUP(B738,$B$11:B737,1,FALSE)</f>
        <v>#N/A</v>
      </c>
      <c r="M738" s="317">
        <f>G738*(1-FORM!$AE$28/100)</f>
        <v>4.9603999999999999</v>
      </c>
    </row>
    <row r="739" spans="1:13" hidden="1">
      <c r="A739" s="155"/>
      <c r="B739" s="406">
        <v>9194980</v>
      </c>
      <c r="C739" s="265" t="s">
        <v>333</v>
      </c>
      <c r="D739" s="266">
        <v>1</v>
      </c>
      <c r="E739" s="332"/>
      <c r="F739" s="333"/>
      <c r="G739" s="367">
        <v>5.3025000000000002</v>
      </c>
      <c r="H739" s="157" t="str">
        <f t="shared" si="44"/>
        <v>CZK</v>
      </c>
      <c r="I739" s="334"/>
      <c r="J739" s="335" t="s">
        <v>54</v>
      </c>
      <c r="L739" s="97" t="e">
        <f>VLOOKUP(B739,$B$11:B738,1,FALSE)</f>
        <v>#N/A</v>
      </c>
      <c r="M739" s="317">
        <f>G739*(1-FORM!$AE$28/100)</f>
        <v>5.3025000000000002</v>
      </c>
    </row>
    <row r="740" spans="1:13" hidden="1">
      <c r="A740" s="155"/>
      <c r="B740" s="406">
        <v>9194981</v>
      </c>
      <c r="C740" s="265" t="s">
        <v>334</v>
      </c>
      <c r="D740" s="266">
        <v>1</v>
      </c>
      <c r="E740" s="332"/>
      <c r="F740" s="333"/>
      <c r="G740" s="367">
        <v>5.6445999999999996</v>
      </c>
      <c r="H740" s="157" t="str">
        <f t="shared" si="44"/>
        <v>CZK</v>
      </c>
      <c r="I740" s="334"/>
      <c r="J740" s="335" t="s">
        <v>54</v>
      </c>
      <c r="L740" s="97" t="e">
        <f>VLOOKUP(B740,$B$11:B739,1,FALSE)</f>
        <v>#N/A</v>
      </c>
      <c r="M740" s="317">
        <f>G740*(1-FORM!$AE$28/100)</f>
        <v>5.6445999999999996</v>
      </c>
    </row>
    <row r="741" spans="1:13" hidden="1">
      <c r="A741" s="155"/>
      <c r="B741" s="406">
        <v>9194982</v>
      </c>
      <c r="C741" s="265" t="s">
        <v>335</v>
      </c>
      <c r="D741" s="266">
        <v>1</v>
      </c>
      <c r="E741" s="332"/>
      <c r="F741" s="333"/>
      <c r="G741" s="367">
        <v>5.9866999999999999</v>
      </c>
      <c r="H741" s="157" t="str">
        <f t="shared" si="44"/>
        <v>CZK</v>
      </c>
      <c r="I741" s="334"/>
      <c r="J741" s="335" t="s">
        <v>54</v>
      </c>
      <c r="L741" s="97" t="e">
        <f>VLOOKUP(B741,$B$11:B740,1,FALSE)</f>
        <v>#N/A</v>
      </c>
      <c r="M741" s="317">
        <f>G741*(1-FORM!$AE$28/100)</f>
        <v>5.9866999999999999</v>
      </c>
    </row>
    <row r="742" spans="1:13" hidden="1">
      <c r="A742" s="155"/>
      <c r="B742" s="406">
        <v>9194983</v>
      </c>
      <c r="C742" s="265" t="s">
        <v>336</v>
      </c>
      <c r="D742" s="266">
        <v>1</v>
      </c>
      <c r="E742" s="332"/>
      <c r="F742" s="333"/>
      <c r="G742" s="367">
        <v>6.3287000000000004</v>
      </c>
      <c r="H742" s="157" t="str">
        <f t="shared" si="44"/>
        <v>CZK</v>
      </c>
      <c r="I742" s="334"/>
      <c r="J742" s="335" t="s">
        <v>54</v>
      </c>
      <c r="L742" s="97" t="e">
        <f>VLOOKUP(B742,$B$11:B741,1,FALSE)</f>
        <v>#N/A</v>
      </c>
      <c r="M742" s="317">
        <f>G742*(1-FORM!$AE$28/100)</f>
        <v>6.3287000000000004</v>
      </c>
    </row>
    <row r="743" spans="1:13" hidden="1">
      <c r="A743" s="155"/>
      <c r="B743" s="406">
        <v>9194984</v>
      </c>
      <c r="C743" s="265" t="s">
        <v>337</v>
      </c>
      <c r="D743" s="266">
        <v>1</v>
      </c>
      <c r="E743" s="332"/>
      <c r="F743" s="333"/>
      <c r="G743" s="367">
        <v>6.6707999999999998</v>
      </c>
      <c r="H743" s="157" t="str">
        <f>IF(G743="","",$H$10)</f>
        <v>CZK</v>
      </c>
      <c r="I743" s="334"/>
      <c r="J743" s="335" t="s">
        <v>54</v>
      </c>
      <c r="L743" s="97" t="e">
        <f>VLOOKUP(B743,$B$11:B742,1,FALSE)</f>
        <v>#N/A</v>
      </c>
      <c r="M743" s="317">
        <f>G743*(1-FORM!$AE$28/100)</f>
        <v>6.6707999999999998</v>
      </c>
    </row>
    <row r="744" spans="1:13" hidden="1">
      <c r="A744" s="155"/>
      <c r="B744" s="406">
        <v>9194985</v>
      </c>
      <c r="C744" s="265" t="s">
        <v>338</v>
      </c>
      <c r="D744" s="266">
        <v>1</v>
      </c>
      <c r="E744" s="332"/>
      <c r="F744" s="333"/>
      <c r="G744" s="367">
        <v>7.0129000000000001</v>
      </c>
      <c r="H744" s="157" t="str">
        <f>IF(G744="","",$H$10)</f>
        <v>CZK</v>
      </c>
      <c r="I744" s="334"/>
      <c r="J744" s="335" t="s">
        <v>54</v>
      </c>
      <c r="L744" s="97" t="e">
        <f>VLOOKUP(B744,$B$11:B743,1,FALSE)</f>
        <v>#N/A</v>
      </c>
      <c r="M744" s="317">
        <f>G744*(1-FORM!$AE$28/100)</f>
        <v>7.0129000000000001</v>
      </c>
    </row>
    <row r="745" spans="1:13" hidden="1">
      <c r="A745" s="155"/>
      <c r="B745" s="406">
        <v>9194986</v>
      </c>
      <c r="C745" s="265" t="s">
        <v>339</v>
      </c>
      <c r="D745" s="266">
        <v>1</v>
      </c>
      <c r="E745" s="332"/>
      <c r="F745" s="333"/>
      <c r="G745" s="367">
        <v>7.6970999999999998</v>
      </c>
      <c r="H745" s="157" t="str">
        <f>IF(G745="","",$H$10)</f>
        <v>CZK</v>
      </c>
      <c r="I745" s="334"/>
      <c r="J745" s="335" t="s">
        <v>54</v>
      </c>
      <c r="L745" s="97" t="e">
        <f>VLOOKUP(B745,$B$11:B744,1,FALSE)</f>
        <v>#N/A</v>
      </c>
      <c r="M745" s="317">
        <f>G745*(1-FORM!$AE$28/100)</f>
        <v>7.6970999999999998</v>
      </c>
    </row>
    <row r="746" spans="1:13" hidden="1">
      <c r="A746" s="155"/>
      <c r="B746" s="406">
        <v>9194987</v>
      </c>
      <c r="C746" s="265" t="s">
        <v>340</v>
      </c>
      <c r="D746" s="266">
        <v>1</v>
      </c>
      <c r="E746" s="332"/>
      <c r="F746" s="333"/>
      <c r="G746" s="367">
        <v>14.2125</v>
      </c>
      <c r="H746" s="157" t="str">
        <f t="shared" ref="H746:H776" si="45">IF(G746="","",$H$10)</f>
        <v>CZK</v>
      </c>
      <c r="I746" s="334"/>
      <c r="J746" s="335" t="s">
        <v>54</v>
      </c>
      <c r="L746" s="97" t="e">
        <f>VLOOKUP(B746,$B$11:B745,1,FALSE)</f>
        <v>#N/A</v>
      </c>
      <c r="M746" s="317">
        <f>G746*(1-FORM!$AE$28/100)</f>
        <v>14.2125</v>
      </c>
    </row>
    <row r="747" spans="1:13" hidden="1">
      <c r="A747" s="155"/>
      <c r="B747" s="406">
        <v>9194988</v>
      </c>
      <c r="C747" s="265" t="s">
        <v>341</v>
      </c>
      <c r="D747" s="266">
        <v>1</v>
      </c>
      <c r="E747" s="332"/>
      <c r="F747" s="333"/>
      <c r="G747" s="367">
        <v>14.896699999999999</v>
      </c>
      <c r="H747" s="157" t="str">
        <f t="shared" si="45"/>
        <v>CZK</v>
      </c>
      <c r="I747" s="334"/>
      <c r="J747" s="335" t="s">
        <v>54</v>
      </c>
      <c r="L747" s="97" t="e">
        <f>VLOOKUP(B747,$B$11:B746,1,FALSE)</f>
        <v>#N/A</v>
      </c>
      <c r="M747" s="317">
        <f>G747*(1-FORM!$AE$28/100)</f>
        <v>14.896699999999999</v>
      </c>
    </row>
    <row r="748" spans="1:13" hidden="1">
      <c r="A748" s="155"/>
      <c r="B748" s="406">
        <v>9194989</v>
      </c>
      <c r="C748" s="265" t="s">
        <v>342</v>
      </c>
      <c r="D748" s="266">
        <v>1</v>
      </c>
      <c r="E748" s="332"/>
      <c r="F748" s="333"/>
      <c r="G748" s="367">
        <v>15.5808</v>
      </c>
      <c r="H748" s="157" t="str">
        <f t="shared" si="45"/>
        <v>CZK</v>
      </c>
      <c r="I748" s="334"/>
      <c r="J748" s="335" t="s">
        <v>54</v>
      </c>
      <c r="L748" s="97" t="e">
        <f>VLOOKUP(B748,$B$11:B747,1,FALSE)</f>
        <v>#N/A</v>
      </c>
      <c r="M748" s="317">
        <f>G748*(1-FORM!$AE$28/100)</f>
        <v>15.5808</v>
      </c>
    </row>
    <row r="749" spans="1:13" hidden="1">
      <c r="A749" s="155"/>
      <c r="B749" s="406">
        <v>9194990</v>
      </c>
      <c r="C749" s="265" t="s">
        <v>343</v>
      </c>
      <c r="D749" s="266">
        <v>1</v>
      </c>
      <c r="E749" s="332"/>
      <c r="F749" s="333"/>
      <c r="G749" s="367">
        <v>16.265000000000001</v>
      </c>
      <c r="H749" s="157" t="str">
        <f t="shared" si="45"/>
        <v>CZK</v>
      </c>
      <c r="I749" s="334"/>
      <c r="J749" s="335" t="s">
        <v>54</v>
      </c>
      <c r="L749" s="97" t="e">
        <f>VLOOKUP(B749,$B$11:B748,1,FALSE)</f>
        <v>#N/A</v>
      </c>
      <c r="M749" s="317">
        <f>G749*(1-FORM!$AE$28/100)</f>
        <v>16.265000000000001</v>
      </c>
    </row>
    <row r="750" spans="1:13" hidden="1">
      <c r="A750" s="155"/>
      <c r="B750" s="406">
        <v>9194991</v>
      </c>
      <c r="C750" s="265" t="s">
        <v>344</v>
      </c>
      <c r="D750" s="266">
        <v>1</v>
      </c>
      <c r="E750" s="332"/>
      <c r="F750" s="333"/>
      <c r="G750" s="367">
        <v>17.2913</v>
      </c>
      <c r="H750" s="157" t="str">
        <f t="shared" si="45"/>
        <v>CZK</v>
      </c>
      <c r="I750" s="334"/>
      <c r="J750" s="335" t="s">
        <v>54</v>
      </c>
      <c r="L750" s="97" t="e">
        <f>VLOOKUP(B750,$B$11:B749,1,FALSE)</f>
        <v>#N/A</v>
      </c>
      <c r="M750" s="317">
        <f>G750*(1-FORM!$AE$28/100)</f>
        <v>17.2913</v>
      </c>
    </row>
    <row r="751" spans="1:13" hidden="1">
      <c r="A751" s="155"/>
      <c r="B751" s="406">
        <v>9194992</v>
      </c>
      <c r="C751" s="265" t="s">
        <v>345</v>
      </c>
      <c r="D751" s="266">
        <v>1</v>
      </c>
      <c r="E751" s="332"/>
      <c r="F751" s="333"/>
      <c r="G751" s="367">
        <v>5.2092000000000001</v>
      </c>
      <c r="H751" s="157" t="str">
        <f t="shared" si="45"/>
        <v>CZK</v>
      </c>
      <c r="I751" s="334"/>
      <c r="J751" s="335" t="s">
        <v>54</v>
      </c>
      <c r="L751" s="97" t="e">
        <f>VLOOKUP(B751,$B$11:B750,1,FALSE)</f>
        <v>#N/A</v>
      </c>
      <c r="M751" s="317">
        <f>G751*(1-FORM!$AE$28/100)</f>
        <v>5.2092000000000001</v>
      </c>
    </row>
    <row r="752" spans="1:13" hidden="1">
      <c r="A752" s="155"/>
      <c r="B752" s="406">
        <v>9194993</v>
      </c>
      <c r="C752" s="265" t="s">
        <v>346</v>
      </c>
      <c r="D752" s="266">
        <v>1</v>
      </c>
      <c r="E752" s="332"/>
      <c r="F752" s="333"/>
      <c r="G752" s="367">
        <v>5.6135000000000002</v>
      </c>
      <c r="H752" s="157" t="str">
        <f t="shared" si="45"/>
        <v>CZK</v>
      </c>
      <c r="I752" s="334"/>
      <c r="J752" s="335" t="s">
        <v>54</v>
      </c>
      <c r="L752" s="97" t="e">
        <f>VLOOKUP(B752,$B$11:B751,1,FALSE)</f>
        <v>#N/A</v>
      </c>
      <c r="M752" s="317">
        <f>G752*(1-FORM!$AE$28/100)</f>
        <v>5.6135000000000002</v>
      </c>
    </row>
    <row r="753" spans="1:13" hidden="1">
      <c r="A753" s="155"/>
      <c r="B753" s="406">
        <v>9194994</v>
      </c>
      <c r="C753" s="265" t="s">
        <v>347</v>
      </c>
      <c r="D753" s="266">
        <v>1</v>
      </c>
      <c r="E753" s="332"/>
      <c r="F753" s="333"/>
      <c r="G753" s="367">
        <v>6.0178000000000003</v>
      </c>
      <c r="H753" s="157" t="str">
        <f t="shared" si="45"/>
        <v>CZK</v>
      </c>
      <c r="I753" s="334"/>
      <c r="J753" s="335" t="s">
        <v>54</v>
      </c>
      <c r="L753" s="97" t="e">
        <f>VLOOKUP(B753,$B$11:B752,1,FALSE)</f>
        <v>#N/A</v>
      </c>
      <c r="M753" s="317">
        <f>G753*(1-FORM!$AE$28/100)</f>
        <v>6.0178000000000003</v>
      </c>
    </row>
    <row r="754" spans="1:13" hidden="1">
      <c r="A754" s="155"/>
      <c r="B754" s="406">
        <v>9194995</v>
      </c>
      <c r="C754" s="265" t="s">
        <v>348</v>
      </c>
      <c r="D754" s="266">
        <v>1</v>
      </c>
      <c r="E754" s="332"/>
      <c r="F754" s="333"/>
      <c r="G754" s="367">
        <v>6.4219999999999997</v>
      </c>
      <c r="H754" s="157" t="str">
        <f t="shared" si="45"/>
        <v>CZK</v>
      </c>
      <c r="I754" s="334"/>
      <c r="J754" s="335" t="s">
        <v>54</v>
      </c>
      <c r="L754" s="97" t="e">
        <f>VLOOKUP(B754,$B$11:B753,1,FALSE)</f>
        <v>#N/A</v>
      </c>
      <c r="M754" s="317">
        <f>G754*(1-FORM!$AE$28/100)</f>
        <v>6.4219999999999997</v>
      </c>
    </row>
    <row r="755" spans="1:13" hidden="1">
      <c r="A755" s="155"/>
      <c r="B755" s="406">
        <v>9194996</v>
      </c>
      <c r="C755" s="265" t="s">
        <v>349</v>
      </c>
      <c r="D755" s="266">
        <v>1</v>
      </c>
      <c r="E755" s="332"/>
      <c r="F755" s="333"/>
      <c r="G755" s="367">
        <v>6.8262999999999998</v>
      </c>
      <c r="H755" s="157" t="str">
        <f t="shared" si="45"/>
        <v>CZK</v>
      </c>
      <c r="I755" s="334"/>
      <c r="J755" s="335" t="s">
        <v>54</v>
      </c>
      <c r="L755" s="97" t="e">
        <f>VLOOKUP(B755,$B$11:B754,1,FALSE)</f>
        <v>#N/A</v>
      </c>
      <c r="M755" s="317">
        <f>G755*(1-FORM!$AE$28/100)</f>
        <v>6.8262999999999998</v>
      </c>
    </row>
    <row r="756" spans="1:13" hidden="1">
      <c r="A756" s="155"/>
      <c r="B756" s="406">
        <v>9194997</v>
      </c>
      <c r="C756" s="265" t="s">
        <v>350</v>
      </c>
      <c r="D756" s="266">
        <v>1</v>
      </c>
      <c r="E756" s="332"/>
      <c r="F756" s="333"/>
      <c r="G756" s="367">
        <v>7.2305999999999999</v>
      </c>
      <c r="H756" s="157" t="str">
        <f t="shared" si="45"/>
        <v>CZK</v>
      </c>
      <c r="I756" s="334"/>
      <c r="J756" s="335" t="s">
        <v>54</v>
      </c>
      <c r="L756" s="97" t="e">
        <f>VLOOKUP(B756,$B$11:B755,1,FALSE)</f>
        <v>#N/A</v>
      </c>
      <c r="M756" s="317">
        <f>G756*(1-FORM!$AE$28/100)</f>
        <v>7.2305999999999999</v>
      </c>
    </row>
    <row r="757" spans="1:13" hidden="1">
      <c r="A757" s="155"/>
      <c r="B757" s="406">
        <v>9194998</v>
      </c>
      <c r="C757" s="265" t="s">
        <v>351</v>
      </c>
      <c r="D757" s="266">
        <v>1</v>
      </c>
      <c r="E757" s="332"/>
      <c r="F757" s="333"/>
      <c r="G757" s="367">
        <v>7.6349</v>
      </c>
      <c r="H757" s="157" t="str">
        <f t="shared" si="45"/>
        <v>CZK</v>
      </c>
      <c r="I757" s="334"/>
      <c r="J757" s="335" t="s">
        <v>54</v>
      </c>
      <c r="L757" s="97" t="e">
        <f>VLOOKUP(B757,$B$11:B756,1,FALSE)</f>
        <v>#N/A</v>
      </c>
      <c r="M757" s="317">
        <f>G757*(1-FORM!$AE$28/100)</f>
        <v>7.6349</v>
      </c>
    </row>
    <row r="758" spans="1:13" hidden="1">
      <c r="A758" s="155"/>
      <c r="B758" s="406">
        <v>9194999</v>
      </c>
      <c r="C758" s="265" t="s">
        <v>352</v>
      </c>
      <c r="D758" s="266">
        <v>1</v>
      </c>
      <c r="E758" s="332"/>
      <c r="F758" s="333"/>
      <c r="G758" s="367">
        <v>8.4435000000000002</v>
      </c>
      <c r="H758" s="157" t="str">
        <f t="shared" si="45"/>
        <v>CZK</v>
      </c>
      <c r="I758" s="334"/>
      <c r="J758" s="335" t="s">
        <v>54</v>
      </c>
      <c r="L758" s="97" t="e">
        <f>VLOOKUP(B758,$B$11:B757,1,FALSE)</f>
        <v>#N/A</v>
      </c>
      <c r="M758" s="317">
        <f>G758*(1-FORM!$AE$28/100)</f>
        <v>8.4435000000000002</v>
      </c>
    </row>
    <row r="759" spans="1:13" hidden="1">
      <c r="A759" s="155"/>
      <c r="B759" s="406">
        <v>9195000</v>
      </c>
      <c r="C759" s="265" t="s">
        <v>353</v>
      </c>
      <c r="D759" s="266">
        <v>1</v>
      </c>
      <c r="E759" s="332"/>
      <c r="F759" s="333"/>
      <c r="G759" s="367">
        <v>15.083299999999999</v>
      </c>
      <c r="H759" s="157" t="str">
        <f t="shared" si="45"/>
        <v>CZK</v>
      </c>
      <c r="I759" s="334"/>
      <c r="J759" s="335" t="s">
        <v>54</v>
      </c>
      <c r="L759" s="97" t="e">
        <f>VLOOKUP(B759,$B$11:B758,1,FALSE)</f>
        <v>#N/A</v>
      </c>
      <c r="M759" s="317">
        <f>G759*(1-FORM!$AE$28/100)</f>
        <v>15.083299999999999</v>
      </c>
    </row>
    <row r="760" spans="1:13" hidden="1">
      <c r="A760" s="155"/>
      <c r="B760" s="406">
        <v>9195001</v>
      </c>
      <c r="C760" s="265" t="s">
        <v>354</v>
      </c>
      <c r="D760" s="266">
        <v>1</v>
      </c>
      <c r="E760" s="332"/>
      <c r="F760" s="333"/>
      <c r="G760" s="367">
        <v>15.8918</v>
      </c>
      <c r="H760" s="157" t="str">
        <f t="shared" si="45"/>
        <v>CZK</v>
      </c>
      <c r="I760" s="334"/>
      <c r="J760" s="335" t="s">
        <v>54</v>
      </c>
      <c r="L760" s="97" t="e">
        <f>VLOOKUP(B760,$B$11:B759,1,FALSE)</f>
        <v>#N/A</v>
      </c>
      <c r="M760" s="317">
        <f>G760*(1-FORM!$AE$28/100)</f>
        <v>15.8918</v>
      </c>
    </row>
    <row r="761" spans="1:13" hidden="1">
      <c r="A761" s="155"/>
      <c r="B761" s="406">
        <v>9195002</v>
      </c>
      <c r="C761" s="265" t="s">
        <v>355</v>
      </c>
      <c r="D761" s="266">
        <v>1</v>
      </c>
      <c r="E761" s="332"/>
      <c r="F761" s="333"/>
      <c r="G761" s="367">
        <v>16.700399999999998</v>
      </c>
      <c r="H761" s="157" t="str">
        <f t="shared" si="45"/>
        <v>CZK</v>
      </c>
      <c r="I761" s="334"/>
      <c r="J761" s="335" t="s">
        <v>54</v>
      </c>
      <c r="L761" s="97" t="e">
        <f>VLOOKUP(B761,$B$11:B760,1,FALSE)</f>
        <v>#N/A</v>
      </c>
      <c r="M761" s="317">
        <f>G761*(1-FORM!$AE$28/100)</f>
        <v>16.700399999999998</v>
      </c>
    </row>
    <row r="762" spans="1:13" hidden="1">
      <c r="A762" s="155"/>
      <c r="B762" s="406">
        <v>9195003</v>
      </c>
      <c r="C762" s="265" t="s">
        <v>356</v>
      </c>
      <c r="D762" s="266">
        <v>1</v>
      </c>
      <c r="E762" s="332"/>
      <c r="F762" s="333"/>
      <c r="G762" s="367">
        <v>17.509</v>
      </c>
      <c r="H762" s="157" t="str">
        <f t="shared" si="45"/>
        <v>CZK</v>
      </c>
      <c r="I762" s="334"/>
      <c r="J762" s="335" t="s">
        <v>54</v>
      </c>
      <c r="L762" s="97" t="e">
        <f>VLOOKUP(B762,$B$11:B761,1,FALSE)</f>
        <v>#N/A</v>
      </c>
      <c r="M762" s="317">
        <f>G762*(1-FORM!$AE$28/100)</f>
        <v>17.509</v>
      </c>
    </row>
    <row r="763" spans="1:13" hidden="1">
      <c r="A763" s="155"/>
      <c r="B763" s="406">
        <v>9195004</v>
      </c>
      <c r="C763" s="265" t="s">
        <v>357</v>
      </c>
      <c r="D763" s="266">
        <v>1</v>
      </c>
      <c r="E763" s="332"/>
      <c r="F763" s="333"/>
      <c r="G763" s="367">
        <v>18.721900000000002</v>
      </c>
      <c r="H763" s="157" t="str">
        <f t="shared" si="45"/>
        <v>CZK</v>
      </c>
      <c r="I763" s="334"/>
      <c r="J763" s="335" t="s">
        <v>54</v>
      </c>
      <c r="L763" s="97" t="e">
        <f>VLOOKUP(B763,$B$11:B762,1,FALSE)</f>
        <v>#N/A</v>
      </c>
      <c r="M763" s="317">
        <f>G763*(1-FORM!$AE$28/100)</f>
        <v>18.721900000000002</v>
      </c>
    </row>
    <row r="764" spans="1:13" hidden="1">
      <c r="A764" s="155"/>
      <c r="B764" s="406">
        <v>9195005</v>
      </c>
      <c r="C764" s="265" t="s">
        <v>358</v>
      </c>
      <c r="D764" s="266">
        <v>1</v>
      </c>
      <c r="E764" s="332"/>
      <c r="F764" s="333"/>
      <c r="G764" s="367">
        <v>9.3765000000000001</v>
      </c>
      <c r="H764" s="157" t="str">
        <f t="shared" si="45"/>
        <v>CZK</v>
      </c>
      <c r="I764" s="334"/>
      <c r="J764" s="335" t="s">
        <v>54</v>
      </c>
      <c r="L764" s="97" t="e">
        <f>VLOOKUP(B764,$B$11:B763,1,FALSE)</f>
        <v>#N/A</v>
      </c>
      <c r="M764" s="317">
        <f>G764*(1-FORM!$AE$28/100)</f>
        <v>9.3765000000000001</v>
      </c>
    </row>
    <row r="765" spans="1:13" hidden="1">
      <c r="A765" s="155"/>
      <c r="B765" s="406">
        <v>9202813</v>
      </c>
      <c r="C765" s="265" t="s">
        <v>385</v>
      </c>
      <c r="D765" s="266">
        <v>1</v>
      </c>
      <c r="E765" s="332"/>
      <c r="F765" s="333"/>
      <c r="G765" s="367">
        <v>16.171700000000001</v>
      </c>
      <c r="H765" s="157" t="str">
        <f>IF(G765="","",$H$10)</f>
        <v>CZK</v>
      </c>
      <c r="I765" s="334"/>
      <c r="J765" s="335" t="s">
        <v>54</v>
      </c>
      <c r="L765" s="97" t="e">
        <f>VLOOKUP(B765,$B$11:B764,1,FALSE)</f>
        <v>#N/A</v>
      </c>
      <c r="M765" s="317">
        <f>G765*(1-FORM!$AE$28/100)</f>
        <v>16.171700000000001</v>
      </c>
    </row>
    <row r="766" spans="1:13" hidden="1">
      <c r="A766" s="155"/>
      <c r="B766" s="406">
        <v>9195006</v>
      </c>
      <c r="C766" s="265" t="s">
        <v>359</v>
      </c>
      <c r="D766" s="266">
        <v>1</v>
      </c>
      <c r="E766" s="332"/>
      <c r="F766" s="333"/>
      <c r="G766" s="367">
        <v>17.1358</v>
      </c>
      <c r="H766" s="157" t="str">
        <f t="shared" si="45"/>
        <v>CZK</v>
      </c>
      <c r="I766" s="334"/>
      <c r="J766" s="335" t="s">
        <v>54</v>
      </c>
      <c r="L766" s="97" t="e">
        <f>VLOOKUP(B766,$B$11:B765,1,FALSE)</f>
        <v>#N/A</v>
      </c>
      <c r="M766" s="317">
        <f>G766*(1-FORM!$AE$28/100)</f>
        <v>17.1358</v>
      </c>
    </row>
    <row r="767" spans="1:13" hidden="1">
      <c r="A767" s="155"/>
      <c r="B767" s="406">
        <v>9195007</v>
      </c>
      <c r="C767" s="265" t="s">
        <v>360</v>
      </c>
      <c r="D767" s="266">
        <v>1</v>
      </c>
      <c r="E767" s="332"/>
      <c r="F767" s="333"/>
      <c r="G767" s="367">
        <v>18.099900000000002</v>
      </c>
      <c r="H767" s="157" t="str">
        <f t="shared" si="45"/>
        <v>CZK</v>
      </c>
      <c r="I767" s="334"/>
      <c r="J767" s="335" t="s">
        <v>54</v>
      </c>
      <c r="L767" s="97" t="e">
        <f>VLOOKUP(B767,$B$11:B766,1,FALSE)</f>
        <v>#N/A</v>
      </c>
      <c r="M767" s="317">
        <f>G767*(1-FORM!$AE$28/100)</f>
        <v>18.099900000000002</v>
      </c>
    </row>
    <row r="768" spans="1:13" hidden="1">
      <c r="A768" s="155"/>
      <c r="B768" s="406">
        <v>9195008</v>
      </c>
      <c r="C768" s="265" t="s">
        <v>361</v>
      </c>
      <c r="D768" s="266">
        <v>1</v>
      </c>
      <c r="E768" s="332"/>
      <c r="F768" s="333"/>
      <c r="G768" s="367">
        <v>19.064</v>
      </c>
      <c r="H768" s="157" t="str">
        <f t="shared" si="45"/>
        <v>CZK</v>
      </c>
      <c r="I768" s="334"/>
      <c r="J768" s="335" t="s">
        <v>54</v>
      </c>
      <c r="L768" s="97" t="e">
        <f>VLOOKUP(B768,$B$11:B767,1,FALSE)</f>
        <v>#N/A</v>
      </c>
      <c r="M768" s="317">
        <f>G768*(1-FORM!$AE$28/100)</f>
        <v>19.064</v>
      </c>
    </row>
    <row r="769" spans="1:13" hidden="1">
      <c r="A769" s="155"/>
      <c r="B769" s="406">
        <v>9195009</v>
      </c>
      <c r="C769" s="265" t="s">
        <v>362</v>
      </c>
      <c r="D769" s="266">
        <v>1</v>
      </c>
      <c r="E769" s="332"/>
      <c r="F769" s="333"/>
      <c r="G769" s="367">
        <v>20.510100000000001</v>
      </c>
      <c r="H769" s="157" t="str">
        <f t="shared" si="45"/>
        <v>CZK</v>
      </c>
      <c r="I769" s="334"/>
      <c r="J769" s="335" t="s">
        <v>54</v>
      </c>
      <c r="L769" s="97" t="e">
        <f>VLOOKUP(B769,$B$11:B768,1,FALSE)</f>
        <v>#N/A</v>
      </c>
      <c r="M769" s="317">
        <f>G769*(1-FORM!$AE$28/100)</f>
        <v>20.510100000000001</v>
      </c>
    </row>
    <row r="770" spans="1:13" hidden="1">
      <c r="A770" s="155"/>
      <c r="B770" s="406">
        <v>9202824</v>
      </c>
      <c r="C770" s="265" t="s">
        <v>363</v>
      </c>
      <c r="D770" s="266">
        <v>1</v>
      </c>
      <c r="E770" s="332"/>
      <c r="F770" s="333"/>
      <c r="G770" s="367">
        <v>9.1928999999999998</v>
      </c>
      <c r="H770" s="157" t="str">
        <f t="shared" si="45"/>
        <v>CZK</v>
      </c>
      <c r="I770" s="334"/>
      <c r="J770" s="335" t="s">
        <v>54</v>
      </c>
      <c r="L770" s="97" t="e">
        <f>VLOOKUP(B770,$B$11:B769,1,FALSE)</f>
        <v>#N/A</v>
      </c>
      <c r="M770" s="317">
        <f>G770*(1-FORM!$AE$28/100)</f>
        <v>9.1928999999999998</v>
      </c>
    </row>
    <row r="771" spans="1:13" hidden="1">
      <c r="A771" s="155"/>
      <c r="B771" s="406">
        <v>9202835</v>
      </c>
      <c r="C771" s="265" t="s">
        <v>364</v>
      </c>
      <c r="D771" s="266">
        <v>1</v>
      </c>
      <c r="E771" s="332"/>
      <c r="F771" s="333"/>
      <c r="G771" s="367">
        <v>10.2241</v>
      </c>
      <c r="H771" s="157" t="str">
        <f t="shared" si="45"/>
        <v>CZK</v>
      </c>
      <c r="I771" s="334"/>
      <c r="J771" s="335" t="s">
        <v>54</v>
      </c>
      <c r="L771" s="97" t="e">
        <f>VLOOKUP(B771,$B$11:B770,1,FALSE)</f>
        <v>#N/A</v>
      </c>
      <c r="M771" s="317">
        <f>G771*(1-FORM!$AE$28/100)</f>
        <v>10.2241</v>
      </c>
    </row>
    <row r="772" spans="1:13" hidden="1">
      <c r="A772" s="155"/>
      <c r="B772" s="406">
        <v>9202836</v>
      </c>
      <c r="C772" s="265" t="s">
        <v>365</v>
      </c>
      <c r="D772" s="266">
        <v>1</v>
      </c>
      <c r="E772" s="332"/>
      <c r="F772" s="333"/>
      <c r="G772" s="367">
        <v>10.739699999999999</v>
      </c>
      <c r="H772" s="157" t="str">
        <f t="shared" si="45"/>
        <v>CZK</v>
      </c>
      <c r="I772" s="334"/>
      <c r="J772" s="335" t="s">
        <v>54</v>
      </c>
      <c r="L772" s="97" t="e">
        <f>VLOOKUP(B772,$B$11:B771,1,FALSE)</f>
        <v>#N/A</v>
      </c>
      <c r="M772" s="317">
        <f>G772*(1-FORM!$AE$28/100)</f>
        <v>10.739699999999999</v>
      </c>
    </row>
    <row r="773" spans="1:13" hidden="1">
      <c r="A773" s="155"/>
      <c r="B773" s="406">
        <v>9202837</v>
      </c>
      <c r="C773" s="265" t="s">
        <v>366</v>
      </c>
      <c r="D773" s="266">
        <v>1</v>
      </c>
      <c r="E773" s="332"/>
      <c r="F773" s="333"/>
      <c r="G773" s="367">
        <v>11.2552</v>
      </c>
      <c r="H773" s="157" t="str">
        <f t="shared" si="45"/>
        <v>CZK</v>
      </c>
      <c r="I773" s="334"/>
      <c r="J773" s="335" t="s">
        <v>54</v>
      </c>
      <c r="L773" s="97" t="e">
        <f>VLOOKUP(B773,$B$11:B772,1,FALSE)</f>
        <v>#N/A</v>
      </c>
      <c r="M773" s="317">
        <f>G773*(1-FORM!$AE$28/100)</f>
        <v>11.2552</v>
      </c>
    </row>
    <row r="774" spans="1:13" hidden="1">
      <c r="A774" s="155"/>
      <c r="B774" s="406">
        <v>9202838</v>
      </c>
      <c r="C774" s="265" t="s">
        <v>367</v>
      </c>
      <c r="D774" s="266">
        <v>1</v>
      </c>
      <c r="E774" s="332"/>
      <c r="F774" s="333"/>
      <c r="G774" s="367">
        <v>22.5763</v>
      </c>
      <c r="H774" s="157" t="str">
        <f t="shared" si="45"/>
        <v>CZK</v>
      </c>
      <c r="I774" s="334"/>
      <c r="J774" s="335" t="s">
        <v>54</v>
      </c>
      <c r="L774" s="97" t="e">
        <f>VLOOKUP(B774,$B$11:B773,1,FALSE)</f>
        <v>#N/A</v>
      </c>
      <c r="M774" s="317">
        <f>G774*(1-FORM!$AE$28/100)</f>
        <v>22.5763</v>
      </c>
    </row>
    <row r="775" spans="1:13" hidden="1">
      <c r="B775" s="406"/>
      <c r="C775" s="265"/>
      <c r="D775" s="266"/>
      <c r="E775" s="332"/>
      <c r="F775" s="333"/>
      <c r="G775" s="367"/>
      <c r="H775" s="157" t="str">
        <f t="shared" si="45"/>
        <v/>
      </c>
      <c r="I775" s="334"/>
      <c r="J775" s="335" t="s">
        <v>54</v>
      </c>
      <c r="L775" s="97" t="e">
        <f>VLOOKUP(B775,$B$11:B774,1,FALSE)</f>
        <v>#N/A</v>
      </c>
      <c r="M775" s="317">
        <f>G775*(1-FORM!$AE$28/100)</f>
        <v>0</v>
      </c>
    </row>
    <row r="776" spans="1:13" hidden="1">
      <c r="B776" s="406">
        <v>13138</v>
      </c>
      <c r="C776" s="265" t="s">
        <v>327</v>
      </c>
      <c r="D776" s="266">
        <v>500</v>
      </c>
      <c r="E776" s="332"/>
      <c r="F776" s="333"/>
      <c r="G776" s="367">
        <v>1.7600000000000001E-2</v>
      </c>
      <c r="H776" s="157" t="str">
        <f t="shared" si="45"/>
        <v>CZK</v>
      </c>
      <c r="I776" s="334"/>
      <c r="J776" s="335" t="s">
        <v>54</v>
      </c>
      <c r="L776" s="97" t="e">
        <f>VLOOKUP(B776,$B$11:B775,1,FALSE)</f>
        <v>#N/A</v>
      </c>
      <c r="M776" s="317">
        <f>G776*(1-FORM!$AE$28/100)</f>
        <v>1.7600000000000001E-2</v>
      </c>
    </row>
    <row r="777" spans="1:13" hidden="1">
      <c r="B777" s="406">
        <v>13138</v>
      </c>
      <c r="C777" s="265" t="s">
        <v>327</v>
      </c>
      <c r="D777" s="266">
        <v>500</v>
      </c>
      <c r="E777" s="332"/>
      <c r="F777" s="333"/>
      <c r="G777" s="367">
        <v>1.7600000000000001E-2</v>
      </c>
      <c r="H777" s="157" t="str">
        <f t="shared" ref="H777:H840" si="46">IF(G777="","",$H$10)</f>
        <v>CZK</v>
      </c>
      <c r="I777" s="334"/>
      <c r="J777" s="335" t="s">
        <v>54</v>
      </c>
      <c r="L777" s="97">
        <f>VLOOKUP(B777,$B$11:B776,1,FALSE)</f>
        <v>13138</v>
      </c>
      <c r="M777" s="317">
        <f>G777*(1-FORM!$AE$28/100)</f>
        <v>1.7600000000000001E-2</v>
      </c>
    </row>
    <row r="778" spans="1:13" hidden="1">
      <c r="B778" s="406">
        <v>13138</v>
      </c>
      <c r="C778" s="265" t="s">
        <v>327</v>
      </c>
      <c r="D778" s="266">
        <v>500</v>
      </c>
      <c r="E778" s="332"/>
      <c r="F778" s="333"/>
      <c r="G778" s="367">
        <v>1.7600000000000001E-2</v>
      </c>
      <c r="H778" s="157" t="str">
        <f t="shared" si="46"/>
        <v>CZK</v>
      </c>
      <c r="I778" s="334"/>
      <c r="J778" s="335" t="s">
        <v>54</v>
      </c>
      <c r="L778" s="97">
        <f>VLOOKUP(B778,$B$11:B777,1,FALSE)</f>
        <v>13138</v>
      </c>
      <c r="M778" s="317">
        <f>G778*(1-FORM!$AE$28/100)</f>
        <v>1.7600000000000001E-2</v>
      </c>
    </row>
    <row r="779" spans="1:13" hidden="1">
      <c r="B779" s="406">
        <v>13138</v>
      </c>
      <c r="C779" s="265" t="s">
        <v>327</v>
      </c>
      <c r="D779" s="266">
        <v>500</v>
      </c>
      <c r="E779" s="332"/>
      <c r="F779" s="333"/>
      <c r="G779" s="367">
        <v>1.7600000000000001E-2</v>
      </c>
      <c r="H779" s="157" t="str">
        <f t="shared" si="46"/>
        <v>CZK</v>
      </c>
      <c r="I779" s="334"/>
      <c r="J779" s="335" t="s">
        <v>54</v>
      </c>
      <c r="L779" s="97">
        <f>VLOOKUP(B779,$B$11:B778,1,FALSE)</f>
        <v>13138</v>
      </c>
      <c r="M779" s="317">
        <f>G779*(1-FORM!$AE$28/100)</f>
        <v>1.7600000000000001E-2</v>
      </c>
    </row>
    <row r="780" spans="1:13" hidden="1">
      <c r="B780" s="406">
        <v>13138</v>
      </c>
      <c r="C780" s="265" t="s">
        <v>327</v>
      </c>
      <c r="D780" s="266">
        <v>500</v>
      </c>
      <c r="E780" s="332"/>
      <c r="F780" s="333"/>
      <c r="G780" s="367">
        <v>1.7600000000000001E-2</v>
      </c>
      <c r="H780" s="157" t="str">
        <f t="shared" si="46"/>
        <v>CZK</v>
      </c>
      <c r="I780" s="334"/>
      <c r="J780" s="335" t="s">
        <v>54</v>
      </c>
      <c r="L780" s="97">
        <f>VLOOKUP(B780,$B$11:B779,1,FALSE)</f>
        <v>13138</v>
      </c>
      <c r="M780" s="317">
        <f>G780*(1-FORM!$AE$28/100)</f>
        <v>1.7600000000000001E-2</v>
      </c>
    </row>
    <row r="781" spans="1:13" hidden="1">
      <c r="B781" s="406">
        <v>13138</v>
      </c>
      <c r="C781" s="265" t="s">
        <v>327</v>
      </c>
      <c r="D781" s="266">
        <v>500</v>
      </c>
      <c r="E781" s="332"/>
      <c r="F781" s="333"/>
      <c r="G781" s="367">
        <v>1.7600000000000001E-2</v>
      </c>
      <c r="H781" s="157" t="str">
        <f t="shared" si="46"/>
        <v>CZK</v>
      </c>
      <c r="I781" s="334"/>
      <c r="J781" s="335" t="s">
        <v>54</v>
      </c>
      <c r="L781" s="97">
        <f>VLOOKUP(B781,$B$11:B780,1,FALSE)</f>
        <v>13138</v>
      </c>
      <c r="M781" s="317">
        <f>G781*(1-FORM!$AE$28/100)</f>
        <v>1.7600000000000001E-2</v>
      </c>
    </row>
    <row r="782" spans="1:13" hidden="1">
      <c r="B782" s="406">
        <v>13138</v>
      </c>
      <c r="C782" s="265" t="s">
        <v>327</v>
      </c>
      <c r="D782" s="266">
        <v>500</v>
      </c>
      <c r="E782" s="332"/>
      <c r="F782" s="333"/>
      <c r="G782" s="367">
        <v>1.7600000000000001E-2</v>
      </c>
      <c r="H782" s="157" t="str">
        <f t="shared" si="46"/>
        <v>CZK</v>
      </c>
      <c r="I782" s="334"/>
      <c r="J782" s="335" t="s">
        <v>54</v>
      </c>
      <c r="L782" s="97">
        <f>VLOOKUP(B782,$B$11:B781,1,FALSE)</f>
        <v>13138</v>
      </c>
      <c r="M782" s="317">
        <f>G782*(1-FORM!$AE$28/100)</f>
        <v>1.7600000000000001E-2</v>
      </c>
    </row>
    <row r="783" spans="1:13" hidden="1">
      <c r="B783" s="406">
        <v>13138</v>
      </c>
      <c r="C783" s="265" t="s">
        <v>327</v>
      </c>
      <c r="D783" s="266">
        <v>500</v>
      </c>
      <c r="E783" s="332"/>
      <c r="F783" s="333"/>
      <c r="G783" s="367">
        <v>1.7600000000000001E-2</v>
      </c>
      <c r="H783" s="157" t="str">
        <f t="shared" si="46"/>
        <v>CZK</v>
      </c>
      <c r="I783" s="334"/>
      <c r="J783" s="335" t="s">
        <v>54</v>
      </c>
      <c r="L783" s="97">
        <f>VLOOKUP(B783,$B$11:B782,1,FALSE)</f>
        <v>13138</v>
      </c>
      <c r="M783" s="317">
        <f>G783*(1-FORM!$AE$28/100)</f>
        <v>1.7600000000000001E-2</v>
      </c>
    </row>
    <row r="784" spans="1:13" hidden="1">
      <c r="B784" s="406">
        <v>13138</v>
      </c>
      <c r="C784" s="265" t="s">
        <v>327</v>
      </c>
      <c r="D784" s="266">
        <v>500</v>
      </c>
      <c r="E784" s="332"/>
      <c r="F784" s="333"/>
      <c r="G784" s="367">
        <v>1.7600000000000001E-2</v>
      </c>
      <c r="H784" s="157" t="str">
        <f t="shared" si="46"/>
        <v>CZK</v>
      </c>
      <c r="I784" s="334"/>
      <c r="J784" s="335" t="s">
        <v>54</v>
      </c>
      <c r="L784" s="97">
        <f>VLOOKUP(B784,$B$11:B783,1,FALSE)</f>
        <v>13138</v>
      </c>
      <c r="M784" s="317">
        <f>G784*(1-FORM!$AE$28/100)</f>
        <v>1.7600000000000001E-2</v>
      </c>
    </row>
    <row r="785" spans="2:13" hidden="1">
      <c r="B785" s="406">
        <v>13138</v>
      </c>
      <c r="C785" s="265" t="s">
        <v>327</v>
      </c>
      <c r="D785" s="266">
        <v>500</v>
      </c>
      <c r="E785" s="332"/>
      <c r="F785" s="333"/>
      <c r="G785" s="367">
        <v>1.7600000000000001E-2</v>
      </c>
      <c r="H785" s="157" t="str">
        <f t="shared" si="46"/>
        <v>CZK</v>
      </c>
      <c r="I785" s="334"/>
      <c r="J785" s="335" t="s">
        <v>54</v>
      </c>
      <c r="L785" s="97">
        <f>VLOOKUP(B785,$B$11:B784,1,FALSE)</f>
        <v>13138</v>
      </c>
      <c r="M785" s="317">
        <f>G785*(1-FORM!$AE$28/100)</f>
        <v>1.7600000000000001E-2</v>
      </c>
    </row>
    <row r="786" spans="2:13" hidden="1">
      <c r="B786" s="406">
        <v>13138</v>
      </c>
      <c r="C786" s="265" t="s">
        <v>327</v>
      </c>
      <c r="D786" s="266">
        <v>500</v>
      </c>
      <c r="E786" s="332"/>
      <c r="F786" s="333"/>
      <c r="G786" s="367">
        <v>1.7600000000000001E-2</v>
      </c>
      <c r="H786" s="157" t="str">
        <f t="shared" si="46"/>
        <v>CZK</v>
      </c>
      <c r="I786" s="334"/>
      <c r="J786" s="335" t="s">
        <v>54</v>
      </c>
      <c r="L786" s="97">
        <f>VLOOKUP(B786,$B$11:B785,1,FALSE)</f>
        <v>13138</v>
      </c>
      <c r="M786" s="317">
        <f>G786*(1-FORM!$AE$28/100)</f>
        <v>1.7600000000000001E-2</v>
      </c>
    </row>
    <row r="787" spans="2:13" hidden="1">
      <c r="B787" s="406">
        <v>13138</v>
      </c>
      <c r="C787" s="265" t="s">
        <v>327</v>
      </c>
      <c r="D787" s="266">
        <v>500</v>
      </c>
      <c r="E787" s="332"/>
      <c r="F787" s="333"/>
      <c r="G787" s="367">
        <v>1.7600000000000001E-2</v>
      </c>
      <c r="H787" s="157" t="str">
        <f t="shared" si="46"/>
        <v>CZK</v>
      </c>
      <c r="I787" s="334"/>
      <c r="J787" s="335" t="s">
        <v>54</v>
      </c>
      <c r="L787" s="97">
        <f>VLOOKUP(B787,$B$11:B786,1,FALSE)</f>
        <v>13138</v>
      </c>
      <c r="M787" s="317">
        <f>G787*(1-FORM!$AE$28/100)</f>
        <v>1.7600000000000001E-2</v>
      </c>
    </row>
    <row r="788" spans="2:13" hidden="1">
      <c r="B788" s="406">
        <v>13138</v>
      </c>
      <c r="C788" s="265" t="s">
        <v>327</v>
      </c>
      <c r="D788" s="266">
        <v>500</v>
      </c>
      <c r="E788" s="332"/>
      <c r="F788" s="333"/>
      <c r="G788" s="367">
        <v>1.7600000000000001E-2</v>
      </c>
      <c r="H788" s="157" t="str">
        <f t="shared" si="46"/>
        <v>CZK</v>
      </c>
      <c r="I788" s="334"/>
      <c r="J788" s="335" t="s">
        <v>54</v>
      </c>
      <c r="L788" s="97">
        <f>VLOOKUP(B788,$B$11:B787,1,FALSE)</f>
        <v>13138</v>
      </c>
      <c r="M788" s="317">
        <f>G788*(1-FORM!$AE$28/100)</f>
        <v>1.7600000000000001E-2</v>
      </c>
    </row>
    <row r="789" spans="2:13" hidden="1">
      <c r="B789" s="406">
        <v>13138</v>
      </c>
      <c r="C789" s="265" t="s">
        <v>327</v>
      </c>
      <c r="D789" s="266">
        <v>500</v>
      </c>
      <c r="E789" s="332"/>
      <c r="F789" s="333"/>
      <c r="G789" s="367">
        <v>1.7600000000000001E-2</v>
      </c>
      <c r="H789" s="157" t="str">
        <f t="shared" si="46"/>
        <v>CZK</v>
      </c>
      <c r="I789" s="334"/>
      <c r="J789" s="335" t="s">
        <v>54</v>
      </c>
      <c r="L789" s="97">
        <f>VLOOKUP(B789,$B$11:B788,1,FALSE)</f>
        <v>13138</v>
      </c>
      <c r="M789" s="317">
        <f>G789*(1-FORM!$AE$28/100)</f>
        <v>1.7600000000000001E-2</v>
      </c>
    </row>
    <row r="790" spans="2:13" hidden="1">
      <c r="B790" s="406">
        <v>13138</v>
      </c>
      <c r="C790" s="265" t="s">
        <v>327</v>
      </c>
      <c r="D790" s="266">
        <v>500</v>
      </c>
      <c r="E790" s="332"/>
      <c r="F790" s="333"/>
      <c r="G790" s="367">
        <v>1.7600000000000001E-2</v>
      </c>
      <c r="H790" s="157" t="str">
        <f t="shared" si="46"/>
        <v>CZK</v>
      </c>
      <c r="I790" s="334"/>
      <c r="J790" s="335" t="s">
        <v>54</v>
      </c>
      <c r="L790" s="97">
        <f>VLOOKUP(B790,$B$11:B789,1,FALSE)</f>
        <v>13138</v>
      </c>
      <c r="M790" s="317">
        <f>G790*(1-FORM!$AE$28/100)</f>
        <v>1.7600000000000001E-2</v>
      </c>
    </row>
    <row r="791" spans="2:13" hidden="1">
      <c r="B791" s="406">
        <v>13138</v>
      </c>
      <c r="C791" s="265" t="s">
        <v>327</v>
      </c>
      <c r="D791" s="266">
        <v>500</v>
      </c>
      <c r="E791" s="332"/>
      <c r="F791" s="333"/>
      <c r="G791" s="367">
        <v>1.7600000000000001E-2</v>
      </c>
      <c r="H791" s="157" t="str">
        <f t="shared" si="46"/>
        <v>CZK</v>
      </c>
      <c r="I791" s="334"/>
      <c r="J791" s="335" t="s">
        <v>54</v>
      </c>
      <c r="L791" s="97">
        <f>VLOOKUP(B791,$B$11:B790,1,FALSE)</f>
        <v>13138</v>
      </c>
      <c r="M791" s="317">
        <f>G791*(1-FORM!$AE$28/100)</f>
        <v>1.7600000000000001E-2</v>
      </c>
    </row>
    <row r="792" spans="2:13" hidden="1">
      <c r="B792" s="406">
        <v>13138</v>
      </c>
      <c r="C792" s="265" t="s">
        <v>327</v>
      </c>
      <c r="D792" s="266">
        <v>500</v>
      </c>
      <c r="E792" s="332"/>
      <c r="F792" s="333"/>
      <c r="G792" s="367">
        <v>1.7600000000000001E-2</v>
      </c>
      <c r="H792" s="157" t="str">
        <f t="shared" si="46"/>
        <v>CZK</v>
      </c>
      <c r="I792" s="334"/>
      <c r="J792" s="335" t="s">
        <v>54</v>
      </c>
      <c r="L792" s="97">
        <f>VLOOKUP(B792,$B$11:B791,1,FALSE)</f>
        <v>13138</v>
      </c>
      <c r="M792" s="317">
        <f>G792*(1-FORM!$AE$28/100)</f>
        <v>1.7600000000000001E-2</v>
      </c>
    </row>
    <row r="793" spans="2:13" hidden="1">
      <c r="B793" s="406">
        <v>13138</v>
      </c>
      <c r="C793" s="265" t="s">
        <v>327</v>
      </c>
      <c r="D793" s="266">
        <v>500</v>
      </c>
      <c r="E793" s="332"/>
      <c r="F793" s="333"/>
      <c r="G793" s="367">
        <v>1.7600000000000001E-2</v>
      </c>
      <c r="H793" s="157" t="str">
        <f t="shared" si="46"/>
        <v>CZK</v>
      </c>
      <c r="I793" s="334"/>
      <c r="J793" s="335" t="s">
        <v>54</v>
      </c>
      <c r="L793" s="97">
        <f>VLOOKUP(B793,$B$11:B792,1,FALSE)</f>
        <v>13138</v>
      </c>
      <c r="M793" s="317">
        <f>G793*(1-FORM!$AE$28/100)</f>
        <v>1.7600000000000001E-2</v>
      </c>
    </row>
    <row r="794" spans="2:13" hidden="1">
      <c r="B794" s="406">
        <v>13138</v>
      </c>
      <c r="C794" s="265" t="s">
        <v>327</v>
      </c>
      <c r="D794" s="266">
        <v>500</v>
      </c>
      <c r="E794" s="332"/>
      <c r="F794" s="333"/>
      <c r="G794" s="367">
        <v>1.7600000000000001E-2</v>
      </c>
      <c r="H794" s="157" t="str">
        <f t="shared" si="46"/>
        <v>CZK</v>
      </c>
      <c r="I794" s="334"/>
      <c r="J794" s="335" t="s">
        <v>54</v>
      </c>
      <c r="L794" s="97">
        <f>VLOOKUP(B794,$B$11:B793,1,FALSE)</f>
        <v>13138</v>
      </c>
      <c r="M794" s="317">
        <f>G794*(1-FORM!$AE$28/100)</f>
        <v>1.7600000000000001E-2</v>
      </c>
    </row>
    <row r="795" spans="2:13" hidden="1">
      <c r="B795" s="406">
        <v>13138</v>
      </c>
      <c r="C795" s="265" t="s">
        <v>327</v>
      </c>
      <c r="D795" s="266">
        <v>500</v>
      </c>
      <c r="E795" s="332"/>
      <c r="F795" s="333"/>
      <c r="G795" s="367">
        <v>1.7600000000000001E-2</v>
      </c>
      <c r="H795" s="157" t="str">
        <f t="shared" si="46"/>
        <v>CZK</v>
      </c>
      <c r="I795" s="334"/>
      <c r="J795" s="335" t="s">
        <v>54</v>
      </c>
      <c r="L795" s="97">
        <f>VLOOKUP(B795,$B$11:B794,1,FALSE)</f>
        <v>13138</v>
      </c>
      <c r="M795" s="317">
        <f>G795*(1-FORM!$AE$28/100)</f>
        <v>1.7600000000000001E-2</v>
      </c>
    </row>
    <row r="796" spans="2:13" hidden="1">
      <c r="B796" s="406">
        <v>13138</v>
      </c>
      <c r="C796" s="265" t="s">
        <v>327</v>
      </c>
      <c r="D796" s="266">
        <v>500</v>
      </c>
      <c r="E796" s="332"/>
      <c r="F796" s="333"/>
      <c r="G796" s="367">
        <v>1.7600000000000001E-2</v>
      </c>
      <c r="H796" s="157" t="str">
        <f t="shared" si="46"/>
        <v>CZK</v>
      </c>
      <c r="I796" s="334"/>
      <c r="J796" s="335" t="s">
        <v>54</v>
      </c>
      <c r="L796" s="97">
        <f>VLOOKUP(B796,$B$11:B795,1,FALSE)</f>
        <v>13138</v>
      </c>
      <c r="M796" s="317">
        <f>G796*(1-FORM!$AE$28/100)</f>
        <v>1.7600000000000001E-2</v>
      </c>
    </row>
    <row r="797" spans="2:13" hidden="1">
      <c r="B797" s="406">
        <v>13138</v>
      </c>
      <c r="C797" s="265" t="s">
        <v>327</v>
      </c>
      <c r="D797" s="266">
        <v>500</v>
      </c>
      <c r="E797" s="332"/>
      <c r="F797" s="333"/>
      <c r="G797" s="367">
        <v>1.7600000000000001E-2</v>
      </c>
      <c r="H797" s="157" t="str">
        <f t="shared" si="46"/>
        <v>CZK</v>
      </c>
      <c r="I797" s="334"/>
      <c r="J797" s="335" t="s">
        <v>54</v>
      </c>
      <c r="L797" s="97">
        <f>VLOOKUP(B797,$B$11:B796,1,FALSE)</f>
        <v>13138</v>
      </c>
      <c r="M797" s="317">
        <f>G797*(1-FORM!$AE$28/100)</f>
        <v>1.7600000000000001E-2</v>
      </c>
    </row>
    <row r="798" spans="2:13" hidden="1">
      <c r="B798" s="406">
        <v>13138</v>
      </c>
      <c r="C798" s="265" t="s">
        <v>327</v>
      </c>
      <c r="D798" s="266">
        <v>500</v>
      </c>
      <c r="E798" s="332"/>
      <c r="F798" s="333"/>
      <c r="G798" s="367">
        <v>1.7600000000000001E-2</v>
      </c>
      <c r="H798" s="157" t="str">
        <f t="shared" si="46"/>
        <v>CZK</v>
      </c>
      <c r="I798" s="334"/>
      <c r="J798" s="335" t="s">
        <v>54</v>
      </c>
      <c r="L798" s="97">
        <f>VLOOKUP(B798,$B$11:B797,1,FALSE)</f>
        <v>13138</v>
      </c>
      <c r="M798" s="317">
        <f>G798*(1-FORM!$AE$28/100)</f>
        <v>1.7600000000000001E-2</v>
      </c>
    </row>
    <row r="799" spans="2:13" hidden="1">
      <c r="B799" s="406">
        <v>13138</v>
      </c>
      <c r="C799" s="265" t="s">
        <v>327</v>
      </c>
      <c r="D799" s="266">
        <v>500</v>
      </c>
      <c r="E799" s="332"/>
      <c r="F799" s="333"/>
      <c r="G799" s="367">
        <v>1.7600000000000001E-2</v>
      </c>
      <c r="H799" s="157" t="str">
        <f t="shared" si="46"/>
        <v>CZK</v>
      </c>
      <c r="I799" s="334"/>
      <c r="J799" s="335" t="s">
        <v>54</v>
      </c>
      <c r="L799" s="97">
        <f>VLOOKUP(B799,$B$11:B798,1,FALSE)</f>
        <v>13138</v>
      </c>
      <c r="M799" s="317">
        <f>G799*(1-FORM!$AE$28/100)</f>
        <v>1.7600000000000001E-2</v>
      </c>
    </row>
    <row r="800" spans="2:13" hidden="1">
      <c r="B800" s="406">
        <v>13138</v>
      </c>
      <c r="C800" s="265" t="s">
        <v>327</v>
      </c>
      <c r="D800" s="266">
        <v>500</v>
      </c>
      <c r="E800" s="332"/>
      <c r="F800" s="333"/>
      <c r="G800" s="367">
        <v>1.7600000000000001E-2</v>
      </c>
      <c r="H800" s="157" t="str">
        <f t="shared" si="46"/>
        <v>CZK</v>
      </c>
      <c r="I800" s="334"/>
      <c r="J800" s="335" t="s">
        <v>54</v>
      </c>
      <c r="L800" s="97">
        <f>VLOOKUP(B800,$B$11:B799,1,FALSE)</f>
        <v>13138</v>
      </c>
      <c r="M800" s="317">
        <f>G800*(1-FORM!$AE$28/100)</f>
        <v>1.7600000000000001E-2</v>
      </c>
    </row>
    <row r="801" spans="2:13" hidden="1">
      <c r="B801" s="406">
        <v>13138</v>
      </c>
      <c r="C801" s="265" t="s">
        <v>327</v>
      </c>
      <c r="D801" s="266">
        <v>500</v>
      </c>
      <c r="E801" s="332"/>
      <c r="F801" s="333"/>
      <c r="G801" s="367">
        <v>1.7600000000000001E-2</v>
      </c>
      <c r="H801" s="157" t="str">
        <f t="shared" si="46"/>
        <v>CZK</v>
      </c>
      <c r="I801" s="334"/>
      <c r="J801" s="335" t="s">
        <v>54</v>
      </c>
      <c r="L801" s="97">
        <f>VLOOKUP(B801,$B$11:B800,1,FALSE)</f>
        <v>13138</v>
      </c>
      <c r="M801" s="317">
        <f>G801*(1-FORM!$AE$28/100)</f>
        <v>1.7600000000000001E-2</v>
      </c>
    </row>
    <row r="802" spans="2:13" hidden="1">
      <c r="B802" s="406">
        <v>13138</v>
      </c>
      <c r="C802" s="265" t="s">
        <v>327</v>
      </c>
      <c r="D802" s="266">
        <v>500</v>
      </c>
      <c r="E802" s="332"/>
      <c r="F802" s="333"/>
      <c r="G802" s="367">
        <v>1.7600000000000001E-2</v>
      </c>
      <c r="H802" s="157" t="str">
        <f t="shared" si="46"/>
        <v>CZK</v>
      </c>
      <c r="I802" s="334"/>
      <c r="J802" s="335" t="s">
        <v>54</v>
      </c>
      <c r="L802" s="97">
        <f>VLOOKUP(B802,$B$11:B801,1,FALSE)</f>
        <v>13138</v>
      </c>
      <c r="M802" s="317">
        <f>G802*(1-FORM!$AE$28/100)</f>
        <v>1.7600000000000001E-2</v>
      </c>
    </row>
    <row r="803" spans="2:13" hidden="1">
      <c r="B803" s="406">
        <v>13138</v>
      </c>
      <c r="C803" s="265" t="s">
        <v>327</v>
      </c>
      <c r="D803" s="266">
        <v>500</v>
      </c>
      <c r="E803" s="332"/>
      <c r="F803" s="333"/>
      <c r="G803" s="367">
        <v>1.7600000000000001E-2</v>
      </c>
      <c r="H803" s="157" t="str">
        <f t="shared" si="46"/>
        <v>CZK</v>
      </c>
      <c r="I803" s="334"/>
      <c r="J803" s="335" t="s">
        <v>54</v>
      </c>
      <c r="L803" s="97">
        <f>VLOOKUP(B803,$B$11:B802,1,FALSE)</f>
        <v>13138</v>
      </c>
      <c r="M803" s="317">
        <f>G803*(1-FORM!$AE$28/100)</f>
        <v>1.7600000000000001E-2</v>
      </c>
    </row>
    <row r="804" spans="2:13" hidden="1">
      <c r="B804" s="406">
        <v>13138</v>
      </c>
      <c r="C804" s="265" t="s">
        <v>327</v>
      </c>
      <c r="D804" s="266">
        <v>500</v>
      </c>
      <c r="E804" s="332"/>
      <c r="F804" s="333"/>
      <c r="G804" s="367">
        <v>1.7600000000000001E-2</v>
      </c>
      <c r="H804" s="157" t="str">
        <f t="shared" si="46"/>
        <v>CZK</v>
      </c>
      <c r="I804" s="334"/>
      <c r="J804" s="335" t="s">
        <v>54</v>
      </c>
      <c r="L804" s="97">
        <f>VLOOKUP(B804,$B$11:B803,1,FALSE)</f>
        <v>13138</v>
      </c>
      <c r="M804" s="317">
        <f>G804*(1-FORM!$AE$28/100)</f>
        <v>1.7600000000000001E-2</v>
      </c>
    </row>
    <row r="805" spans="2:13" hidden="1">
      <c r="B805" s="406">
        <v>13138</v>
      </c>
      <c r="C805" s="265" t="s">
        <v>327</v>
      </c>
      <c r="D805" s="266">
        <v>500</v>
      </c>
      <c r="E805" s="332"/>
      <c r="F805" s="333"/>
      <c r="G805" s="367">
        <v>1.7600000000000001E-2</v>
      </c>
      <c r="H805" s="157" t="str">
        <f t="shared" si="46"/>
        <v>CZK</v>
      </c>
      <c r="I805" s="334"/>
      <c r="J805" s="335" t="s">
        <v>54</v>
      </c>
      <c r="L805" s="97">
        <f>VLOOKUP(B805,$B$11:B804,1,FALSE)</f>
        <v>13138</v>
      </c>
      <c r="M805" s="317">
        <f>G805*(1-FORM!$AE$28/100)</f>
        <v>1.7600000000000001E-2</v>
      </c>
    </row>
    <row r="806" spans="2:13" hidden="1">
      <c r="B806" s="406">
        <v>13138</v>
      </c>
      <c r="C806" s="265" t="s">
        <v>327</v>
      </c>
      <c r="D806" s="266">
        <v>500</v>
      </c>
      <c r="E806" s="332"/>
      <c r="F806" s="333"/>
      <c r="G806" s="367">
        <v>1.7600000000000001E-2</v>
      </c>
      <c r="H806" s="157" t="str">
        <f t="shared" si="46"/>
        <v>CZK</v>
      </c>
      <c r="I806" s="334"/>
      <c r="J806" s="335" t="s">
        <v>54</v>
      </c>
      <c r="L806" s="97">
        <f>VLOOKUP(B806,$B$11:B805,1,FALSE)</f>
        <v>13138</v>
      </c>
      <c r="M806" s="317">
        <f>G806*(1-FORM!$AE$28/100)</f>
        <v>1.7600000000000001E-2</v>
      </c>
    </row>
    <row r="807" spans="2:13" hidden="1">
      <c r="B807" s="406">
        <v>13138</v>
      </c>
      <c r="C807" s="265" t="s">
        <v>327</v>
      </c>
      <c r="D807" s="266">
        <v>500</v>
      </c>
      <c r="E807" s="332"/>
      <c r="F807" s="333"/>
      <c r="G807" s="367">
        <v>1.7600000000000001E-2</v>
      </c>
      <c r="H807" s="157" t="str">
        <f t="shared" si="46"/>
        <v>CZK</v>
      </c>
      <c r="I807" s="334"/>
      <c r="J807" s="335" t="s">
        <v>54</v>
      </c>
      <c r="L807" s="97">
        <f>VLOOKUP(B807,$B$11:B806,1,FALSE)</f>
        <v>13138</v>
      </c>
      <c r="M807" s="317">
        <f>G807*(1-FORM!$AE$28/100)</f>
        <v>1.7600000000000001E-2</v>
      </c>
    </row>
    <row r="808" spans="2:13" hidden="1">
      <c r="B808" s="406">
        <v>13138</v>
      </c>
      <c r="C808" s="265" t="s">
        <v>327</v>
      </c>
      <c r="D808" s="266">
        <v>500</v>
      </c>
      <c r="E808" s="332"/>
      <c r="F808" s="333"/>
      <c r="G808" s="367">
        <v>1.7600000000000001E-2</v>
      </c>
      <c r="H808" s="157" t="str">
        <f t="shared" si="46"/>
        <v>CZK</v>
      </c>
      <c r="I808" s="334"/>
      <c r="J808" s="335" t="s">
        <v>54</v>
      </c>
      <c r="L808" s="97">
        <f>VLOOKUP(B808,$B$11:B807,1,FALSE)</f>
        <v>13138</v>
      </c>
      <c r="M808" s="317">
        <f>G808*(1-FORM!$AE$28/100)</f>
        <v>1.7600000000000001E-2</v>
      </c>
    </row>
    <row r="809" spans="2:13" hidden="1">
      <c r="B809" s="406">
        <v>13138</v>
      </c>
      <c r="C809" s="265" t="s">
        <v>327</v>
      </c>
      <c r="D809" s="266">
        <v>500</v>
      </c>
      <c r="E809" s="332"/>
      <c r="F809" s="333"/>
      <c r="G809" s="367">
        <v>1.7600000000000001E-2</v>
      </c>
      <c r="H809" s="157" t="str">
        <f t="shared" si="46"/>
        <v>CZK</v>
      </c>
      <c r="I809" s="334"/>
      <c r="J809" s="335" t="s">
        <v>54</v>
      </c>
      <c r="L809" s="97">
        <f>VLOOKUP(B809,$B$11:B808,1,FALSE)</f>
        <v>13138</v>
      </c>
      <c r="M809" s="317">
        <f>G809*(1-FORM!$AE$28/100)</f>
        <v>1.7600000000000001E-2</v>
      </c>
    </row>
    <row r="810" spans="2:13" hidden="1">
      <c r="B810" s="406">
        <v>13138</v>
      </c>
      <c r="C810" s="265" t="s">
        <v>327</v>
      </c>
      <c r="D810" s="266">
        <v>500</v>
      </c>
      <c r="E810" s="332"/>
      <c r="F810" s="333"/>
      <c r="G810" s="367">
        <v>1.7600000000000001E-2</v>
      </c>
      <c r="H810" s="157" t="str">
        <f t="shared" si="46"/>
        <v>CZK</v>
      </c>
      <c r="I810" s="334"/>
      <c r="J810" s="335" t="s">
        <v>54</v>
      </c>
      <c r="L810" s="97">
        <f>VLOOKUP(B810,$B$11:B809,1,FALSE)</f>
        <v>13138</v>
      </c>
      <c r="M810" s="317">
        <f>G810*(1-FORM!$AE$28/100)</f>
        <v>1.7600000000000001E-2</v>
      </c>
    </row>
    <row r="811" spans="2:13" hidden="1">
      <c r="B811" s="406">
        <v>13138</v>
      </c>
      <c r="C811" s="265" t="s">
        <v>327</v>
      </c>
      <c r="D811" s="266">
        <v>500</v>
      </c>
      <c r="E811" s="332"/>
      <c r="F811" s="333"/>
      <c r="G811" s="367">
        <v>1.7600000000000001E-2</v>
      </c>
      <c r="H811" s="157" t="str">
        <f t="shared" si="46"/>
        <v>CZK</v>
      </c>
      <c r="I811" s="334"/>
      <c r="J811" s="335" t="s">
        <v>54</v>
      </c>
      <c r="L811" s="97">
        <f>VLOOKUP(B811,$B$11:B810,1,FALSE)</f>
        <v>13138</v>
      </c>
      <c r="M811" s="317">
        <f>G811*(1-FORM!$AE$28/100)</f>
        <v>1.7600000000000001E-2</v>
      </c>
    </row>
    <row r="812" spans="2:13" hidden="1">
      <c r="B812" s="406">
        <v>13138</v>
      </c>
      <c r="C812" s="265" t="s">
        <v>327</v>
      </c>
      <c r="D812" s="266">
        <v>500</v>
      </c>
      <c r="E812" s="332"/>
      <c r="F812" s="333"/>
      <c r="G812" s="367">
        <v>1.7600000000000001E-2</v>
      </c>
      <c r="H812" s="157" t="str">
        <f t="shared" si="46"/>
        <v>CZK</v>
      </c>
      <c r="I812" s="334"/>
      <c r="J812" s="335" t="s">
        <v>54</v>
      </c>
      <c r="L812" s="97">
        <f>VLOOKUP(B812,$B$11:B811,1,FALSE)</f>
        <v>13138</v>
      </c>
      <c r="M812" s="317">
        <f>G812*(1-FORM!$AE$28/100)</f>
        <v>1.7600000000000001E-2</v>
      </c>
    </row>
    <row r="813" spans="2:13" hidden="1">
      <c r="B813" s="406">
        <v>13138</v>
      </c>
      <c r="C813" s="265" t="s">
        <v>327</v>
      </c>
      <c r="D813" s="266">
        <v>500</v>
      </c>
      <c r="E813" s="332"/>
      <c r="F813" s="333"/>
      <c r="G813" s="367">
        <v>1.7600000000000001E-2</v>
      </c>
      <c r="H813" s="157" t="str">
        <f t="shared" si="46"/>
        <v>CZK</v>
      </c>
      <c r="I813" s="334"/>
      <c r="J813" s="335" t="s">
        <v>54</v>
      </c>
      <c r="L813" s="97">
        <f>VLOOKUP(B813,$B$11:B812,1,FALSE)</f>
        <v>13138</v>
      </c>
      <c r="M813" s="317">
        <f>G813*(1-FORM!$AE$28/100)</f>
        <v>1.7600000000000001E-2</v>
      </c>
    </row>
    <row r="814" spans="2:13" hidden="1">
      <c r="B814" s="406">
        <v>13138</v>
      </c>
      <c r="C814" s="265" t="s">
        <v>327</v>
      </c>
      <c r="D814" s="266">
        <v>500</v>
      </c>
      <c r="E814" s="332"/>
      <c r="F814" s="333"/>
      <c r="G814" s="367">
        <v>1.7600000000000001E-2</v>
      </c>
      <c r="H814" s="157" t="str">
        <f t="shared" si="46"/>
        <v>CZK</v>
      </c>
      <c r="I814" s="334"/>
      <c r="J814" s="335" t="s">
        <v>54</v>
      </c>
      <c r="L814" s="97">
        <f>VLOOKUP(B814,$B$11:B813,1,FALSE)</f>
        <v>13138</v>
      </c>
      <c r="M814" s="317">
        <f>G814*(1-FORM!$AE$28/100)</f>
        <v>1.7600000000000001E-2</v>
      </c>
    </row>
    <row r="815" spans="2:13" hidden="1">
      <c r="B815" s="406">
        <v>13138</v>
      </c>
      <c r="C815" s="265" t="s">
        <v>327</v>
      </c>
      <c r="D815" s="266">
        <v>500</v>
      </c>
      <c r="E815" s="332"/>
      <c r="F815" s="333"/>
      <c r="G815" s="367">
        <v>1.7600000000000001E-2</v>
      </c>
      <c r="H815" s="157" t="str">
        <f t="shared" si="46"/>
        <v>CZK</v>
      </c>
      <c r="I815" s="334"/>
      <c r="J815" s="335" t="s">
        <v>54</v>
      </c>
      <c r="L815" s="97">
        <f>VLOOKUP(B815,$B$11:B814,1,FALSE)</f>
        <v>13138</v>
      </c>
      <c r="M815" s="317">
        <f>G815*(1-FORM!$AE$28/100)</f>
        <v>1.7600000000000001E-2</v>
      </c>
    </row>
    <row r="816" spans="2:13" hidden="1">
      <c r="B816" s="406">
        <v>13138</v>
      </c>
      <c r="C816" s="265" t="s">
        <v>327</v>
      </c>
      <c r="D816" s="266">
        <v>500</v>
      </c>
      <c r="E816" s="332"/>
      <c r="F816" s="333"/>
      <c r="G816" s="367">
        <v>1.7600000000000001E-2</v>
      </c>
      <c r="H816" s="157" t="str">
        <f t="shared" si="46"/>
        <v>CZK</v>
      </c>
      <c r="I816" s="334"/>
      <c r="J816" s="335" t="s">
        <v>54</v>
      </c>
      <c r="L816" s="97">
        <f>VLOOKUP(B816,$B$11:B815,1,FALSE)</f>
        <v>13138</v>
      </c>
      <c r="M816" s="317">
        <f>G816*(1-FORM!$AE$28/100)</f>
        <v>1.7600000000000001E-2</v>
      </c>
    </row>
    <row r="817" spans="2:13" hidden="1">
      <c r="B817" s="406">
        <v>13138</v>
      </c>
      <c r="C817" s="265" t="s">
        <v>327</v>
      </c>
      <c r="D817" s="266">
        <v>500</v>
      </c>
      <c r="E817" s="332"/>
      <c r="F817" s="333"/>
      <c r="G817" s="367">
        <v>1.7600000000000001E-2</v>
      </c>
      <c r="H817" s="157" t="str">
        <f t="shared" si="46"/>
        <v>CZK</v>
      </c>
      <c r="I817" s="334"/>
      <c r="J817" s="335" t="s">
        <v>54</v>
      </c>
      <c r="L817" s="97">
        <f>VLOOKUP(B817,$B$11:B816,1,FALSE)</f>
        <v>13138</v>
      </c>
      <c r="M817" s="317">
        <f>G817*(1-FORM!$AE$28/100)</f>
        <v>1.7600000000000001E-2</v>
      </c>
    </row>
    <row r="818" spans="2:13" hidden="1">
      <c r="B818" s="406">
        <v>13138</v>
      </c>
      <c r="C818" s="265" t="s">
        <v>327</v>
      </c>
      <c r="D818" s="266">
        <v>500</v>
      </c>
      <c r="E818" s="332"/>
      <c r="F818" s="333"/>
      <c r="G818" s="367">
        <v>1.7600000000000001E-2</v>
      </c>
      <c r="H818" s="157" t="str">
        <f t="shared" si="46"/>
        <v>CZK</v>
      </c>
      <c r="I818" s="334"/>
      <c r="J818" s="335" t="s">
        <v>54</v>
      </c>
      <c r="L818" s="97">
        <f>VLOOKUP(B818,$B$11:B817,1,FALSE)</f>
        <v>13138</v>
      </c>
      <c r="M818" s="317">
        <f>G818*(1-FORM!$AE$28/100)</f>
        <v>1.7600000000000001E-2</v>
      </c>
    </row>
    <row r="819" spans="2:13" hidden="1">
      <c r="B819" s="406">
        <v>13138</v>
      </c>
      <c r="C819" s="265" t="s">
        <v>327</v>
      </c>
      <c r="D819" s="266">
        <v>500</v>
      </c>
      <c r="E819" s="332"/>
      <c r="F819" s="333"/>
      <c r="G819" s="367">
        <v>1.7600000000000001E-2</v>
      </c>
      <c r="H819" s="157" t="str">
        <f t="shared" si="46"/>
        <v>CZK</v>
      </c>
      <c r="I819" s="334"/>
      <c r="J819" s="335" t="s">
        <v>54</v>
      </c>
      <c r="L819" s="97">
        <f>VLOOKUP(B819,$B$11:B818,1,FALSE)</f>
        <v>13138</v>
      </c>
      <c r="M819" s="317">
        <f>G819*(1-FORM!$AE$28/100)</f>
        <v>1.7600000000000001E-2</v>
      </c>
    </row>
    <row r="820" spans="2:13" hidden="1">
      <c r="B820" s="406">
        <v>13138</v>
      </c>
      <c r="C820" s="265" t="s">
        <v>327</v>
      </c>
      <c r="D820" s="266">
        <v>500</v>
      </c>
      <c r="E820" s="332"/>
      <c r="F820" s="333"/>
      <c r="G820" s="367">
        <v>1.7600000000000001E-2</v>
      </c>
      <c r="H820" s="157" t="str">
        <f t="shared" si="46"/>
        <v>CZK</v>
      </c>
      <c r="I820" s="334"/>
      <c r="J820" s="335" t="s">
        <v>54</v>
      </c>
      <c r="L820" s="97">
        <f>VLOOKUP(B820,$B$11:B819,1,FALSE)</f>
        <v>13138</v>
      </c>
      <c r="M820" s="317">
        <f>G820*(1-FORM!$AE$28/100)</f>
        <v>1.7600000000000001E-2</v>
      </c>
    </row>
    <row r="821" spans="2:13" hidden="1">
      <c r="B821" s="406">
        <v>13138</v>
      </c>
      <c r="C821" s="265" t="s">
        <v>327</v>
      </c>
      <c r="D821" s="266">
        <v>500</v>
      </c>
      <c r="E821" s="332"/>
      <c r="F821" s="333"/>
      <c r="G821" s="367">
        <v>1.7600000000000001E-2</v>
      </c>
      <c r="H821" s="157" t="str">
        <f t="shared" si="46"/>
        <v>CZK</v>
      </c>
      <c r="I821" s="334"/>
      <c r="J821" s="335" t="s">
        <v>54</v>
      </c>
      <c r="L821" s="97">
        <f>VLOOKUP(B821,$B$11:B820,1,FALSE)</f>
        <v>13138</v>
      </c>
      <c r="M821" s="317">
        <f>G821*(1-FORM!$AE$28/100)</f>
        <v>1.7600000000000001E-2</v>
      </c>
    </row>
    <row r="822" spans="2:13" hidden="1">
      <c r="B822" s="406">
        <v>13138</v>
      </c>
      <c r="C822" s="265" t="s">
        <v>327</v>
      </c>
      <c r="D822" s="266">
        <v>500</v>
      </c>
      <c r="E822" s="332"/>
      <c r="F822" s="333"/>
      <c r="G822" s="367">
        <v>1.7600000000000001E-2</v>
      </c>
      <c r="H822" s="157" t="str">
        <f t="shared" si="46"/>
        <v>CZK</v>
      </c>
      <c r="I822" s="334"/>
      <c r="J822" s="335" t="s">
        <v>54</v>
      </c>
      <c r="L822" s="97">
        <f>VLOOKUP(B822,$B$11:B821,1,FALSE)</f>
        <v>13138</v>
      </c>
      <c r="M822" s="317">
        <f>G822*(1-FORM!$AE$28/100)</f>
        <v>1.7600000000000001E-2</v>
      </c>
    </row>
    <row r="823" spans="2:13" hidden="1">
      <c r="B823" s="406">
        <v>13138</v>
      </c>
      <c r="C823" s="265" t="s">
        <v>327</v>
      </c>
      <c r="D823" s="266">
        <v>500</v>
      </c>
      <c r="E823" s="332"/>
      <c r="F823" s="333"/>
      <c r="G823" s="367">
        <v>1.7600000000000001E-2</v>
      </c>
      <c r="H823" s="157" t="str">
        <f t="shared" si="46"/>
        <v>CZK</v>
      </c>
      <c r="I823" s="334"/>
      <c r="J823" s="335" t="s">
        <v>54</v>
      </c>
      <c r="L823" s="97">
        <f>VLOOKUP(B823,$B$11:B822,1,FALSE)</f>
        <v>13138</v>
      </c>
      <c r="M823" s="317">
        <f>G823*(1-FORM!$AE$28/100)</f>
        <v>1.7600000000000001E-2</v>
      </c>
    </row>
    <row r="824" spans="2:13" hidden="1">
      <c r="B824" s="406">
        <v>13138</v>
      </c>
      <c r="C824" s="265" t="s">
        <v>327</v>
      </c>
      <c r="D824" s="266">
        <v>500</v>
      </c>
      <c r="E824" s="332"/>
      <c r="F824" s="333"/>
      <c r="G824" s="367">
        <v>1.7600000000000001E-2</v>
      </c>
      <c r="H824" s="157" t="str">
        <f t="shared" si="46"/>
        <v>CZK</v>
      </c>
      <c r="I824" s="334"/>
      <c r="J824" s="335" t="s">
        <v>54</v>
      </c>
      <c r="L824" s="97">
        <f>VLOOKUP(B824,$B$11:B823,1,FALSE)</f>
        <v>13138</v>
      </c>
      <c r="M824" s="317">
        <f>G824*(1-FORM!$AE$28/100)</f>
        <v>1.7600000000000001E-2</v>
      </c>
    </row>
    <row r="825" spans="2:13" hidden="1">
      <c r="B825" s="406">
        <v>13138</v>
      </c>
      <c r="C825" s="265" t="s">
        <v>327</v>
      </c>
      <c r="D825" s="266">
        <v>500</v>
      </c>
      <c r="E825" s="332"/>
      <c r="F825" s="333"/>
      <c r="G825" s="367">
        <v>1.7600000000000001E-2</v>
      </c>
      <c r="H825" s="157" t="str">
        <f t="shared" si="46"/>
        <v>CZK</v>
      </c>
      <c r="I825" s="334"/>
      <c r="J825" s="335" t="s">
        <v>54</v>
      </c>
      <c r="L825" s="97">
        <f>VLOOKUP(B825,$B$11:B824,1,FALSE)</f>
        <v>13138</v>
      </c>
      <c r="M825" s="317">
        <f>G825*(1-FORM!$AE$28/100)</f>
        <v>1.7600000000000001E-2</v>
      </c>
    </row>
    <row r="826" spans="2:13" hidden="1">
      <c r="B826" s="406">
        <v>13138</v>
      </c>
      <c r="C826" s="265" t="s">
        <v>327</v>
      </c>
      <c r="D826" s="266">
        <v>500</v>
      </c>
      <c r="E826" s="332"/>
      <c r="F826" s="333"/>
      <c r="G826" s="367">
        <v>1.7600000000000001E-2</v>
      </c>
      <c r="H826" s="157" t="str">
        <f t="shared" si="46"/>
        <v>CZK</v>
      </c>
      <c r="I826" s="334"/>
      <c r="J826" s="335" t="s">
        <v>54</v>
      </c>
      <c r="L826" s="97">
        <f>VLOOKUP(B826,$B$11:B825,1,FALSE)</f>
        <v>13138</v>
      </c>
      <c r="M826" s="317">
        <f>G826*(1-FORM!$AE$28/100)</f>
        <v>1.7600000000000001E-2</v>
      </c>
    </row>
    <row r="827" spans="2:13" hidden="1">
      <c r="B827" s="406">
        <v>13138</v>
      </c>
      <c r="C827" s="265" t="s">
        <v>327</v>
      </c>
      <c r="D827" s="266">
        <v>500</v>
      </c>
      <c r="E827" s="332"/>
      <c r="F827" s="333"/>
      <c r="G827" s="367">
        <v>1.7600000000000001E-2</v>
      </c>
      <c r="H827" s="157" t="str">
        <f t="shared" si="46"/>
        <v>CZK</v>
      </c>
      <c r="I827" s="334"/>
      <c r="J827" s="335" t="s">
        <v>54</v>
      </c>
      <c r="L827" s="97">
        <f>VLOOKUP(B827,$B$11:B826,1,FALSE)</f>
        <v>13138</v>
      </c>
      <c r="M827" s="317">
        <f>G827*(1-FORM!$AE$28/100)</f>
        <v>1.7600000000000001E-2</v>
      </c>
    </row>
    <row r="828" spans="2:13" hidden="1">
      <c r="B828" s="406">
        <v>13138</v>
      </c>
      <c r="C828" s="265" t="s">
        <v>327</v>
      </c>
      <c r="D828" s="266">
        <v>500</v>
      </c>
      <c r="E828" s="332"/>
      <c r="F828" s="333"/>
      <c r="G828" s="367">
        <v>1.7600000000000001E-2</v>
      </c>
      <c r="H828" s="157" t="str">
        <f t="shared" si="46"/>
        <v>CZK</v>
      </c>
      <c r="I828" s="334"/>
      <c r="J828" s="335" t="s">
        <v>54</v>
      </c>
      <c r="L828" s="97">
        <f>VLOOKUP(B828,$B$11:B827,1,FALSE)</f>
        <v>13138</v>
      </c>
      <c r="M828" s="317">
        <f>G828*(1-FORM!$AE$28/100)</f>
        <v>1.7600000000000001E-2</v>
      </c>
    </row>
    <row r="829" spans="2:13" hidden="1">
      <c r="B829" s="406">
        <v>13138</v>
      </c>
      <c r="C829" s="265" t="s">
        <v>327</v>
      </c>
      <c r="D829" s="266">
        <v>500</v>
      </c>
      <c r="E829" s="332"/>
      <c r="F829" s="333"/>
      <c r="G829" s="367">
        <v>1.7600000000000001E-2</v>
      </c>
      <c r="H829" s="157" t="str">
        <f t="shared" si="46"/>
        <v>CZK</v>
      </c>
      <c r="I829" s="334"/>
      <c r="J829" s="335" t="s">
        <v>54</v>
      </c>
      <c r="L829" s="97">
        <f>VLOOKUP(B829,$B$11:B828,1,FALSE)</f>
        <v>13138</v>
      </c>
      <c r="M829" s="317">
        <f>G829*(1-FORM!$AE$28/100)</f>
        <v>1.7600000000000001E-2</v>
      </c>
    </row>
    <row r="830" spans="2:13" hidden="1">
      <c r="B830" s="406">
        <v>13138</v>
      </c>
      <c r="C830" s="265" t="s">
        <v>327</v>
      </c>
      <c r="D830" s="266">
        <v>500</v>
      </c>
      <c r="E830" s="332"/>
      <c r="F830" s="333"/>
      <c r="G830" s="367">
        <v>1.7600000000000001E-2</v>
      </c>
      <c r="H830" s="157" t="str">
        <f t="shared" si="46"/>
        <v>CZK</v>
      </c>
      <c r="I830" s="334"/>
      <c r="J830" s="335" t="s">
        <v>54</v>
      </c>
      <c r="L830" s="97">
        <f>VLOOKUP(B830,$B$11:B829,1,FALSE)</f>
        <v>13138</v>
      </c>
      <c r="M830" s="317">
        <f>G830*(1-FORM!$AE$28/100)</f>
        <v>1.7600000000000001E-2</v>
      </c>
    </row>
    <row r="831" spans="2:13" hidden="1">
      <c r="B831" s="406">
        <v>13138</v>
      </c>
      <c r="C831" s="265" t="s">
        <v>327</v>
      </c>
      <c r="D831" s="266">
        <v>500</v>
      </c>
      <c r="E831" s="332"/>
      <c r="F831" s="333"/>
      <c r="G831" s="367">
        <v>1.7600000000000001E-2</v>
      </c>
      <c r="H831" s="157" t="str">
        <f t="shared" si="46"/>
        <v>CZK</v>
      </c>
      <c r="I831" s="334"/>
      <c r="J831" s="335" t="s">
        <v>54</v>
      </c>
      <c r="L831" s="97">
        <f>VLOOKUP(B831,$B$11:B830,1,FALSE)</f>
        <v>13138</v>
      </c>
      <c r="M831" s="317">
        <f>G831*(1-FORM!$AE$28/100)</f>
        <v>1.7600000000000001E-2</v>
      </c>
    </row>
    <row r="832" spans="2:13" hidden="1">
      <c r="B832" s="406">
        <v>13138</v>
      </c>
      <c r="C832" s="265" t="s">
        <v>327</v>
      </c>
      <c r="D832" s="266">
        <v>500</v>
      </c>
      <c r="E832" s="332"/>
      <c r="F832" s="333"/>
      <c r="G832" s="367">
        <v>1.7600000000000001E-2</v>
      </c>
      <c r="H832" s="157" t="str">
        <f t="shared" si="46"/>
        <v>CZK</v>
      </c>
      <c r="I832" s="334"/>
      <c r="J832" s="335" t="s">
        <v>54</v>
      </c>
      <c r="L832" s="97">
        <f>VLOOKUP(B832,$B$11:B831,1,FALSE)</f>
        <v>13138</v>
      </c>
      <c r="M832" s="317">
        <f>G832*(1-FORM!$AE$28/100)</f>
        <v>1.7600000000000001E-2</v>
      </c>
    </row>
    <row r="833" spans="2:13" hidden="1">
      <c r="B833" s="406">
        <v>13138</v>
      </c>
      <c r="C833" s="265" t="s">
        <v>327</v>
      </c>
      <c r="D833" s="266">
        <v>500</v>
      </c>
      <c r="E833" s="332"/>
      <c r="F833" s="333"/>
      <c r="G833" s="367">
        <v>1.7600000000000001E-2</v>
      </c>
      <c r="H833" s="157" t="str">
        <f t="shared" si="46"/>
        <v>CZK</v>
      </c>
      <c r="I833" s="334"/>
      <c r="J833" s="335" t="s">
        <v>54</v>
      </c>
      <c r="L833" s="97">
        <f>VLOOKUP(B833,$B$11:B832,1,FALSE)</f>
        <v>13138</v>
      </c>
      <c r="M833" s="317">
        <f>G833*(1-FORM!$AE$28/100)</f>
        <v>1.7600000000000001E-2</v>
      </c>
    </row>
    <row r="834" spans="2:13" hidden="1">
      <c r="B834" s="406">
        <v>13138</v>
      </c>
      <c r="C834" s="265" t="s">
        <v>327</v>
      </c>
      <c r="D834" s="266">
        <v>500</v>
      </c>
      <c r="E834" s="332"/>
      <c r="F834" s="333"/>
      <c r="G834" s="367">
        <v>1.7600000000000001E-2</v>
      </c>
      <c r="H834" s="157" t="str">
        <f t="shared" si="46"/>
        <v>CZK</v>
      </c>
      <c r="I834" s="334"/>
      <c r="J834" s="335" t="s">
        <v>54</v>
      </c>
      <c r="L834" s="97">
        <f>VLOOKUP(B834,$B$11:B833,1,FALSE)</f>
        <v>13138</v>
      </c>
      <c r="M834" s="317">
        <f>G834*(1-FORM!$AE$28/100)</f>
        <v>1.7600000000000001E-2</v>
      </c>
    </row>
    <row r="835" spans="2:13" hidden="1">
      <c r="B835" s="406">
        <v>13138</v>
      </c>
      <c r="C835" s="265" t="s">
        <v>327</v>
      </c>
      <c r="D835" s="266">
        <v>500</v>
      </c>
      <c r="E835" s="332"/>
      <c r="F835" s="333"/>
      <c r="G835" s="367">
        <v>1.7600000000000001E-2</v>
      </c>
      <c r="H835" s="157" t="str">
        <f t="shared" si="46"/>
        <v>CZK</v>
      </c>
      <c r="I835" s="334"/>
      <c r="J835" s="335" t="s">
        <v>54</v>
      </c>
      <c r="L835" s="97">
        <f>VLOOKUP(B835,$B$11:B834,1,FALSE)</f>
        <v>13138</v>
      </c>
      <c r="M835" s="317">
        <f>G835*(1-FORM!$AE$28/100)</f>
        <v>1.7600000000000001E-2</v>
      </c>
    </row>
    <row r="836" spans="2:13" hidden="1">
      <c r="B836" s="406">
        <v>13138</v>
      </c>
      <c r="C836" s="265" t="s">
        <v>327</v>
      </c>
      <c r="D836" s="266">
        <v>500</v>
      </c>
      <c r="E836" s="332"/>
      <c r="F836" s="333"/>
      <c r="G836" s="367">
        <v>1.7600000000000001E-2</v>
      </c>
      <c r="H836" s="157" t="str">
        <f t="shared" si="46"/>
        <v>CZK</v>
      </c>
      <c r="I836" s="334"/>
      <c r="J836" s="335" t="s">
        <v>54</v>
      </c>
      <c r="L836" s="97">
        <f>VLOOKUP(B836,$B$11:B835,1,FALSE)</f>
        <v>13138</v>
      </c>
      <c r="M836" s="317">
        <f>G836*(1-FORM!$AE$28/100)</f>
        <v>1.7600000000000001E-2</v>
      </c>
    </row>
    <row r="837" spans="2:13" hidden="1">
      <c r="B837" s="406">
        <v>13138</v>
      </c>
      <c r="C837" s="265" t="s">
        <v>327</v>
      </c>
      <c r="D837" s="266">
        <v>500</v>
      </c>
      <c r="E837" s="332"/>
      <c r="F837" s="333"/>
      <c r="G837" s="367">
        <v>1.7600000000000001E-2</v>
      </c>
      <c r="H837" s="157" t="str">
        <f t="shared" si="46"/>
        <v>CZK</v>
      </c>
      <c r="I837" s="334"/>
      <c r="J837" s="335" t="s">
        <v>54</v>
      </c>
      <c r="L837" s="97">
        <f>VLOOKUP(B837,$B$11:B836,1,FALSE)</f>
        <v>13138</v>
      </c>
      <c r="M837" s="317">
        <f>G837*(1-FORM!$AE$28/100)</f>
        <v>1.7600000000000001E-2</v>
      </c>
    </row>
    <row r="838" spans="2:13" hidden="1">
      <c r="B838" s="406">
        <v>13138</v>
      </c>
      <c r="C838" s="265" t="s">
        <v>327</v>
      </c>
      <c r="D838" s="266">
        <v>500</v>
      </c>
      <c r="E838" s="332"/>
      <c r="F838" s="333"/>
      <c r="G838" s="367">
        <v>1.7600000000000001E-2</v>
      </c>
      <c r="H838" s="157" t="str">
        <f t="shared" si="46"/>
        <v>CZK</v>
      </c>
      <c r="I838" s="334"/>
      <c r="J838" s="335" t="s">
        <v>54</v>
      </c>
      <c r="L838" s="97">
        <f>VLOOKUP(B838,$B$11:B837,1,FALSE)</f>
        <v>13138</v>
      </c>
      <c r="M838" s="317">
        <f>G838*(1-FORM!$AE$28/100)</f>
        <v>1.7600000000000001E-2</v>
      </c>
    </row>
    <row r="839" spans="2:13" hidden="1">
      <c r="B839" s="406">
        <v>13138</v>
      </c>
      <c r="C839" s="265" t="s">
        <v>327</v>
      </c>
      <c r="D839" s="266">
        <v>500</v>
      </c>
      <c r="E839" s="332"/>
      <c r="F839" s="333"/>
      <c r="G839" s="367">
        <v>1.7600000000000001E-2</v>
      </c>
      <c r="H839" s="157" t="str">
        <f t="shared" si="46"/>
        <v>CZK</v>
      </c>
      <c r="I839" s="334"/>
      <c r="J839" s="335" t="s">
        <v>54</v>
      </c>
      <c r="L839" s="97">
        <f>VLOOKUP(B839,$B$11:B838,1,FALSE)</f>
        <v>13138</v>
      </c>
      <c r="M839" s="317">
        <f>G839*(1-FORM!$AE$28/100)</f>
        <v>1.7600000000000001E-2</v>
      </c>
    </row>
    <row r="840" spans="2:13" hidden="1">
      <c r="B840" s="406">
        <v>13138</v>
      </c>
      <c r="C840" s="265" t="s">
        <v>327</v>
      </c>
      <c r="D840" s="266">
        <v>500</v>
      </c>
      <c r="E840" s="332"/>
      <c r="F840" s="333"/>
      <c r="G840" s="367">
        <v>1.7600000000000001E-2</v>
      </c>
      <c r="H840" s="157" t="str">
        <f t="shared" si="46"/>
        <v>CZK</v>
      </c>
      <c r="I840" s="334"/>
      <c r="J840" s="335" t="s">
        <v>54</v>
      </c>
      <c r="L840" s="97">
        <f>VLOOKUP(B840,$B$11:B839,1,FALSE)</f>
        <v>13138</v>
      </c>
      <c r="M840" s="317">
        <f>G840*(1-FORM!$AE$28/100)</f>
        <v>1.7600000000000001E-2</v>
      </c>
    </row>
    <row r="841" spans="2:13" hidden="1">
      <c r="B841" s="406">
        <v>13138</v>
      </c>
      <c r="C841" s="265" t="s">
        <v>327</v>
      </c>
      <c r="D841" s="266">
        <v>500</v>
      </c>
      <c r="E841" s="332"/>
      <c r="F841" s="333"/>
      <c r="G841" s="367">
        <v>1.7600000000000001E-2</v>
      </c>
      <c r="H841" s="157" t="str">
        <f t="shared" ref="H841:H904" si="47">IF(G841="","",$H$10)</f>
        <v>CZK</v>
      </c>
      <c r="I841" s="334"/>
      <c r="J841" s="335" t="s">
        <v>54</v>
      </c>
      <c r="L841" s="97">
        <f>VLOOKUP(B841,$B$11:B840,1,FALSE)</f>
        <v>13138</v>
      </c>
      <c r="M841" s="317">
        <f>G841*(1-FORM!$AE$28/100)</f>
        <v>1.7600000000000001E-2</v>
      </c>
    </row>
    <row r="842" spans="2:13" hidden="1">
      <c r="B842" s="406">
        <v>13138</v>
      </c>
      <c r="C842" s="265" t="s">
        <v>327</v>
      </c>
      <c r="D842" s="266">
        <v>500</v>
      </c>
      <c r="E842" s="332"/>
      <c r="F842" s="333"/>
      <c r="G842" s="367">
        <v>1.7600000000000001E-2</v>
      </c>
      <c r="H842" s="157" t="str">
        <f t="shared" si="47"/>
        <v>CZK</v>
      </c>
      <c r="I842" s="334"/>
      <c r="J842" s="335" t="s">
        <v>54</v>
      </c>
      <c r="L842" s="97">
        <f>VLOOKUP(B842,$B$11:B841,1,FALSE)</f>
        <v>13138</v>
      </c>
      <c r="M842" s="317">
        <f>G842*(1-FORM!$AE$28/100)</f>
        <v>1.7600000000000001E-2</v>
      </c>
    </row>
    <row r="843" spans="2:13" hidden="1">
      <c r="B843" s="406">
        <v>13138</v>
      </c>
      <c r="C843" s="265" t="s">
        <v>327</v>
      </c>
      <c r="D843" s="266">
        <v>500</v>
      </c>
      <c r="E843" s="332"/>
      <c r="F843" s="333"/>
      <c r="G843" s="367">
        <v>1.7600000000000001E-2</v>
      </c>
      <c r="H843" s="157" t="str">
        <f t="shared" si="47"/>
        <v>CZK</v>
      </c>
      <c r="I843" s="334"/>
      <c r="J843" s="335" t="s">
        <v>54</v>
      </c>
      <c r="L843" s="97">
        <f>VLOOKUP(B843,$B$11:B842,1,FALSE)</f>
        <v>13138</v>
      </c>
      <c r="M843" s="317">
        <f>G843*(1-FORM!$AE$28/100)</f>
        <v>1.7600000000000001E-2</v>
      </c>
    </row>
    <row r="844" spans="2:13" hidden="1">
      <c r="B844" s="406">
        <v>13138</v>
      </c>
      <c r="C844" s="265" t="s">
        <v>327</v>
      </c>
      <c r="D844" s="266">
        <v>500</v>
      </c>
      <c r="E844" s="332"/>
      <c r="F844" s="333"/>
      <c r="G844" s="367">
        <v>1.7600000000000001E-2</v>
      </c>
      <c r="H844" s="157" t="str">
        <f t="shared" si="47"/>
        <v>CZK</v>
      </c>
      <c r="I844" s="334"/>
      <c r="J844" s="335" t="s">
        <v>54</v>
      </c>
      <c r="L844" s="97">
        <f>VLOOKUP(B844,$B$11:B843,1,FALSE)</f>
        <v>13138</v>
      </c>
      <c r="M844" s="317">
        <f>G844*(1-FORM!$AE$28/100)</f>
        <v>1.7600000000000001E-2</v>
      </c>
    </row>
    <row r="845" spans="2:13" hidden="1">
      <c r="B845" s="406">
        <v>13138</v>
      </c>
      <c r="C845" s="265" t="s">
        <v>327</v>
      </c>
      <c r="D845" s="266">
        <v>500</v>
      </c>
      <c r="E845" s="332"/>
      <c r="F845" s="333"/>
      <c r="G845" s="367">
        <v>1.7600000000000001E-2</v>
      </c>
      <c r="H845" s="157" t="str">
        <f t="shared" si="47"/>
        <v>CZK</v>
      </c>
      <c r="I845" s="334"/>
      <c r="J845" s="335" t="s">
        <v>54</v>
      </c>
      <c r="L845" s="97">
        <f>VLOOKUP(B845,$B$11:B844,1,FALSE)</f>
        <v>13138</v>
      </c>
      <c r="M845" s="317">
        <f>G845*(1-FORM!$AE$28/100)</f>
        <v>1.7600000000000001E-2</v>
      </c>
    </row>
    <row r="846" spans="2:13" hidden="1">
      <c r="B846" s="406">
        <v>13138</v>
      </c>
      <c r="C846" s="265" t="s">
        <v>327</v>
      </c>
      <c r="D846" s="266">
        <v>500</v>
      </c>
      <c r="E846" s="332"/>
      <c r="F846" s="333"/>
      <c r="G846" s="367">
        <v>1.7600000000000001E-2</v>
      </c>
      <c r="H846" s="157" t="str">
        <f t="shared" si="47"/>
        <v>CZK</v>
      </c>
      <c r="I846" s="334"/>
      <c r="J846" s="335" t="s">
        <v>54</v>
      </c>
      <c r="L846" s="97">
        <f>VLOOKUP(B846,$B$11:B845,1,FALSE)</f>
        <v>13138</v>
      </c>
      <c r="M846" s="317">
        <f>G846*(1-FORM!$AE$28/100)</f>
        <v>1.7600000000000001E-2</v>
      </c>
    </row>
    <row r="847" spans="2:13" hidden="1">
      <c r="B847" s="406">
        <v>13138</v>
      </c>
      <c r="C847" s="265" t="s">
        <v>327</v>
      </c>
      <c r="D847" s="266">
        <v>500</v>
      </c>
      <c r="E847" s="332"/>
      <c r="F847" s="333"/>
      <c r="G847" s="367">
        <v>1.7600000000000001E-2</v>
      </c>
      <c r="H847" s="157" t="str">
        <f t="shared" si="47"/>
        <v>CZK</v>
      </c>
      <c r="I847" s="334"/>
      <c r="J847" s="335" t="s">
        <v>54</v>
      </c>
      <c r="L847" s="97">
        <f>VLOOKUP(B847,$B$11:B846,1,FALSE)</f>
        <v>13138</v>
      </c>
      <c r="M847" s="317">
        <f>G847*(1-FORM!$AE$28/100)</f>
        <v>1.7600000000000001E-2</v>
      </c>
    </row>
    <row r="848" spans="2:13" hidden="1">
      <c r="B848" s="406">
        <v>13138</v>
      </c>
      <c r="C848" s="265" t="s">
        <v>327</v>
      </c>
      <c r="D848" s="266">
        <v>500</v>
      </c>
      <c r="E848" s="332"/>
      <c r="F848" s="333"/>
      <c r="G848" s="367">
        <v>1.7600000000000001E-2</v>
      </c>
      <c r="H848" s="157" t="str">
        <f t="shared" si="47"/>
        <v>CZK</v>
      </c>
      <c r="I848" s="334"/>
      <c r="J848" s="335" t="s">
        <v>54</v>
      </c>
      <c r="L848" s="97">
        <f>VLOOKUP(B848,$B$11:B847,1,FALSE)</f>
        <v>13138</v>
      </c>
      <c r="M848" s="317">
        <f>G848*(1-FORM!$AE$28/100)</f>
        <v>1.7600000000000001E-2</v>
      </c>
    </row>
    <row r="849" spans="2:13" hidden="1">
      <c r="B849" s="406">
        <v>13138</v>
      </c>
      <c r="C849" s="265" t="s">
        <v>327</v>
      </c>
      <c r="D849" s="266">
        <v>500</v>
      </c>
      <c r="E849" s="332"/>
      <c r="F849" s="333"/>
      <c r="G849" s="367">
        <v>1.7600000000000001E-2</v>
      </c>
      <c r="H849" s="157" t="str">
        <f t="shared" si="47"/>
        <v>CZK</v>
      </c>
      <c r="I849" s="334"/>
      <c r="J849" s="335" t="s">
        <v>54</v>
      </c>
      <c r="L849" s="97">
        <f>VLOOKUP(B849,$B$11:B848,1,FALSE)</f>
        <v>13138</v>
      </c>
      <c r="M849" s="317">
        <f>G849*(1-FORM!$AE$28/100)</f>
        <v>1.7600000000000001E-2</v>
      </c>
    </row>
    <row r="850" spans="2:13" hidden="1">
      <c r="B850" s="406">
        <v>13138</v>
      </c>
      <c r="C850" s="265" t="s">
        <v>327</v>
      </c>
      <c r="D850" s="266">
        <v>500</v>
      </c>
      <c r="E850" s="332"/>
      <c r="F850" s="333"/>
      <c r="G850" s="367">
        <v>1.7600000000000001E-2</v>
      </c>
      <c r="H850" s="157" t="str">
        <f t="shared" si="47"/>
        <v>CZK</v>
      </c>
      <c r="I850" s="334"/>
      <c r="J850" s="335" t="s">
        <v>54</v>
      </c>
      <c r="L850" s="97">
        <f>VLOOKUP(B850,$B$11:B849,1,FALSE)</f>
        <v>13138</v>
      </c>
      <c r="M850" s="317">
        <f>G850*(1-FORM!$AE$28/100)</f>
        <v>1.7600000000000001E-2</v>
      </c>
    </row>
    <row r="851" spans="2:13" hidden="1">
      <c r="B851" s="406">
        <v>13138</v>
      </c>
      <c r="C851" s="265" t="s">
        <v>327</v>
      </c>
      <c r="D851" s="266">
        <v>500</v>
      </c>
      <c r="E851" s="332"/>
      <c r="F851" s="333"/>
      <c r="G851" s="367">
        <v>1.7600000000000001E-2</v>
      </c>
      <c r="H851" s="157" t="str">
        <f t="shared" si="47"/>
        <v>CZK</v>
      </c>
      <c r="I851" s="334"/>
      <c r="J851" s="335" t="s">
        <v>54</v>
      </c>
      <c r="L851" s="97">
        <f>VLOOKUP(B851,$B$11:B850,1,FALSE)</f>
        <v>13138</v>
      </c>
      <c r="M851" s="317">
        <f>G851*(1-FORM!$AE$28/100)</f>
        <v>1.7600000000000001E-2</v>
      </c>
    </row>
    <row r="852" spans="2:13" hidden="1">
      <c r="B852" s="406">
        <v>13138</v>
      </c>
      <c r="C852" s="265" t="s">
        <v>327</v>
      </c>
      <c r="D852" s="266">
        <v>500</v>
      </c>
      <c r="E852" s="332"/>
      <c r="F852" s="333"/>
      <c r="G852" s="367">
        <v>1.7600000000000001E-2</v>
      </c>
      <c r="H852" s="157" t="str">
        <f t="shared" si="47"/>
        <v>CZK</v>
      </c>
      <c r="I852" s="334"/>
      <c r="J852" s="335" t="s">
        <v>54</v>
      </c>
      <c r="L852" s="97">
        <f>VLOOKUP(B852,$B$11:B851,1,FALSE)</f>
        <v>13138</v>
      </c>
      <c r="M852" s="317">
        <f>G852*(1-FORM!$AE$28/100)</f>
        <v>1.7600000000000001E-2</v>
      </c>
    </row>
    <row r="853" spans="2:13" hidden="1">
      <c r="B853" s="406">
        <v>13138</v>
      </c>
      <c r="C853" s="265" t="s">
        <v>327</v>
      </c>
      <c r="D853" s="266">
        <v>500</v>
      </c>
      <c r="E853" s="332"/>
      <c r="F853" s="333"/>
      <c r="G853" s="367">
        <v>1.7600000000000001E-2</v>
      </c>
      <c r="H853" s="157" t="str">
        <f t="shared" si="47"/>
        <v>CZK</v>
      </c>
      <c r="I853" s="334"/>
      <c r="J853" s="335" t="s">
        <v>54</v>
      </c>
      <c r="L853" s="97">
        <f>VLOOKUP(B853,$B$11:B852,1,FALSE)</f>
        <v>13138</v>
      </c>
      <c r="M853" s="317">
        <f>G853*(1-FORM!$AE$28/100)</f>
        <v>1.7600000000000001E-2</v>
      </c>
    </row>
    <row r="854" spans="2:13" hidden="1">
      <c r="B854" s="406">
        <v>13138</v>
      </c>
      <c r="C854" s="265" t="s">
        <v>327</v>
      </c>
      <c r="D854" s="266">
        <v>500</v>
      </c>
      <c r="E854" s="332"/>
      <c r="F854" s="333"/>
      <c r="G854" s="367">
        <v>1.7600000000000001E-2</v>
      </c>
      <c r="H854" s="157" t="str">
        <f t="shared" si="47"/>
        <v>CZK</v>
      </c>
      <c r="I854" s="334"/>
      <c r="J854" s="335" t="s">
        <v>54</v>
      </c>
      <c r="L854" s="97">
        <f>VLOOKUP(B854,$B$11:B853,1,FALSE)</f>
        <v>13138</v>
      </c>
      <c r="M854" s="317">
        <f>G854*(1-FORM!$AE$28/100)</f>
        <v>1.7600000000000001E-2</v>
      </c>
    </row>
    <row r="855" spans="2:13" hidden="1">
      <c r="B855" s="406">
        <v>13138</v>
      </c>
      <c r="C855" s="265" t="s">
        <v>327</v>
      </c>
      <c r="D855" s="266">
        <v>500</v>
      </c>
      <c r="E855" s="332"/>
      <c r="F855" s="333"/>
      <c r="G855" s="367">
        <v>1.7600000000000001E-2</v>
      </c>
      <c r="H855" s="157" t="str">
        <f t="shared" si="47"/>
        <v>CZK</v>
      </c>
      <c r="I855" s="334"/>
      <c r="J855" s="335" t="s">
        <v>54</v>
      </c>
      <c r="L855" s="97">
        <f>VLOOKUP(B855,$B$11:B854,1,FALSE)</f>
        <v>13138</v>
      </c>
      <c r="M855" s="317">
        <f>G855*(1-FORM!$AE$28/100)</f>
        <v>1.7600000000000001E-2</v>
      </c>
    </row>
    <row r="856" spans="2:13" hidden="1">
      <c r="B856" s="406">
        <v>13138</v>
      </c>
      <c r="C856" s="265" t="s">
        <v>327</v>
      </c>
      <c r="D856" s="266">
        <v>500</v>
      </c>
      <c r="E856" s="332"/>
      <c r="F856" s="333"/>
      <c r="G856" s="367">
        <v>1.7600000000000001E-2</v>
      </c>
      <c r="H856" s="157" t="str">
        <f t="shared" si="47"/>
        <v>CZK</v>
      </c>
      <c r="I856" s="334"/>
      <c r="J856" s="335" t="s">
        <v>54</v>
      </c>
      <c r="L856" s="97">
        <f>VLOOKUP(B856,$B$11:B855,1,FALSE)</f>
        <v>13138</v>
      </c>
      <c r="M856" s="317">
        <f>G856*(1-FORM!$AE$28/100)</f>
        <v>1.7600000000000001E-2</v>
      </c>
    </row>
    <row r="857" spans="2:13" hidden="1">
      <c r="B857" s="406">
        <v>13138</v>
      </c>
      <c r="C857" s="265" t="s">
        <v>327</v>
      </c>
      <c r="D857" s="266">
        <v>500</v>
      </c>
      <c r="E857" s="332"/>
      <c r="F857" s="333"/>
      <c r="G857" s="367">
        <v>1.7600000000000001E-2</v>
      </c>
      <c r="H857" s="157" t="str">
        <f t="shared" si="47"/>
        <v>CZK</v>
      </c>
      <c r="I857" s="334"/>
      <c r="J857" s="335" t="s">
        <v>54</v>
      </c>
      <c r="L857" s="97">
        <f>VLOOKUP(B857,$B$11:B856,1,FALSE)</f>
        <v>13138</v>
      </c>
      <c r="M857" s="317">
        <f>G857*(1-FORM!$AE$28/100)</f>
        <v>1.7600000000000001E-2</v>
      </c>
    </row>
    <row r="858" spans="2:13" hidden="1">
      <c r="B858" s="406">
        <v>13138</v>
      </c>
      <c r="C858" s="265" t="s">
        <v>327</v>
      </c>
      <c r="D858" s="266">
        <v>500</v>
      </c>
      <c r="E858" s="332"/>
      <c r="F858" s="333"/>
      <c r="G858" s="367">
        <v>1.7600000000000001E-2</v>
      </c>
      <c r="H858" s="157" t="str">
        <f t="shared" si="47"/>
        <v>CZK</v>
      </c>
      <c r="I858" s="334"/>
      <c r="J858" s="335" t="s">
        <v>54</v>
      </c>
      <c r="L858" s="97">
        <f>VLOOKUP(B858,$B$11:B857,1,FALSE)</f>
        <v>13138</v>
      </c>
      <c r="M858" s="317">
        <f>G858*(1-FORM!$AE$28/100)</f>
        <v>1.7600000000000001E-2</v>
      </c>
    </row>
    <row r="859" spans="2:13" hidden="1">
      <c r="B859" s="406">
        <v>13138</v>
      </c>
      <c r="C859" s="265" t="s">
        <v>327</v>
      </c>
      <c r="D859" s="266">
        <v>500</v>
      </c>
      <c r="E859" s="332"/>
      <c r="F859" s="333"/>
      <c r="G859" s="367">
        <v>1.7600000000000001E-2</v>
      </c>
      <c r="H859" s="157" t="str">
        <f t="shared" si="47"/>
        <v>CZK</v>
      </c>
      <c r="I859" s="334"/>
      <c r="J859" s="335" t="s">
        <v>54</v>
      </c>
      <c r="L859" s="97">
        <f>VLOOKUP(B859,$B$11:B858,1,FALSE)</f>
        <v>13138</v>
      </c>
      <c r="M859" s="317">
        <f>G859*(1-FORM!$AE$28/100)</f>
        <v>1.7600000000000001E-2</v>
      </c>
    </row>
    <row r="860" spans="2:13" hidden="1">
      <c r="B860" s="406">
        <v>13138</v>
      </c>
      <c r="C860" s="265" t="s">
        <v>327</v>
      </c>
      <c r="D860" s="266">
        <v>500</v>
      </c>
      <c r="E860" s="332"/>
      <c r="F860" s="333"/>
      <c r="G860" s="367">
        <v>1.7600000000000001E-2</v>
      </c>
      <c r="H860" s="157" t="str">
        <f t="shared" si="47"/>
        <v>CZK</v>
      </c>
      <c r="I860" s="334"/>
      <c r="J860" s="335" t="s">
        <v>54</v>
      </c>
      <c r="L860" s="97">
        <f>VLOOKUP(B860,$B$11:B859,1,FALSE)</f>
        <v>13138</v>
      </c>
      <c r="M860" s="317">
        <f>G860*(1-FORM!$AE$28/100)</f>
        <v>1.7600000000000001E-2</v>
      </c>
    </row>
    <row r="861" spans="2:13" hidden="1">
      <c r="B861" s="406">
        <v>13138</v>
      </c>
      <c r="C861" s="265" t="s">
        <v>327</v>
      </c>
      <c r="D861" s="266">
        <v>500</v>
      </c>
      <c r="E861" s="332"/>
      <c r="F861" s="333"/>
      <c r="G861" s="367">
        <v>1.7600000000000001E-2</v>
      </c>
      <c r="H861" s="157" t="str">
        <f t="shared" si="47"/>
        <v>CZK</v>
      </c>
      <c r="I861" s="334"/>
      <c r="J861" s="335" t="s">
        <v>54</v>
      </c>
      <c r="L861" s="97">
        <f>VLOOKUP(B861,$B$11:B860,1,FALSE)</f>
        <v>13138</v>
      </c>
      <c r="M861" s="317">
        <f>G861*(1-FORM!$AE$28/100)</f>
        <v>1.7600000000000001E-2</v>
      </c>
    </row>
    <row r="862" spans="2:13" hidden="1">
      <c r="B862" s="406">
        <v>13138</v>
      </c>
      <c r="C862" s="265" t="s">
        <v>327</v>
      </c>
      <c r="D862" s="266">
        <v>500</v>
      </c>
      <c r="E862" s="332"/>
      <c r="F862" s="333"/>
      <c r="G862" s="367">
        <v>1.7600000000000001E-2</v>
      </c>
      <c r="H862" s="157" t="str">
        <f t="shared" si="47"/>
        <v>CZK</v>
      </c>
      <c r="I862" s="334"/>
      <c r="J862" s="335" t="s">
        <v>54</v>
      </c>
      <c r="L862" s="97">
        <f>VLOOKUP(B862,$B$11:B861,1,FALSE)</f>
        <v>13138</v>
      </c>
      <c r="M862" s="317">
        <f>G862*(1-FORM!$AE$28/100)</f>
        <v>1.7600000000000001E-2</v>
      </c>
    </row>
    <row r="863" spans="2:13" hidden="1">
      <c r="B863" s="406">
        <v>13138</v>
      </c>
      <c r="C863" s="265" t="s">
        <v>327</v>
      </c>
      <c r="D863" s="266">
        <v>500</v>
      </c>
      <c r="E863" s="332"/>
      <c r="F863" s="333"/>
      <c r="G863" s="367">
        <v>1.7600000000000001E-2</v>
      </c>
      <c r="H863" s="157" t="str">
        <f t="shared" si="47"/>
        <v>CZK</v>
      </c>
      <c r="I863" s="334"/>
      <c r="J863" s="335" t="s">
        <v>54</v>
      </c>
      <c r="L863" s="97">
        <f>VLOOKUP(B863,$B$11:B862,1,FALSE)</f>
        <v>13138</v>
      </c>
      <c r="M863" s="317">
        <f>G863*(1-FORM!$AE$28/100)</f>
        <v>1.7600000000000001E-2</v>
      </c>
    </row>
    <row r="864" spans="2:13" hidden="1">
      <c r="B864" s="406">
        <v>13138</v>
      </c>
      <c r="C864" s="265" t="s">
        <v>327</v>
      </c>
      <c r="D864" s="266">
        <v>500</v>
      </c>
      <c r="E864" s="332"/>
      <c r="F864" s="333"/>
      <c r="G864" s="367">
        <v>1.7600000000000001E-2</v>
      </c>
      <c r="H864" s="157" t="str">
        <f t="shared" si="47"/>
        <v>CZK</v>
      </c>
      <c r="I864" s="334"/>
      <c r="J864" s="335" t="s">
        <v>54</v>
      </c>
      <c r="L864" s="97">
        <f>VLOOKUP(B864,$B$11:B863,1,FALSE)</f>
        <v>13138</v>
      </c>
      <c r="M864" s="317">
        <f>G864*(1-FORM!$AE$28/100)</f>
        <v>1.7600000000000001E-2</v>
      </c>
    </row>
    <row r="865" spans="2:13" hidden="1">
      <c r="B865" s="406">
        <v>13138</v>
      </c>
      <c r="C865" s="265" t="s">
        <v>327</v>
      </c>
      <c r="D865" s="266">
        <v>500</v>
      </c>
      <c r="E865" s="332"/>
      <c r="F865" s="333"/>
      <c r="G865" s="367">
        <v>1.7600000000000001E-2</v>
      </c>
      <c r="H865" s="157" t="str">
        <f t="shared" si="47"/>
        <v>CZK</v>
      </c>
      <c r="I865" s="334"/>
      <c r="J865" s="335" t="s">
        <v>54</v>
      </c>
      <c r="L865" s="97">
        <f>VLOOKUP(B865,$B$11:B864,1,FALSE)</f>
        <v>13138</v>
      </c>
      <c r="M865" s="317">
        <f>G865*(1-FORM!$AE$28/100)</f>
        <v>1.7600000000000001E-2</v>
      </c>
    </row>
    <row r="866" spans="2:13" hidden="1">
      <c r="B866" s="406">
        <v>13138</v>
      </c>
      <c r="C866" s="265" t="s">
        <v>327</v>
      </c>
      <c r="D866" s="266">
        <v>500</v>
      </c>
      <c r="E866" s="332"/>
      <c r="F866" s="333"/>
      <c r="G866" s="367">
        <v>1.7600000000000001E-2</v>
      </c>
      <c r="H866" s="157" t="str">
        <f t="shared" si="47"/>
        <v>CZK</v>
      </c>
      <c r="I866" s="334"/>
      <c r="J866" s="335" t="s">
        <v>54</v>
      </c>
      <c r="L866" s="97">
        <f>VLOOKUP(B866,$B$11:B865,1,FALSE)</f>
        <v>13138</v>
      </c>
      <c r="M866" s="317">
        <f>G866*(1-FORM!$AE$28/100)</f>
        <v>1.7600000000000001E-2</v>
      </c>
    </row>
    <row r="867" spans="2:13" hidden="1">
      <c r="B867" s="406">
        <v>13138</v>
      </c>
      <c r="C867" s="265" t="s">
        <v>327</v>
      </c>
      <c r="D867" s="266">
        <v>500</v>
      </c>
      <c r="E867" s="332"/>
      <c r="F867" s="333"/>
      <c r="G867" s="367">
        <v>1.7600000000000001E-2</v>
      </c>
      <c r="H867" s="157" t="str">
        <f t="shared" si="47"/>
        <v>CZK</v>
      </c>
      <c r="I867" s="334"/>
      <c r="J867" s="335" t="s">
        <v>54</v>
      </c>
      <c r="L867" s="97">
        <f>VLOOKUP(B867,$B$11:B866,1,FALSE)</f>
        <v>13138</v>
      </c>
      <c r="M867" s="317">
        <f>G867*(1-FORM!$AE$28/100)</f>
        <v>1.7600000000000001E-2</v>
      </c>
    </row>
    <row r="868" spans="2:13" hidden="1">
      <c r="B868" s="406">
        <v>13138</v>
      </c>
      <c r="C868" s="265" t="s">
        <v>327</v>
      </c>
      <c r="D868" s="266">
        <v>500</v>
      </c>
      <c r="E868" s="332"/>
      <c r="F868" s="333"/>
      <c r="G868" s="367">
        <v>1.7600000000000001E-2</v>
      </c>
      <c r="H868" s="157" t="str">
        <f t="shared" si="47"/>
        <v>CZK</v>
      </c>
      <c r="I868" s="334"/>
      <c r="J868" s="335" t="s">
        <v>54</v>
      </c>
      <c r="L868" s="97">
        <f>VLOOKUP(B868,$B$11:B867,1,FALSE)</f>
        <v>13138</v>
      </c>
      <c r="M868" s="317">
        <f>G868*(1-FORM!$AE$28/100)</f>
        <v>1.7600000000000001E-2</v>
      </c>
    </row>
    <row r="869" spans="2:13" hidden="1">
      <c r="B869" s="406">
        <v>13138</v>
      </c>
      <c r="C869" s="265" t="s">
        <v>327</v>
      </c>
      <c r="D869" s="266">
        <v>500</v>
      </c>
      <c r="E869" s="332"/>
      <c r="F869" s="333"/>
      <c r="G869" s="367">
        <v>1.7600000000000001E-2</v>
      </c>
      <c r="H869" s="157" t="str">
        <f t="shared" si="47"/>
        <v>CZK</v>
      </c>
      <c r="I869" s="334"/>
      <c r="J869" s="335" t="s">
        <v>54</v>
      </c>
      <c r="L869" s="97">
        <f>VLOOKUP(B869,$B$11:B868,1,FALSE)</f>
        <v>13138</v>
      </c>
      <c r="M869" s="317">
        <f>G869*(1-FORM!$AE$28/100)</f>
        <v>1.7600000000000001E-2</v>
      </c>
    </row>
    <row r="870" spans="2:13" hidden="1">
      <c r="B870" s="406">
        <v>13138</v>
      </c>
      <c r="C870" s="265" t="s">
        <v>327</v>
      </c>
      <c r="D870" s="266">
        <v>500</v>
      </c>
      <c r="E870" s="332"/>
      <c r="F870" s="333"/>
      <c r="G870" s="367">
        <v>1.7600000000000001E-2</v>
      </c>
      <c r="H870" s="157" t="str">
        <f t="shared" si="47"/>
        <v>CZK</v>
      </c>
      <c r="I870" s="334"/>
      <c r="J870" s="335" t="s">
        <v>54</v>
      </c>
      <c r="L870" s="97">
        <f>VLOOKUP(B870,$B$11:B869,1,FALSE)</f>
        <v>13138</v>
      </c>
      <c r="M870" s="317">
        <f>G870*(1-FORM!$AE$28/100)</f>
        <v>1.7600000000000001E-2</v>
      </c>
    </row>
    <row r="871" spans="2:13" hidden="1">
      <c r="B871" s="406">
        <v>13138</v>
      </c>
      <c r="C871" s="265" t="s">
        <v>327</v>
      </c>
      <c r="D871" s="266">
        <v>500</v>
      </c>
      <c r="E871" s="332"/>
      <c r="F871" s="333"/>
      <c r="G871" s="367">
        <v>1.7600000000000001E-2</v>
      </c>
      <c r="H871" s="157" t="str">
        <f t="shared" si="47"/>
        <v>CZK</v>
      </c>
      <c r="I871" s="334"/>
      <c r="J871" s="335" t="s">
        <v>54</v>
      </c>
      <c r="L871" s="97">
        <f>VLOOKUP(B871,$B$11:B870,1,FALSE)</f>
        <v>13138</v>
      </c>
      <c r="M871" s="317">
        <f>G871*(1-FORM!$AE$28/100)</f>
        <v>1.7600000000000001E-2</v>
      </c>
    </row>
    <row r="872" spans="2:13" hidden="1">
      <c r="B872" s="406">
        <v>13138</v>
      </c>
      <c r="C872" s="265" t="s">
        <v>327</v>
      </c>
      <c r="D872" s="266">
        <v>500</v>
      </c>
      <c r="E872" s="332"/>
      <c r="F872" s="333"/>
      <c r="G872" s="367">
        <v>1.7600000000000001E-2</v>
      </c>
      <c r="H872" s="157" t="str">
        <f t="shared" si="47"/>
        <v>CZK</v>
      </c>
      <c r="I872" s="334"/>
      <c r="J872" s="335" t="s">
        <v>54</v>
      </c>
      <c r="L872" s="97">
        <f>VLOOKUP(B872,$B$11:B871,1,FALSE)</f>
        <v>13138</v>
      </c>
      <c r="M872" s="317">
        <f>G872*(1-FORM!$AE$28/100)</f>
        <v>1.7600000000000001E-2</v>
      </c>
    </row>
    <row r="873" spans="2:13" hidden="1">
      <c r="B873" s="406">
        <v>13138</v>
      </c>
      <c r="C873" s="265" t="s">
        <v>327</v>
      </c>
      <c r="D873" s="266">
        <v>500</v>
      </c>
      <c r="E873" s="332"/>
      <c r="F873" s="333"/>
      <c r="G873" s="367">
        <v>1.7600000000000001E-2</v>
      </c>
      <c r="H873" s="157" t="str">
        <f t="shared" si="47"/>
        <v>CZK</v>
      </c>
      <c r="I873" s="334"/>
      <c r="J873" s="335" t="s">
        <v>54</v>
      </c>
      <c r="L873" s="97">
        <f>VLOOKUP(B873,$B$11:B872,1,FALSE)</f>
        <v>13138</v>
      </c>
      <c r="M873" s="317">
        <f>G873*(1-FORM!$AE$28/100)</f>
        <v>1.7600000000000001E-2</v>
      </c>
    </row>
    <row r="874" spans="2:13" hidden="1">
      <c r="B874" s="406">
        <v>13138</v>
      </c>
      <c r="C874" s="265" t="s">
        <v>327</v>
      </c>
      <c r="D874" s="266">
        <v>500</v>
      </c>
      <c r="E874" s="332"/>
      <c r="F874" s="333"/>
      <c r="G874" s="367">
        <v>1.7600000000000001E-2</v>
      </c>
      <c r="H874" s="157" t="str">
        <f t="shared" si="47"/>
        <v>CZK</v>
      </c>
      <c r="I874" s="334"/>
      <c r="J874" s="335" t="s">
        <v>54</v>
      </c>
      <c r="L874" s="97">
        <f>VLOOKUP(B874,$B$11:B873,1,FALSE)</f>
        <v>13138</v>
      </c>
      <c r="M874" s="317">
        <f>G874*(1-FORM!$AE$28/100)</f>
        <v>1.7600000000000001E-2</v>
      </c>
    </row>
    <row r="875" spans="2:13" hidden="1">
      <c r="B875" s="406">
        <v>13138</v>
      </c>
      <c r="C875" s="265" t="s">
        <v>327</v>
      </c>
      <c r="D875" s="266">
        <v>500</v>
      </c>
      <c r="E875" s="332"/>
      <c r="F875" s="333"/>
      <c r="G875" s="367">
        <v>1.7600000000000001E-2</v>
      </c>
      <c r="H875" s="157" t="str">
        <f t="shared" si="47"/>
        <v>CZK</v>
      </c>
      <c r="I875" s="334"/>
      <c r="J875" s="335" t="s">
        <v>54</v>
      </c>
      <c r="L875" s="97">
        <f>VLOOKUP(B875,$B$11:B874,1,FALSE)</f>
        <v>13138</v>
      </c>
      <c r="M875" s="317">
        <f>G875*(1-FORM!$AE$28/100)</f>
        <v>1.7600000000000001E-2</v>
      </c>
    </row>
    <row r="876" spans="2:13" hidden="1">
      <c r="B876" s="406">
        <v>13138</v>
      </c>
      <c r="C876" s="265" t="s">
        <v>327</v>
      </c>
      <c r="D876" s="266">
        <v>500</v>
      </c>
      <c r="E876" s="332"/>
      <c r="F876" s="333"/>
      <c r="G876" s="367">
        <v>1.7600000000000001E-2</v>
      </c>
      <c r="H876" s="157" t="str">
        <f t="shared" si="47"/>
        <v>CZK</v>
      </c>
      <c r="I876" s="334"/>
      <c r="J876" s="335" t="s">
        <v>54</v>
      </c>
      <c r="L876" s="97">
        <f>VLOOKUP(B876,$B$11:B875,1,FALSE)</f>
        <v>13138</v>
      </c>
      <c r="M876" s="317">
        <f>G876*(1-FORM!$AE$28/100)</f>
        <v>1.7600000000000001E-2</v>
      </c>
    </row>
    <row r="877" spans="2:13" hidden="1">
      <c r="B877" s="406">
        <v>13138</v>
      </c>
      <c r="C877" s="265" t="s">
        <v>327</v>
      </c>
      <c r="D877" s="266">
        <v>500</v>
      </c>
      <c r="E877" s="332"/>
      <c r="F877" s="333"/>
      <c r="G877" s="367">
        <v>1.7600000000000001E-2</v>
      </c>
      <c r="H877" s="157" t="str">
        <f t="shared" si="47"/>
        <v>CZK</v>
      </c>
      <c r="I877" s="334"/>
      <c r="J877" s="335" t="s">
        <v>54</v>
      </c>
      <c r="L877" s="97">
        <f>VLOOKUP(B877,$B$11:B876,1,FALSE)</f>
        <v>13138</v>
      </c>
      <c r="M877" s="317">
        <f>G877*(1-FORM!$AE$28/100)</f>
        <v>1.7600000000000001E-2</v>
      </c>
    </row>
    <row r="878" spans="2:13" hidden="1">
      <c r="B878" s="406">
        <v>13138</v>
      </c>
      <c r="C878" s="265" t="s">
        <v>327</v>
      </c>
      <c r="D878" s="266">
        <v>500</v>
      </c>
      <c r="E878" s="332"/>
      <c r="F878" s="333"/>
      <c r="G878" s="367">
        <v>1.7600000000000001E-2</v>
      </c>
      <c r="H878" s="157" t="str">
        <f t="shared" si="47"/>
        <v>CZK</v>
      </c>
      <c r="I878" s="334"/>
      <c r="J878" s="335" t="s">
        <v>54</v>
      </c>
      <c r="L878" s="97">
        <f>VLOOKUP(B878,$B$11:B877,1,FALSE)</f>
        <v>13138</v>
      </c>
      <c r="M878" s="317">
        <f>G878*(1-FORM!$AE$28/100)</f>
        <v>1.7600000000000001E-2</v>
      </c>
    </row>
    <row r="879" spans="2:13" hidden="1">
      <c r="B879" s="406">
        <v>13138</v>
      </c>
      <c r="C879" s="265" t="s">
        <v>327</v>
      </c>
      <c r="D879" s="266">
        <v>500</v>
      </c>
      <c r="E879" s="332"/>
      <c r="F879" s="333"/>
      <c r="G879" s="367">
        <v>1.7600000000000001E-2</v>
      </c>
      <c r="H879" s="157" t="str">
        <f t="shared" si="47"/>
        <v>CZK</v>
      </c>
      <c r="I879" s="334"/>
      <c r="J879" s="335" t="s">
        <v>54</v>
      </c>
      <c r="L879" s="97">
        <f>VLOOKUP(B879,$B$11:B878,1,FALSE)</f>
        <v>13138</v>
      </c>
      <c r="M879" s="317">
        <f>G879*(1-FORM!$AE$28/100)</f>
        <v>1.7600000000000001E-2</v>
      </c>
    </row>
    <row r="880" spans="2:13" hidden="1">
      <c r="B880" s="406">
        <v>13138</v>
      </c>
      <c r="C880" s="265" t="s">
        <v>327</v>
      </c>
      <c r="D880" s="266">
        <v>500</v>
      </c>
      <c r="E880" s="332"/>
      <c r="F880" s="333"/>
      <c r="G880" s="367">
        <v>1.7600000000000001E-2</v>
      </c>
      <c r="H880" s="157" t="str">
        <f t="shared" si="47"/>
        <v>CZK</v>
      </c>
      <c r="I880" s="334"/>
      <c r="J880" s="335" t="s">
        <v>54</v>
      </c>
      <c r="L880" s="97">
        <f>VLOOKUP(B880,$B$11:B879,1,FALSE)</f>
        <v>13138</v>
      </c>
      <c r="M880" s="317">
        <f>G880*(1-FORM!$AE$28/100)</f>
        <v>1.7600000000000001E-2</v>
      </c>
    </row>
    <row r="881" spans="2:13" hidden="1">
      <c r="B881" s="406">
        <v>13138</v>
      </c>
      <c r="C881" s="265" t="s">
        <v>327</v>
      </c>
      <c r="D881" s="266">
        <v>500</v>
      </c>
      <c r="E881" s="332"/>
      <c r="F881" s="333"/>
      <c r="G881" s="367">
        <v>1.7600000000000001E-2</v>
      </c>
      <c r="H881" s="157" t="str">
        <f t="shared" si="47"/>
        <v>CZK</v>
      </c>
      <c r="I881" s="334"/>
      <c r="J881" s="335" t="s">
        <v>54</v>
      </c>
      <c r="L881" s="97">
        <f>VLOOKUP(B881,$B$11:B880,1,FALSE)</f>
        <v>13138</v>
      </c>
      <c r="M881" s="317">
        <f>G881*(1-FORM!$AE$28/100)</f>
        <v>1.7600000000000001E-2</v>
      </c>
    </row>
    <row r="882" spans="2:13" hidden="1">
      <c r="B882" s="406">
        <v>13138</v>
      </c>
      <c r="C882" s="265" t="s">
        <v>327</v>
      </c>
      <c r="D882" s="266">
        <v>500</v>
      </c>
      <c r="E882" s="332"/>
      <c r="F882" s="333"/>
      <c r="G882" s="367">
        <v>1.7600000000000001E-2</v>
      </c>
      <c r="H882" s="157" t="str">
        <f t="shared" si="47"/>
        <v>CZK</v>
      </c>
      <c r="I882" s="334"/>
      <c r="J882" s="335" t="s">
        <v>54</v>
      </c>
      <c r="L882" s="97">
        <f>VLOOKUP(B882,$B$11:B881,1,FALSE)</f>
        <v>13138</v>
      </c>
      <c r="M882" s="317">
        <f>G882*(1-FORM!$AE$28/100)</f>
        <v>1.7600000000000001E-2</v>
      </c>
    </row>
    <row r="883" spans="2:13" hidden="1">
      <c r="B883" s="406">
        <v>13138</v>
      </c>
      <c r="C883" s="265" t="s">
        <v>327</v>
      </c>
      <c r="D883" s="266">
        <v>500</v>
      </c>
      <c r="E883" s="332"/>
      <c r="F883" s="333"/>
      <c r="G883" s="367">
        <v>1.7600000000000001E-2</v>
      </c>
      <c r="H883" s="157" t="str">
        <f t="shared" si="47"/>
        <v>CZK</v>
      </c>
      <c r="I883" s="334"/>
      <c r="J883" s="335" t="s">
        <v>54</v>
      </c>
      <c r="L883" s="97">
        <f>VLOOKUP(B883,$B$11:B882,1,FALSE)</f>
        <v>13138</v>
      </c>
      <c r="M883" s="317">
        <f>G883*(1-FORM!$AE$28/100)</f>
        <v>1.7600000000000001E-2</v>
      </c>
    </row>
    <row r="884" spans="2:13" hidden="1">
      <c r="B884" s="406">
        <v>13138</v>
      </c>
      <c r="C884" s="265" t="s">
        <v>327</v>
      </c>
      <c r="D884" s="266">
        <v>500</v>
      </c>
      <c r="E884" s="332"/>
      <c r="F884" s="333"/>
      <c r="G884" s="367">
        <v>1.7600000000000001E-2</v>
      </c>
      <c r="H884" s="157" t="str">
        <f t="shared" si="47"/>
        <v>CZK</v>
      </c>
      <c r="I884" s="334"/>
      <c r="J884" s="335" t="s">
        <v>54</v>
      </c>
      <c r="L884" s="97">
        <f>VLOOKUP(B884,$B$11:B883,1,FALSE)</f>
        <v>13138</v>
      </c>
      <c r="M884" s="317">
        <f>G884*(1-FORM!$AE$28/100)</f>
        <v>1.7600000000000001E-2</v>
      </c>
    </row>
    <row r="885" spans="2:13" hidden="1">
      <c r="B885" s="406">
        <v>13138</v>
      </c>
      <c r="C885" s="265" t="s">
        <v>327</v>
      </c>
      <c r="D885" s="266">
        <v>500</v>
      </c>
      <c r="E885" s="332"/>
      <c r="F885" s="333"/>
      <c r="G885" s="367">
        <v>1.7600000000000001E-2</v>
      </c>
      <c r="H885" s="157" t="str">
        <f t="shared" si="47"/>
        <v>CZK</v>
      </c>
      <c r="I885" s="334"/>
      <c r="J885" s="335" t="s">
        <v>54</v>
      </c>
      <c r="L885" s="97">
        <f>VLOOKUP(B885,$B$11:B884,1,FALSE)</f>
        <v>13138</v>
      </c>
      <c r="M885" s="317">
        <f>G885*(1-FORM!$AE$28/100)</f>
        <v>1.7600000000000001E-2</v>
      </c>
    </row>
    <row r="886" spans="2:13" hidden="1">
      <c r="B886" s="406">
        <v>13138</v>
      </c>
      <c r="C886" s="265" t="s">
        <v>327</v>
      </c>
      <c r="D886" s="266">
        <v>500</v>
      </c>
      <c r="E886" s="332"/>
      <c r="F886" s="333"/>
      <c r="G886" s="367">
        <v>1.7600000000000001E-2</v>
      </c>
      <c r="H886" s="157" t="str">
        <f t="shared" si="47"/>
        <v>CZK</v>
      </c>
      <c r="I886" s="334"/>
      <c r="J886" s="335" t="s">
        <v>54</v>
      </c>
      <c r="L886" s="97">
        <f>VLOOKUP(B886,$B$11:B885,1,FALSE)</f>
        <v>13138</v>
      </c>
      <c r="M886" s="317">
        <f>G886*(1-FORM!$AE$28/100)</f>
        <v>1.7600000000000001E-2</v>
      </c>
    </row>
    <row r="887" spans="2:13" hidden="1">
      <c r="B887" s="406">
        <v>13138</v>
      </c>
      <c r="C887" s="265" t="s">
        <v>327</v>
      </c>
      <c r="D887" s="266">
        <v>500</v>
      </c>
      <c r="E887" s="332"/>
      <c r="F887" s="333"/>
      <c r="G887" s="367">
        <v>1.7600000000000001E-2</v>
      </c>
      <c r="H887" s="157" t="str">
        <f t="shared" si="47"/>
        <v>CZK</v>
      </c>
      <c r="I887" s="334"/>
      <c r="J887" s="335" t="s">
        <v>54</v>
      </c>
      <c r="L887" s="97">
        <f>VLOOKUP(B887,$B$11:B886,1,FALSE)</f>
        <v>13138</v>
      </c>
      <c r="M887" s="317">
        <f>G887*(1-FORM!$AE$28/100)</f>
        <v>1.7600000000000001E-2</v>
      </c>
    </row>
    <row r="888" spans="2:13" hidden="1">
      <c r="B888" s="406">
        <v>13138</v>
      </c>
      <c r="C888" s="265" t="s">
        <v>327</v>
      </c>
      <c r="D888" s="266">
        <v>500</v>
      </c>
      <c r="E888" s="332"/>
      <c r="F888" s="333"/>
      <c r="G888" s="367">
        <v>1.7600000000000001E-2</v>
      </c>
      <c r="H888" s="157" t="str">
        <f t="shared" si="47"/>
        <v>CZK</v>
      </c>
      <c r="I888" s="334"/>
      <c r="J888" s="335" t="s">
        <v>54</v>
      </c>
      <c r="L888" s="97">
        <f>VLOOKUP(B888,$B$11:B887,1,FALSE)</f>
        <v>13138</v>
      </c>
      <c r="M888" s="317">
        <f>G888*(1-FORM!$AE$28/100)</f>
        <v>1.7600000000000001E-2</v>
      </c>
    </row>
    <row r="889" spans="2:13" hidden="1">
      <c r="B889" s="406">
        <v>13138</v>
      </c>
      <c r="C889" s="265" t="s">
        <v>327</v>
      </c>
      <c r="D889" s="266">
        <v>500</v>
      </c>
      <c r="E889" s="332"/>
      <c r="F889" s="333"/>
      <c r="G889" s="367">
        <v>1.7600000000000001E-2</v>
      </c>
      <c r="H889" s="157" t="str">
        <f t="shared" si="47"/>
        <v>CZK</v>
      </c>
      <c r="I889" s="334"/>
      <c r="J889" s="335" t="s">
        <v>54</v>
      </c>
      <c r="L889" s="97">
        <f>VLOOKUP(B889,$B$11:B888,1,FALSE)</f>
        <v>13138</v>
      </c>
      <c r="M889" s="317">
        <f>G889*(1-FORM!$AE$28/100)</f>
        <v>1.7600000000000001E-2</v>
      </c>
    </row>
    <row r="890" spans="2:13" hidden="1">
      <c r="B890" s="406">
        <v>13138</v>
      </c>
      <c r="C890" s="265" t="s">
        <v>327</v>
      </c>
      <c r="D890" s="266">
        <v>500</v>
      </c>
      <c r="E890" s="332"/>
      <c r="F890" s="333"/>
      <c r="G890" s="367">
        <v>1.7600000000000001E-2</v>
      </c>
      <c r="H890" s="157" t="str">
        <f t="shared" si="47"/>
        <v>CZK</v>
      </c>
      <c r="I890" s="334"/>
      <c r="J890" s="335" t="s">
        <v>54</v>
      </c>
      <c r="L890" s="97">
        <f>VLOOKUP(B890,$B$11:B889,1,FALSE)</f>
        <v>13138</v>
      </c>
      <c r="M890" s="317">
        <f>G890*(1-FORM!$AE$28/100)</f>
        <v>1.7600000000000001E-2</v>
      </c>
    </row>
    <row r="891" spans="2:13" hidden="1">
      <c r="B891" s="406">
        <v>13138</v>
      </c>
      <c r="C891" s="265" t="s">
        <v>327</v>
      </c>
      <c r="D891" s="266">
        <v>500</v>
      </c>
      <c r="E891" s="332"/>
      <c r="F891" s="333"/>
      <c r="G891" s="367">
        <v>1.7600000000000001E-2</v>
      </c>
      <c r="H891" s="157" t="str">
        <f t="shared" si="47"/>
        <v>CZK</v>
      </c>
      <c r="I891" s="334"/>
      <c r="J891" s="335" t="s">
        <v>54</v>
      </c>
      <c r="L891" s="97">
        <f>VLOOKUP(B891,$B$11:B890,1,FALSE)</f>
        <v>13138</v>
      </c>
      <c r="M891" s="317">
        <f>G891*(1-FORM!$AE$28/100)</f>
        <v>1.7600000000000001E-2</v>
      </c>
    </row>
    <row r="892" spans="2:13" hidden="1">
      <c r="B892" s="406">
        <v>13138</v>
      </c>
      <c r="C892" s="265" t="s">
        <v>327</v>
      </c>
      <c r="D892" s="266">
        <v>500</v>
      </c>
      <c r="E892" s="332"/>
      <c r="F892" s="333"/>
      <c r="G892" s="367">
        <v>1.7600000000000001E-2</v>
      </c>
      <c r="H892" s="157" t="str">
        <f t="shared" si="47"/>
        <v>CZK</v>
      </c>
      <c r="I892" s="334"/>
      <c r="J892" s="335" t="s">
        <v>54</v>
      </c>
      <c r="L892" s="97">
        <f>VLOOKUP(B892,$B$11:B891,1,FALSE)</f>
        <v>13138</v>
      </c>
      <c r="M892" s="317">
        <f>G892*(1-FORM!$AE$28/100)</f>
        <v>1.7600000000000001E-2</v>
      </c>
    </row>
    <row r="893" spans="2:13" hidden="1">
      <c r="B893" s="406">
        <v>13138</v>
      </c>
      <c r="C893" s="265" t="s">
        <v>327</v>
      </c>
      <c r="D893" s="266">
        <v>500</v>
      </c>
      <c r="E893" s="332"/>
      <c r="F893" s="333"/>
      <c r="G893" s="367">
        <v>1.7600000000000001E-2</v>
      </c>
      <c r="H893" s="157" t="str">
        <f t="shared" si="47"/>
        <v>CZK</v>
      </c>
      <c r="I893" s="334"/>
      <c r="J893" s="335" t="s">
        <v>54</v>
      </c>
      <c r="L893" s="97">
        <f>VLOOKUP(B893,$B$11:B892,1,FALSE)</f>
        <v>13138</v>
      </c>
      <c r="M893" s="317">
        <f>G893*(1-FORM!$AE$28/100)</f>
        <v>1.7600000000000001E-2</v>
      </c>
    </row>
    <row r="894" spans="2:13" hidden="1">
      <c r="B894" s="406">
        <v>13138</v>
      </c>
      <c r="C894" s="265" t="s">
        <v>327</v>
      </c>
      <c r="D894" s="266">
        <v>500</v>
      </c>
      <c r="E894" s="332"/>
      <c r="F894" s="333"/>
      <c r="G894" s="367">
        <v>1.7600000000000001E-2</v>
      </c>
      <c r="H894" s="157" t="str">
        <f t="shared" si="47"/>
        <v>CZK</v>
      </c>
      <c r="I894" s="334"/>
      <c r="J894" s="335" t="s">
        <v>54</v>
      </c>
      <c r="L894" s="97">
        <f>VLOOKUP(B894,$B$11:B893,1,FALSE)</f>
        <v>13138</v>
      </c>
      <c r="M894" s="317">
        <f>G894*(1-FORM!$AE$28/100)</f>
        <v>1.7600000000000001E-2</v>
      </c>
    </row>
    <row r="895" spans="2:13" hidden="1">
      <c r="B895" s="406">
        <v>13138</v>
      </c>
      <c r="C895" s="265" t="s">
        <v>327</v>
      </c>
      <c r="D895" s="266">
        <v>500</v>
      </c>
      <c r="E895" s="332"/>
      <c r="F895" s="333"/>
      <c r="G895" s="367">
        <v>1.7600000000000001E-2</v>
      </c>
      <c r="H895" s="157" t="str">
        <f t="shared" si="47"/>
        <v>CZK</v>
      </c>
      <c r="I895" s="334"/>
      <c r="J895" s="335" t="s">
        <v>54</v>
      </c>
      <c r="L895" s="97">
        <f>VLOOKUP(B895,$B$11:B894,1,FALSE)</f>
        <v>13138</v>
      </c>
      <c r="M895" s="317">
        <f>G895*(1-FORM!$AE$28/100)</f>
        <v>1.7600000000000001E-2</v>
      </c>
    </row>
    <row r="896" spans="2:13" hidden="1">
      <c r="B896" s="406">
        <v>13138</v>
      </c>
      <c r="C896" s="265" t="s">
        <v>327</v>
      </c>
      <c r="D896" s="266">
        <v>500</v>
      </c>
      <c r="E896" s="332"/>
      <c r="F896" s="333"/>
      <c r="G896" s="367">
        <v>1.7600000000000001E-2</v>
      </c>
      <c r="H896" s="157" t="str">
        <f t="shared" si="47"/>
        <v>CZK</v>
      </c>
      <c r="I896" s="334"/>
      <c r="J896" s="335" t="s">
        <v>54</v>
      </c>
      <c r="L896" s="97">
        <f>VLOOKUP(B896,$B$11:B895,1,FALSE)</f>
        <v>13138</v>
      </c>
      <c r="M896" s="317">
        <f>G896*(1-FORM!$AE$28/100)</f>
        <v>1.7600000000000001E-2</v>
      </c>
    </row>
    <row r="897" spans="2:13" hidden="1">
      <c r="B897" s="406">
        <v>13138</v>
      </c>
      <c r="C897" s="265" t="s">
        <v>327</v>
      </c>
      <c r="D897" s="266">
        <v>500</v>
      </c>
      <c r="E897" s="332"/>
      <c r="F897" s="333"/>
      <c r="G897" s="367">
        <v>1.7600000000000001E-2</v>
      </c>
      <c r="H897" s="157" t="str">
        <f t="shared" si="47"/>
        <v>CZK</v>
      </c>
      <c r="I897" s="334"/>
      <c r="J897" s="335" t="s">
        <v>54</v>
      </c>
      <c r="L897" s="97">
        <f>VLOOKUP(B897,$B$11:B896,1,FALSE)</f>
        <v>13138</v>
      </c>
      <c r="M897" s="317">
        <f>G897*(1-FORM!$AE$28/100)</f>
        <v>1.7600000000000001E-2</v>
      </c>
    </row>
    <row r="898" spans="2:13" hidden="1">
      <c r="B898" s="406">
        <v>13138</v>
      </c>
      <c r="C898" s="265" t="s">
        <v>327</v>
      </c>
      <c r="D898" s="266">
        <v>500</v>
      </c>
      <c r="E898" s="332"/>
      <c r="F898" s="333"/>
      <c r="G898" s="367">
        <v>1.7600000000000001E-2</v>
      </c>
      <c r="H898" s="157" t="str">
        <f t="shared" si="47"/>
        <v>CZK</v>
      </c>
      <c r="I898" s="334"/>
      <c r="J898" s="335" t="s">
        <v>54</v>
      </c>
      <c r="L898" s="97">
        <f>VLOOKUP(B898,$B$11:B897,1,FALSE)</f>
        <v>13138</v>
      </c>
      <c r="M898" s="317">
        <f>G898*(1-FORM!$AE$28/100)</f>
        <v>1.7600000000000001E-2</v>
      </c>
    </row>
    <row r="899" spans="2:13" hidden="1">
      <c r="B899" s="406">
        <v>13138</v>
      </c>
      <c r="C899" s="265" t="s">
        <v>327</v>
      </c>
      <c r="D899" s="266">
        <v>500</v>
      </c>
      <c r="E899" s="332"/>
      <c r="F899" s="333"/>
      <c r="G899" s="367">
        <v>1.7600000000000001E-2</v>
      </c>
      <c r="H899" s="157" t="str">
        <f t="shared" si="47"/>
        <v>CZK</v>
      </c>
      <c r="I899" s="334"/>
      <c r="J899" s="335" t="s">
        <v>54</v>
      </c>
      <c r="L899" s="97">
        <f>VLOOKUP(B899,$B$11:B898,1,FALSE)</f>
        <v>13138</v>
      </c>
      <c r="M899" s="317">
        <f>G899*(1-FORM!$AE$28/100)</f>
        <v>1.7600000000000001E-2</v>
      </c>
    </row>
    <row r="900" spans="2:13" hidden="1">
      <c r="B900" s="406">
        <v>13138</v>
      </c>
      <c r="C900" s="265" t="s">
        <v>327</v>
      </c>
      <c r="D900" s="266">
        <v>500</v>
      </c>
      <c r="E900" s="332"/>
      <c r="F900" s="333"/>
      <c r="G900" s="367">
        <v>1.7600000000000001E-2</v>
      </c>
      <c r="H900" s="157" t="str">
        <f t="shared" si="47"/>
        <v>CZK</v>
      </c>
      <c r="I900" s="334"/>
      <c r="J900" s="335" t="s">
        <v>54</v>
      </c>
      <c r="L900" s="97">
        <f>VLOOKUP(B900,$B$11:B899,1,FALSE)</f>
        <v>13138</v>
      </c>
      <c r="M900" s="317">
        <f>G900*(1-FORM!$AE$28/100)</f>
        <v>1.7600000000000001E-2</v>
      </c>
    </row>
    <row r="901" spans="2:13" hidden="1">
      <c r="B901" s="406">
        <v>13138</v>
      </c>
      <c r="C901" s="265" t="s">
        <v>327</v>
      </c>
      <c r="D901" s="266">
        <v>500</v>
      </c>
      <c r="E901" s="332"/>
      <c r="F901" s="333"/>
      <c r="G901" s="367">
        <v>1.7600000000000001E-2</v>
      </c>
      <c r="H901" s="157" t="str">
        <f t="shared" si="47"/>
        <v>CZK</v>
      </c>
      <c r="I901" s="334"/>
      <c r="J901" s="335" t="s">
        <v>54</v>
      </c>
      <c r="L901" s="97">
        <f>VLOOKUP(B901,$B$11:B900,1,FALSE)</f>
        <v>13138</v>
      </c>
      <c r="M901" s="317">
        <f>G901*(1-FORM!$AE$28/100)</f>
        <v>1.7600000000000001E-2</v>
      </c>
    </row>
    <row r="902" spans="2:13" hidden="1">
      <c r="B902" s="406">
        <v>13138</v>
      </c>
      <c r="C902" s="265" t="s">
        <v>327</v>
      </c>
      <c r="D902" s="266">
        <v>500</v>
      </c>
      <c r="E902" s="332"/>
      <c r="F902" s="333"/>
      <c r="G902" s="367">
        <v>1.7600000000000001E-2</v>
      </c>
      <c r="H902" s="157" t="str">
        <f t="shared" si="47"/>
        <v>CZK</v>
      </c>
      <c r="I902" s="334"/>
      <c r="J902" s="335" t="s">
        <v>54</v>
      </c>
      <c r="L902" s="97">
        <f>VLOOKUP(B902,$B$11:B901,1,FALSE)</f>
        <v>13138</v>
      </c>
      <c r="M902" s="317">
        <f>G902*(1-FORM!$AE$28/100)</f>
        <v>1.7600000000000001E-2</v>
      </c>
    </row>
    <row r="903" spans="2:13" hidden="1">
      <c r="B903" s="406">
        <v>13138</v>
      </c>
      <c r="C903" s="265" t="s">
        <v>327</v>
      </c>
      <c r="D903" s="266">
        <v>500</v>
      </c>
      <c r="E903" s="332"/>
      <c r="F903" s="333"/>
      <c r="G903" s="367">
        <v>1.7600000000000001E-2</v>
      </c>
      <c r="H903" s="157" t="str">
        <f t="shared" si="47"/>
        <v>CZK</v>
      </c>
      <c r="I903" s="334"/>
      <c r="J903" s="335" t="s">
        <v>54</v>
      </c>
      <c r="L903" s="97">
        <f>VLOOKUP(B903,$B$11:B902,1,FALSE)</f>
        <v>13138</v>
      </c>
      <c r="M903" s="317">
        <f>G903*(1-FORM!$AE$28/100)</f>
        <v>1.7600000000000001E-2</v>
      </c>
    </row>
    <row r="904" spans="2:13" hidden="1">
      <c r="B904" s="406">
        <v>13138</v>
      </c>
      <c r="C904" s="265" t="s">
        <v>327</v>
      </c>
      <c r="D904" s="266">
        <v>500</v>
      </c>
      <c r="E904" s="332"/>
      <c r="F904" s="333"/>
      <c r="G904" s="367">
        <v>1.7600000000000001E-2</v>
      </c>
      <c r="H904" s="157" t="str">
        <f t="shared" si="47"/>
        <v>CZK</v>
      </c>
      <c r="I904" s="334"/>
      <c r="J904" s="335" t="s">
        <v>54</v>
      </c>
      <c r="L904" s="97">
        <f>VLOOKUP(B904,$B$11:B903,1,FALSE)</f>
        <v>13138</v>
      </c>
      <c r="M904" s="317">
        <f>G904*(1-FORM!$AE$28/100)</f>
        <v>1.7600000000000001E-2</v>
      </c>
    </row>
    <row r="905" spans="2:13" hidden="1">
      <c r="B905" s="406">
        <v>13138</v>
      </c>
      <c r="C905" s="265" t="s">
        <v>327</v>
      </c>
      <c r="D905" s="266">
        <v>500</v>
      </c>
      <c r="E905" s="332"/>
      <c r="F905" s="333"/>
      <c r="G905" s="367">
        <v>1.7600000000000001E-2</v>
      </c>
      <c r="H905" s="157" t="str">
        <f t="shared" ref="H905:H968" si="48">IF(G905="","",$H$10)</f>
        <v>CZK</v>
      </c>
      <c r="I905" s="334"/>
      <c r="J905" s="335" t="s">
        <v>54</v>
      </c>
      <c r="L905" s="97">
        <f>VLOOKUP(B905,$B$11:B904,1,FALSE)</f>
        <v>13138</v>
      </c>
      <c r="M905" s="317">
        <f>G905*(1-FORM!$AE$28/100)</f>
        <v>1.7600000000000001E-2</v>
      </c>
    </row>
    <row r="906" spans="2:13" hidden="1">
      <c r="B906" s="406">
        <v>13138</v>
      </c>
      <c r="C906" s="265" t="s">
        <v>327</v>
      </c>
      <c r="D906" s="266">
        <v>500</v>
      </c>
      <c r="E906" s="332"/>
      <c r="F906" s="333"/>
      <c r="G906" s="367">
        <v>1.7600000000000001E-2</v>
      </c>
      <c r="H906" s="157" t="str">
        <f t="shared" si="48"/>
        <v>CZK</v>
      </c>
      <c r="I906" s="334"/>
      <c r="J906" s="335" t="s">
        <v>54</v>
      </c>
      <c r="L906" s="97">
        <f>VLOOKUP(B906,$B$11:B905,1,FALSE)</f>
        <v>13138</v>
      </c>
      <c r="M906" s="317">
        <f>G906*(1-FORM!$AE$28/100)</f>
        <v>1.7600000000000001E-2</v>
      </c>
    </row>
    <row r="907" spans="2:13" hidden="1">
      <c r="B907" s="406">
        <v>13138</v>
      </c>
      <c r="C907" s="265" t="s">
        <v>327</v>
      </c>
      <c r="D907" s="266">
        <v>500</v>
      </c>
      <c r="E907" s="332"/>
      <c r="F907" s="333"/>
      <c r="G907" s="367">
        <v>1.7600000000000001E-2</v>
      </c>
      <c r="H907" s="157" t="str">
        <f t="shared" si="48"/>
        <v>CZK</v>
      </c>
      <c r="I907" s="334"/>
      <c r="J907" s="335" t="s">
        <v>54</v>
      </c>
      <c r="L907" s="97">
        <f>VLOOKUP(B907,$B$11:B906,1,FALSE)</f>
        <v>13138</v>
      </c>
      <c r="M907" s="317">
        <f>G907*(1-FORM!$AE$28/100)</f>
        <v>1.7600000000000001E-2</v>
      </c>
    </row>
    <row r="908" spans="2:13" hidden="1">
      <c r="B908" s="406">
        <v>13138</v>
      </c>
      <c r="C908" s="265" t="s">
        <v>327</v>
      </c>
      <c r="D908" s="266">
        <v>500</v>
      </c>
      <c r="E908" s="332"/>
      <c r="F908" s="333"/>
      <c r="G908" s="367">
        <v>1.7600000000000001E-2</v>
      </c>
      <c r="H908" s="157" t="str">
        <f t="shared" si="48"/>
        <v>CZK</v>
      </c>
      <c r="I908" s="334"/>
      <c r="J908" s="335" t="s">
        <v>54</v>
      </c>
      <c r="L908" s="97">
        <f>VLOOKUP(B908,$B$11:B907,1,FALSE)</f>
        <v>13138</v>
      </c>
      <c r="M908" s="317">
        <f>G908*(1-FORM!$AE$28/100)</f>
        <v>1.7600000000000001E-2</v>
      </c>
    </row>
    <row r="909" spans="2:13" hidden="1">
      <c r="B909" s="406">
        <v>13138</v>
      </c>
      <c r="C909" s="265" t="s">
        <v>327</v>
      </c>
      <c r="D909" s="266">
        <v>500</v>
      </c>
      <c r="E909" s="332"/>
      <c r="F909" s="333"/>
      <c r="G909" s="367">
        <v>1.7600000000000001E-2</v>
      </c>
      <c r="H909" s="157" t="str">
        <f t="shared" si="48"/>
        <v>CZK</v>
      </c>
      <c r="I909" s="334"/>
      <c r="J909" s="335" t="s">
        <v>54</v>
      </c>
      <c r="L909" s="97">
        <f>VLOOKUP(B909,$B$11:B908,1,FALSE)</f>
        <v>13138</v>
      </c>
      <c r="M909" s="317">
        <f>G909*(1-FORM!$AE$28/100)</f>
        <v>1.7600000000000001E-2</v>
      </c>
    </row>
    <row r="910" spans="2:13" hidden="1">
      <c r="B910" s="406">
        <v>13138</v>
      </c>
      <c r="C910" s="265" t="s">
        <v>327</v>
      </c>
      <c r="D910" s="266">
        <v>500</v>
      </c>
      <c r="E910" s="332"/>
      <c r="F910" s="333"/>
      <c r="G910" s="367">
        <v>1.7600000000000001E-2</v>
      </c>
      <c r="H910" s="157" t="str">
        <f t="shared" si="48"/>
        <v>CZK</v>
      </c>
      <c r="I910" s="334"/>
      <c r="J910" s="335" t="s">
        <v>54</v>
      </c>
      <c r="L910" s="97">
        <f>VLOOKUP(B910,$B$11:B909,1,FALSE)</f>
        <v>13138</v>
      </c>
      <c r="M910" s="317">
        <f>G910*(1-FORM!$AE$28/100)</f>
        <v>1.7600000000000001E-2</v>
      </c>
    </row>
    <row r="911" spans="2:13" hidden="1">
      <c r="B911" s="406">
        <v>13138</v>
      </c>
      <c r="C911" s="265" t="s">
        <v>327</v>
      </c>
      <c r="D911" s="266">
        <v>500</v>
      </c>
      <c r="E911" s="332"/>
      <c r="F911" s="333"/>
      <c r="G911" s="367">
        <v>1.7600000000000001E-2</v>
      </c>
      <c r="H911" s="157" t="str">
        <f t="shared" si="48"/>
        <v>CZK</v>
      </c>
      <c r="I911" s="334"/>
      <c r="J911" s="335" t="s">
        <v>54</v>
      </c>
      <c r="L911" s="97">
        <f>VLOOKUP(B911,$B$11:B910,1,FALSE)</f>
        <v>13138</v>
      </c>
      <c r="M911" s="317">
        <f>G911*(1-FORM!$AE$28/100)</f>
        <v>1.7600000000000001E-2</v>
      </c>
    </row>
    <row r="912" spans="2:13" hidden="1">
      <c r="B912" s="406">
        <v>13138</v>
      </c>
      <c r="C912" s="265" t="s">
        <v>327</v>
      </c>
      <c r="D912" s="266">
        <v>500</v>
      </c>
      <c r="E912" s="332"/>
      <c r="F912" s="333"/>
      <c r="G912" s="367">
        <v>1.7600000000000001E-2</v>
      </c>
      <c r="H912" s="157" t="str">
        <f t="shared" si="48"/>
        <v>CZK</v>
      </c>
      <c r="I912" s="334"/>
      <c r="J912" s="335" t="s">
        <v>54</v>
      </c>
      <c r="L912" s="97">
        <f>VLOOKUP(B912,$B$11:B911,1,FALSE)</f>
        <v>13138</v>
      </c>
      <c r="M912" s="317">
        <f>G912*(1-FORM!$AE$28/100)</f>
        <v>1.7600000000000001E-2</v>
      </c>
    </row>
    <row r="913" spans="2:13" hidden="1">
      <c r="B913" s="406">
        <v>13138</v>
      </c>
      <c r="C913" s="265" t="s">
        <v>327</v>
      </c>
      <c r="D913" s="266">
        <v>500</v>
      </c>
      <c r="E913" s="332"/>
      <c r="F913" s="333"/>
      <c r="G913" s="367">
        <v>1.7600000000000001E-2</v>
      </c>
      <c r="H913" s="157" t="str">
        <f t="shared" si="48"/>
        <v>CZK</v>
      </c>
      <c r="I913" s="334"/>
      <c r="J913" s="335" t="s">
        <v>54</v>
      </c>
      <c r="L913" s="97">
        <f>VLOOKUP(B913,$B$11:B912,1,FALSE)</f>
        <v>13138</v>
      </c>
      <c r="M913" s="317">
        <f>G913*(1-FORM!$AE$28/100)</f>
        <v>1.7600000000000001E-2</v>
      </c>
    </row>
    <row r="914" spans="2:13" hidden="1">
      <c r="B914" s="406">
        <v>13138</v>
      </c>
      <c r="C914" s="265" t="s">
        <v>327</v>
      </c>
      <c r="D914" s="266">
        <v>500</v>
      </c>
      <c r="E914" s="332"/>
      <c r="F914" s="333"/>
      <c r="G914" s="367">
        <v>1.7600000000000001E-2</v>
      </c>
      <c r="H914" s="157" t="str">
        <f t="shared" si="48"/>
        <v>CZK</v>
      </c>
      <c r="I914" s="334"/>
      <c r="J914" s="335" t="s">
        <v>54</v>
      </c>
      <c r="L914" s="97">
        <f>VLOOKUP(B914,$B$11:B913,1,FALSE)</f>
        <v>13138</v>
      </c>
      <c r="M914" s="317">
        <f>G914*(1-FORM!$AE$28/100)</f>
        <v>1.7600000000000001E-2</v>
      </c>
    </row>
    <row r="915" spans="2:13" hidden="1">
      <c r="B915" s="406">
        <v>13138</v>
      </c>
      <c r="C915" s="265" t="s">
        <v>327</v>
      </c>
      <c r="D915" s="266">
        <v>500</v>
      </c>
      <c r="E915" s="332"/>
      <c r="F915" s="333"/>
      <c r="G915" s="367">
        <v>1.7600000000000001E-2</v>
      </c>
      <c r="H915" s="157" t="str">
        <f t="shared" si="48"/>
        <v>CZK</v>
      </c>
      <c r="I915" s="334"/>
      <c r="J915" s="335" t="s">
        <v>54</v>
      </c>
      <c r="L915" s="97">
        <f>VLOOKUP(B915,$B$11:B914,1,FALSE)</f>
        <v>13138</v>
      </c>
      <c r="M915" s="317">
        <f>G915*(1-FORM!$AE$28/100)</f>
        <v>1.7600000000000001E-2</v>
      </c>
    </row>
    <row r="916" spans="2:13" hidden="1">
      <c r="B916" s="406">
        <v>13138</v>
      </c>
      <c r="C916" s="265" t="s">
        <v>327</v>
      </c>
      <c r="D916" s="266">
        <v>500</v>
      </c>
      <c r="E916" s="332"/>
      <c r="F916" s="333"/>
      <c r="G916" s="367">
        <v>1.7600000000000001E-2</v>
      </c>
      <c r="H916" s="157" t="str">
        <f t="shared" si="48"/>
        <v>CZK</v>
      </c>
      <c r="I916" s="334"/>
      <c r="J916" s="335" t="s">
        <v>54</v>
      </c>
      <c r="L916" s="97">
        <f>VLOOKUP(B916,$B$11:B915,1,FALSE)</f>
        <v>13138</v>
      </c>
      <c r="M916" s="317">
        <f>G916*(1-FORM!$AE$28/100)</f>
        <v>1.7600000000000001E-2</v>
      </c>
    </row>
    <row r="917" spans="2:13" hidden="1">
      <c r="B917" s="406">
        <v>13138</v>
      </c>
      <c r="C917" s="265" t="s">
        <v>327</v>
      </c>
      <c r="D917" s="266">
        <v>500</v>
      </c>
      <c r="E917" s="332"/>
      <c r="F917" s="333"/>
      <c r="G917" s="367">
        <v>1.7600000000000001E-2</v>
      </c>
      <c r="H917" s="157" t="str">
        <f t="shared" si="48"/>
        <v>CZK</v>
      </c>
      <c r="I917" s="334"/>
      <c r="J917" s="335" t="s">
        <v>54</v>
      </c>
      <c r="L917" s="97">
        <f>VLOOKUP(B917,$B$11:B916,1,FALSE)</f>
        <v>13138</v>
      </c>
      <c r="M917" s="317">
        <f>G917*(1-FORM!$AE$28/100)</f>
        <v>1.7600000000000001E-2</v>
      </c>
    </row>
    <row r="918" spans="2:13" hidden="1">
      <c r="B918" s="406">
        <v>13138</v>
      </c>
      <c r="C918" s="265" t="s">
        <v>327</v>
      </c>
      <c r="D918" s="266">
        <v>500</v>
      </c>
      <c r="E918" s="332"/>
      <c r="F918" s="333"/>
      <c r="G918" s="367">
        <v>1.7600000000000001E-2</v>
      </c>
      <c r="H918" s="157" t="str">
        <f t="shared" si="48"/>
        <v>CZK</v>
      </c>
      <c r="I918" s="334"/>
      <c r="J918" s="335" t="s">
        <v>54</v>
      </c>
      <c r="L918" s="97">
        <f>VLOOKUP(B918,$B$11:B917,1,FALSE)</f>
        <v>13138</v>
      </c>
      <c r="M918" s="317">
        <f>G918*(1-FORM!$AE$28/100)</f>
        <v>1.7600000000000001E-2</v>
      </c>
    </row>
    <row r="919" spans="2:13" hidden="1">
      <c r="B919" s="406">
        <v>13138</v>
      </c>
      <c r="C919" s="265" t="s">
        <v>327</v>
      </c>
      <c r="D919" s="266">
        <v>500</v>
      </c>
      <c r="E919" s="332"/>
      <c r="F919" s="333"/>
      <c r="G919" s="367">
        <v>1.7600000000000001E-2</v>
      </c>
      <c r="H919" s="157" t="str">
        <f t="shared" si="48"/>
        <v>CZK</v>
      </c>
      <c r="I919" s="334"/>
      <c r="J919" s="335" t="s">
        <v>54</v>
      </c>
      <c r="L919" s="97">
        <f>VLOOKUP(B919,$B$11:B918,1,FALSE)</f>
        <v>13138</v>
      </c>
      <c r="M919" s="317">
        <f>G919*(1-FORM!$AE$28/100)</f>
        <v>1.7600000000000001E-2</v>
      </c>
    </row>
    <row r="920" spans="2:13" hidden="1">
      <c r="B920" s="406">
        <v>13138</v>
      </c>
      <c r="C920" s="265" t="s">
        <v>327</v>
      </c>
      <c r="D920" s="266">
        <v>500</v>
      </c>
      <c r="E920" s="332"/>
      <c r="F920" s="333"/>
      <c r="G920" s="367">
        <v>1.7600000000000001E-2</v>
      </c>
      <c r="H920" s="157" t="str">
        <f t="shared" si="48"/>
        <v>CZK</v>
      </c>
      <c r="I920" s="334"/>
      <c r="J920" s="335" t="s">
        <v>54</v>
      </c>
      <c r="L920" s="97">
        <f>VLOOKUP(B920,$B$11:B919,1,FALSE)</f>
        <v>13138</v>
      </c>
      <c r="M920" s="317">
        <f>G920*(1-FORM!$AE$28/100)</f>
        <v>1.7600000000000001E-2</v>
      </c>
    </row>
    <row r="921" spans="2:13" hidden="1">
      <c r="B921" s="406">
        <v>13138</v>
      </c>
      <c r="C921" s="265" t="s">
        <v>327</v>
      </c>
      <c r="D921" s="266">
        <v>500</v>
      </c>
      <c r="E921" s="332"/>
      <c r="F921" s="333"/>
      <c r="G921" s="367">
        <v>1.7600000000000001E-2</v>
      </c>
      <c r="H921" s="157" t="str">
        <f t="shared" si="48"/>
        <v>CZK</v>
      </c>
      <c r="I921" s="334"/>
      <c r="J921" s="335" t="s">
        <v>54</v>
      </c>
      <c r="L921" s="97">
        <f>VLOOKUP(B921,$B$11:B920,1,FALSE)</f>
        <v>13138</v>
      </c>
      <c r="M921" s="317">
        <f>G921*(1-FORM!$AE$28/100)</f>
        <v>1.7600000000000001E-2</v>
      </c>
    </row>
    <row r="922" spans="2:13" hidden="1">
      <c r="B922" s="406">
        <v>13138</v>
      </c>
      <c r="C922" s="265" t="s">
        <v>327</v>
      </c>
      <c r="D922" s="266">
        <v>500</v>
      </c>
      <c r="E922" s="332"/>
      <c r="F922" s="333"/>
      <c r="G922" s="367">
        <v>1.7600000000000001E-2</v>
      </c>
      <c r="H922" s="157" t="str">
        <f t="shared" si="48"/>
        <v>CZK</v>
      </c>
      <c r="I922" s="334"/>
      <c r="J922" s="335" t="s">
        <v>54</v>
      </c>
      <c r="L922" s="97">
        <f>VLOOKUP(B922,$B$11:B921,1,FALSE)</f>
        <v>13138</v>
      </c>
      <c r="M922" s="317">
        <f>G922*(1-FORM!$AE$28/100)</f>
        <v>1.7600000000000001E-2</v>
      </c>
    </row>
    <row r="923" spans="2:13" hidden="1">
      <c r="B923" s="406">
        <v>13138</v>
      </c>
      <c r="C923" s="265" t="s">
        <v>327</v>
      </c>
      <c r="D923" s="266">
        <v>500</v>
      </c>
      <c r="E923" s="332"/>
      <c r="F923" s="333"/>
      <c r="G923" s="367">
        <v>1.7600000000000001E-2</v>
      </c>
      <c r="H923" s="157" t="str">
        <f t="shared" si="48"/>
        <v>CZK</v>
      </c>
      <c r="I923" s="334"/>
      <c r="J923" s="335" t="s">
        <v>54</v>
      </c>
      <c r="L923" s="97">
        <f>VLOOKUP(B923,$B$11:B922,1,FALSE)</f>
        <v>13138</v>
      </c>
      <c r="M923" s="317">
        <f>G923*(1-FORM!$AE$28/100)</f>
        <v>1.7600000000000001E-2</v>
      </c>
    </row>
    <row r="924" spans="2:13" hidden="1">
      <c r="B924" s="406">
        <v>13138</v>
      </c>
      <c r="C924" s="265" t="s">
        <v>327</v>
      </c>
      <c r="D924" s="266">
        <v>500</v>
      </c>
      <c r="E924" s="332"/>
      <c r="F924" s="333"/>
      <c r="G924" s="367">
        <v>1.7600000000000001E-2</v>
      </c>
      <c r="H924" s="157" t="str">
        <f t="shared" si="48"/>
        <v>CZK</v>
      </c>
      <c r="I924" s="334"/>
      <c r="J924" s="335" t="s">
        <v>54</v>
      </c>
      <c r="L924" s="97">
        <f>VLOOKUP(B924,$B$11:B923,1,FALSE)</f>
        <v>13138</v>
      </c>
      <c r="M924" s="317">
        <f>G924*(1-FORM!$AE$28/100)</f>
        <v>1.7600000000000001E-2</v>
      </c>
    </row>
    <row r="925" spans="2:13" hidden="1">
      <c r="B925" s="406">
        <v>13138</v>
      </c>
      <c r="C925" s="265" t="s">
        <v>327</v>
      </c>
      <c r="D925" s="266">
        <v>500</v>
      </c>
      <c r="E925" s="332"/>
      <c r="F925" s="333"/>
      <c r="G925" s="367">
        <v>1.7600000000000001E-2</v>
      </c>
      <c r="H925" s="157" t="str">
        <f t="shared" si="48"/>
        <v>CZK</v>
      </c>
      <c r="I925" s="334"/>
      <c r="J925" s="335" t="s">
        <v>54</v>
      </c>
      <c r="L925" s="97">
        <f>VLOOKUP(B925,$B$11:B924,1,FALSE)</f>
        <v>13138</v>
      </c>
      <c r="M925" s="317">
        <f>G925*(1-FORM!$AE$28/100)</f>
        <v>1.7600000000000001E-2</v>
      </c>
    </row>
    <row r="926" spans="2:13" hidden="1">
      <c r="B926" s="406">
        <v>13138</v>
      </c>
      <c r="C926" s="265" t="s">
        <v>327</v>
      </c>
      <c r="D926" s="266">
        <v>500</v>
      </c>
      <c r="E926" s="332"/>
      <c r="F926" s="333"/>
      <c r="G926" s="367">
        <v>1.7600000000000001E-2</v>
      </c>
      <c r="H926" s="157" t="str">
        <f t="shared" si="48"/>
        <v>CZK</v>
      </c>
      <c r="I926" s="334"/>
      <c r="J926" s="335" t="s">
        <v>54</v>
      </c>
      <c r="L926" s="97">
        <f>VLOOKUP(B926,$B$11:B925,1,FALSE)</f>
        <v>13138</v>
      </c>
      <c r="M926" s="317">
        <f>G926*(1-FORM!$AE$28/100)</f>
        <v>1.7600000000000001E-2</v>
      </c>
    </row>
    <row r="927" spans="2:13" hidden="1">
      <c r="B927" s="406">
        <v>13138</v>
      </c>
      <c r="C927" s="265" t="s">
        <v>327</v>
      </c>
      <c r="D927" s="266">
        <v>500</v>
      </c>
      <c r="E927" s="332"/>
      <c r="F927" s="333"/>
      <c r="G927" s="367">
        <v>1.7600000000000001E-2</v>
      </c>
      <c r="H927" s="157" t="str">
        <f t="shared" si="48"/>
        <v>CZK</v>
      </c>
      <c r="I927" s="334"/>
      <c r="J927" s="335" t="s">
        <v>54</v>
      </c>
      <c r="L927" s="97">
        <f>VLOOKUP(B927,$B$11:B926,1,FALSE)</f>
        <v>13138</v>
      </c>
      <c r="M927" s="317">
        <f>G927*(1-FORM!$AE$28/100)</f>
        <v>1.7600000000000001E-2</v>
      </c>
    </row>
    <row r="928" spans="2:13" hidden="1">
      <c r="B928" s="406">
        <v>13138</v>
      </c>
      <c r="C928" s="265" t="s">
        <v>327</v>
      </c>
      <c r="D928" s="266">
        <v>500</v>
      </c>
      <c r="E928" s="332"/>
      <c r="F928" s="333"/>
      <c r="G928" s="367">
        <v>1.7600000000000001E-2</v>
      </c>
      <c r="H928" s="157" t="str">
        <f t="shared" si="48"/>
        <v>CZK</v>
      </c>
      <c r="I928" s="334"/>
      <c r="J928" s="335" t="s">
        <v>54</v>
      </c>
      <c r="L928" s="97">
        <f>VLOOKUP(B928,$B$11:B927,1,FALSE)</f>
        <v>13138</v>
      </c>
      <c r="M928" s="317">
        <f>G928*(1-FORM!$AE$28/100)</f>
        <v>1.7600000000000001E-2</v>
      </c>
    </row>
    <row r="929" spans="2:13" hidden="1">
      <c r="B929" s="406">
        <v>13138</v>
      </c>
      <c r="C929" s="265" t="s">
        <v>327</v>
      </c>
      <c r="D929" s="266">
        <v>500</v>
      </c>
      <c r="E929" s="332"/>
      <c r="F929" s="333"/>
      <c r="G929" s="367">
        <v>1.7600000000000001E-2</v>
      </c>
      <c r="H929" s="157" t="str">
        <f t="shared" si="48"/>
        <v>CZK</v>
      </c>
      <c r="I929" s="334"/>
      <c r="J929" s="335" t="s">
        <v>54</v>
      </c>
      <c r="L929" s="97">
        <f>VLOOKUP(B929,$B$11:B928,1,FALSE)</f>
        <v>13138</v>
      </c>
      <c r="M929" s="317">
        <f>G929*(1-FORM!$AE$28/100)</f>
        <v>1.7600000000000001E-2</v>
      </c>
    </row>
    <row r="930" spans="2:13" hidden="1">
      <c r="B930" s="406">
        <v>13138</v>
      </c>
      <c r="C930" s="265" t="s">
        <v>327</v>
      </c>
      <c r="D930" s="266">
        <v>500</v>
      </c>
      <c r="E930" s="332"/>
      <c r="F930" s="333"/>
      <c r="G930" s="367">
        <v>1.7600000000000001E-2</v>
      </c>
      <c r="H930" s="157" t="str">
        <f t="shared" si="48"/>
        <v>CZK</v>
      </c>
      <c r="I930" s="334"/>
      <c r="J930" s="335" t="s">
        <v>54</v>
      </c>
      <c r="L930" s="97">
        <f>VLOOKUP(B930,$B$11:B929,1,FALSE)</f>
        <v>13138</v>
      </c>
      <c r="M930" s="317">
        <f>G930*(1-FORM!$AE$28/100)</f>
        <v>1.7600000000000001E-2</v>
      </c>
    </row>
    <row r="931" spans="2:13" hidden="1">
      <c r="B931" s="406">
        <v>13138</v>
      </c>
      <c r="C931" s="265" t="s">
        <v>327</v>
      </c>
      <c r="D931" s="266">
        <v>500</v>
      </c>
      <c r="E931" s="332"/>
      <c r="F931" s="333"/>
      <c r="G931" s="367">
        <v>1.7600000000000001E-2</v>
      </c>
      <c r="H931" s="157" t="str">
        <f t="shared" si="48"/>
        <v>CZK</v>
      </c>
      <c r="I931" s="334"/>
      <c r="J931" s="335" t="s">
        <v>54</v>
      </c>
      <c r="L931" s="97">
        <f>VLOOKUP(B931,$B$11:B930,1,FALSE)</f>
        <v>13138</v>
      </c>
      <c r="M931" s="317">
        <f>G931*(1-FORM!$AE$28/100)</f>
        <v>1.7600000000000001E-2</v>
      </c>
    </row>
    <row r="932" spans="2:13" hidden="1">
      <c r="B932" s="406">
        <v>13138</v>
      </c>
      <c r="C932" s="265" t="s">
        <v>327</v>
      </c>
      <c r="D932" s="266">
        <v>500</v>
      </c>
      <c r="E932" s="332"/>
      <c r="F932" s="333"/>
      <c r="G932" s="367">
        <v>1.7600000000000001E-2</v>
      </c>
      <c r="H932" s="157" t="str">
        <f t="shared" si="48"/>
        <v>CZK</v>
      </c>
      <c r="I932" s="334"/>
      <c r="J932" s="335" t="s">
        <v>54</v>
      </c>
      <c r="L932" s="97">
        <f>VLOOKUP(B932,$B$11:B931,1,FALSE)</f>
        <v>13138</v>
      </c>
      <c r="M932" s="317">
        <f>G932*(1-FORM!$AE$28/100)</f>
        <v>1.7600000000000001E-2</v>
      </c>
    </row>
    <row r="933" spans="2:13" hidden="1">
      <c r="B933" s="406">
        <v>13138</v>
      </c>
      <c r="C933" s="265" t="s">
        <v>327</v>
      </c>
      <c r="D933" s="266">
        <v>500</v>
      </c>
      <c r="E933" s="332"/>
      <c r="F933" s="333"/>
      <c r="G933" s="367">
        <v>1.7600000000000001E-2</v>
      </c>
      <c r="H933" s="157" t="str">
        <f t="shared" si="48"/>
        <v>CZK</v>
      </c>
      <c r="I933" s="334"/>
      <c r="J933" s="335" t="s">
        <v>54</v>
      </c>
      <c r="L933" s="97">
        <f>VLOOKUP(B933,$B$11:B932,1,FALSE)</f>
        <v>13138</v>
      </c>
      <c r="M933" s="317">
        <f>G933*(1-FORM!$AE$28/100)</f>
        <v>1.7600000000000001E-2</v>
      </c>
    </row>
    <row r="934" spans="2:13" hidden="1">
      <c r="B934" s="406">
        <v>13138</v>
      </c>
      <c r="C934" s="265" t="s">
        <v>327</v>
      </c>
      <c r="D934" s="266">
        <v>500</v>
      </c>
      <c r="E934" s="332"/>
      <c r="F934" s="333"/>
      <c r="G934" s="367">
        <v>1.7600000000000001E-2</v>
      </c>
      <c r="H934" s="157" t="str">
        <f t="shared" si="48"/>
        <v>CZK</v>
      </c>
      <c r="I934" s="334"/>
      <c r="J934" s="335" t="s">
        <v>54</v>
      </c>
      <c r="L934" s="97">
        <f>VLOOKUP(B934,$B$11:B933,1,FALSE)</f>
        <v>13138</v>
      </c>
      <c r="M934" s="317">
        <f>G934*(1-FORM!$AE$28/100)</f>
        <v>1.7600000000000001E-2</v>
      </c>
    </row>
    <row r="935" spans="2:13" hidden="1">
      <c r="B935" s="406">
        <v>13138</v>
      </c>
      <c r="C935" s="265" t="s">
        <v>327</v>
      </c>
      <c r="D935" s="266">
        <v>500</v>
      </c>
      <c r="E935" s="332"/>
      <c r="F935" s="333"/>
      <c r="G935" s="367">
        <v>1.7600000000000001E-2</v>
      </c>
      <c r="H935" s="157" t="str">
        <f t="shared" si="48"/>
        <v>CZK</v>
      </c>
      <c r="I935" s="334"/>
      <c r="J935" s="335" t="s">
        <v>54</v>
      </c>
      <c r="L935" s="97">
        <f>VLOOKUP(B935,$B$11:B934,1,FALSE)</f>
        <v>13138</v>
      </c>
      <c r="M935" s="317">
        <f>G935*(1-FORM!$AE$28/100)</f>
        <v>1.7600000000000001E-2</v>
      </c>
    </row>
    <row r="936" spans="2:13" hidden="1">
      <c r="B936" s="406">
        <v>13138</v>
      </c>
      <c r="C936" s="265" t="s">
        <v>327</v>
      </c>
      <c r="D936" s="266">
        <v>500</v>
      </c>
      <c r="E936" s="332"/>
      <c r="F936" s="333"/>
      <c r="G936" s="367">
        <v>1.7600000000000001E-2</v>
      </c>
      <c r="H936" s="157" t="str">
        <f t="shared" si="48"/>
        <v>CZK</v>
      </c>
      <c r="I936" s="334"/>
      <c r="J936" s="335" t="s">
        <v>54</v>
      </c>
      <c r="L936" s="97">
        <f>VLOOKUP(B936,$B$11:B935,1,FALSE)</f>
        <v>13138</v>
      </c>
      <c r="M936" s="317">
        <f>G936*(1-FORM!$AE$28/100)</f>
        <v>1.7600000000000001E-2</v>
      </c>
    </row>
    <row r="937" spans="2:13" hidden="1">
      <c r="B937" s="406">
        <v>13138</v>
      </c>
      <c r="C937" s="265" t="s">
        <v>327</v>
      </c>
      <c r="D937" s="266">
        <v>500</v>
      </c>
      <c r="E937" s="332"/>
      <c r="F937" s="333"/>
      <c r="G937" s="367">
        <v>1.7600000000000001E-2</v>
      </c>
      <c r="H937" s="157" t="str">
        <f t="shared" si="48"/>
        <v>CZK</v>
      </c>
      <c r="I937" s="334"/>
      <c r="J937" s="335" t="s">
        <v>54</v>
      </c>
      <c r="L937" s="97">
        <f>VLOOKUP(B937,$B$11:B936,1,FALSE)</f>
        <v>13138</v>
      </c>
      <c r="M937" s="317">
        <f>G937*(1-FORM!$AE$28/100)</f>
        <v>1.7600000000000001E-2</v>
      </c>
    </row>
    <row r="938" spans="2:13" hidden="1">
      <c r="B938" s="406">
        <v>13138</v>
      </c>
      <c r="C938" s="265" t="s">
        <v>327</v>
      </c>
      <c r="D938" s="266">
        <v>500</v>
      </c>
      <c r="E938" s="332"/>
      <c r="F938" s="333"/>
      <c r="G938" s="367">
        <v>1.7600000000000001E-2</v>
      </c>
      <c r="H938" s="157" t="str">
        <f t="shared" si="48"/>
        <v>CZK</v>
      </c>
      <c r="I938" s="334"/>
      <c r="J938" s="335" t="s">
        <v>54</v>
      </c>
      <c r="L938" s="97">
        <f>VLOOKUP(B938,$B$11:B937,1,FALSE)</f>
        <v>13138</v>
      </c>
      <c r="M938" s="317">
        <f>G938*(1-FORM!$AE$28/100)</f>
        <v>1.7600000000000001E-2</v>
      </c>
    </row>
    <row r="939" spans="2:13" hidden="1">
      <c r="B939" s="406">
        <v>13138</v>
      </c>
      <c r="C939" s="265" t="s">
        <v>327</v>
      </c>
      <c r="D939" s="266">
        <v>500</v>
      </c>
      <c r="E939" s="332"/>
      <c r="F939" s="333"/>
      <c r="G939" s="367">
        <v>1.7600000000000001E-2</v>
      </c>
      <c r="H939" s="157" t="str">
        <f t="shared" si="48"/>
        <v>CZK</v>
      </c>
      <c r="I939" s="334"/>
      <c r="J939" s="335" t="s">
        <v>54</v>
      </c>
      <c r="L939" s="97">
        <f>VLOOKUP(B939,$B$11:B938,1,FALSE)</f>
        <v>13138</v>
      </c>
      <c r="M939" s="317">
        <f>G939*(1-FORM!$AE$28/100)</f>
        <v>1.7600000000000001E-2</v>
      </c>
    </row>
    <row r="940" spans="2:13" hidden="1">
      <c r="B940" s="406">
        <v>13138</v>
      </c>
      <c r="C940" s="265" t="s">
        <v>327</v>
      </c>
      <c r="D940" s="266">
        <v>500</v>
      </c>
      <c r="E940" s="332"/>
      <c r="F940" s="333"/>
      <c r="G940" s="367">
        <v>1.7600000000000001E-2</v>
      </c>
      <c r="H940" s="157" t="str">
        <f t="shared" si="48"/>
        <v>CZK</v>
      </c>
      <c r="I940" s="334"/>
      <c r="J940" s="335" t="s">
        <v>54</v>
      </c>
      <c r="L940" s="97">
        <f>VLOOKUP(B940,$B$11:B939,1,FALSE)</f>
        <v>13138</v>
      </c>
      <c r="M940" s="317">
        <f>G940*(1-FORM!$AE$28/100)</f>
        <v>1.7600000000000001E-2</v>
      </c>
    </row>
    <row r="941" spans="2:13" hidden="1">
      <c r="B941" s="406">
        <v>13138</v>
      </c>
      <c r="C941" s="265" t="s">
        <v>327</v>
      </c>
      <c r="D941" s="266">
        <v>500</v>
      </c>
      <c r="E941" s="332"/>
      <c r="F941" s="333"/>
      <c r="G941" s="367">
        <v>1.7600000000000001E-2</v>
      </c>
      <c r="H941" s="157" t="str">
        <f t="shared" si="48"/>
        <v>CZK</v>
      </c>
      <c r="I941" s="334"/>
      <c r="J941" s="335" t="s">
        <v>54</v>
      </c>
      <c r="L941" s="97">
        <f>VLOOKUP(B941,$B$11:B940,1,FALSE)</f>
        <v>13138</v>
      </c>
      <c r="M941" s="317">
        <f>G941*(1-FORM!$AE$28/100)</f>
        <v>1.7600000000000001E-2</v>
      </c>
    </row>
    <row r="942" spans="2:13" hidden="1">
      <c r="B942" s="406">
        <v>13138</v>
      </c>
      <c r="C942" s="265" t="s">
        <v>327</v>
      </c>
      <c r="D942" s="266">
        <v>500</v>
      </c>
      <c r="E942" s="332"/>
      <c r="F942" s="333"/>
      <c r="G942" s="367">
        <v>1.7600000000000001E-2</v>
      </c>
      <c r="H942" s="157" t="str">
        <f t="shared" si="48"/>
        <v>CZK</v>
      </c>
      <c r="I942" s="334"/>
      <c r="J942" s="335" t="s">
        <v>54</v>
      </c>
      <c r="L942" s="97">
        <f>VLOOKUP(B942,$B$11:B941,1,FALSE)</f>
        <v>13138</v>
      </c>
      <c r="M942" s="317">
        <f>G942*(1-FORM!$AE$28/100)</f>
        <v>1.7600000000000001E-2</v>
      </c>
    </row>
    <row r="943" spans="2:13" hidden="1">
      <c r="B943" s="406">
        <v>13138</v>
      </c>
      <c r="C943" s="265" t="s">
        <v>327</v>
      </c>
      <c r="D943" s="266">
        <v>500</v>
      </c>
      <c r="E943" s="332"/>
      <c r="F943" s="333"/>
      <c r="G943" s="367">
        <v>1.7600000000000001E-2</v>
      </c>
      <c r="H943" s="157" t="str">
        <f t="shared" si="48"/>
        <v>CZK</v>
      </c>
      <c r="I943" s="334"/>
      <c r="J943" s="335" t="s">
        <v>54</v>
      </c>
      <c r="L943" s="97">
        <f>VLOOKUP(B943,$B$11:B942,1,FALSE)</f>
        <v>13138</v>
      </c>
      <c r="M943" s="317">
        <f>G943*(1-FORM!$AE$28/100)</f>
        <v>1.7600000000000001E-2</v>
      </c>
    </row>
    <row r="944" spans="2:13" hidden="1">
      <c r="B944" s="406">
        <v>13138</v>
      </c>
      <c r="C944" s="265" t="s">
        <v>327</v>
      </c>
      <c r="D944" s="266">
        <v>500</v>
      </c>
      <c r="E944" s="332"/>
      <c r="F944" s="333"/>
      <c r="G944" s="367">
        <v>1.7600000000000001E-2</v>
      </c>
      <c r="H944" s="157" t="str">
        <f t="shared" si="48"/>
        <v>CZK</v>
      </c>
      <c r="I944" s="334"/>
      <c r="J944" s="335" t="s">
        <v>54</v>
      </c>
      <c r="L944" s="97">
        <f>VLOOKUP(B944,$B$11:B943,1,FALSE)</f>
        <v>13138</v>
      </c>
      <c r="M944" s="317">
        <f>G944*(1-FORM!$AE$28/100)</f>
        <v>1.7600000000000001E-2</v>
      </c>
    </row>
    <row r="945" spans="2:13" hidden="1">
      <c r="B945" s="406">
        <v>13138</v>
      </c>
      <c r="C945" s="265" t="s">
        <v>327</v>
      </c>
      <c r="D945" s="266">
        <v>500</v>
      </c>
      <c r="E945" s="332"/>
      <c r="F945" s="333"/>
      <c r="G945" s="367">
        <v>1.7600000000000001E-2</v>
      </c>
      <c r="H945" s="157" t="str">
        <f t="shared" si="48"/>
        <v>CZK</v>
      </c>
      <c r="I945" s="334"/>
      <c r="J945" s="335" t="s">
        <v>54</v>
      </c>
      <c r="L945" s="97">
        <f>VLOOKUP(B945,$B$11:B944,1,FALSE)</f>
        <v>13138</v>
      </c>
      <c r="M945" s="317">
        <f>G945*(1-FORM!$AE$28/100)</f>
        <v>1.7600000000000001E-2</v>
      </c>
    </row>
    <row r="946" spans="2:13" hidden="1">
      <c r="B946" s="406">
        <v>13138</v>
      </c>
      <c r="C946" s="265" t="s">
        <v>327</v>
      </c>
      <c r="D946" s="266">
        <v>500</v>
      </c>
      <c r="E946" s="332"/>
      <c r="F946" s="333"/>
      <c r="G946" s="367">
        <v>1.7600000000000001E-2</v>
      </c>
      <c r="H946" s="157" t="str">
        <f t="shared" si="48"/>
        <v>CZK</v>
      </c>
      <c r="I946" s="334"/>
      <c r="J946" s="335" t="s">
        <v>54</v>
      </c>
      <c r="L946" s="97">
        <f>VLOOKUP(B946,$B$11:B945,1,FALSE)</f>
        <v>13138</v>
      </c>
      <c r="M946" s="317">
        <f>G946*(1-FORM!$AE$28/100)</f>
        <v>1.7600000000000001E-2</v>
      </c>
    </row>
    <row r="947" spans="2:13" hidden="1">
      <c r="B947" s="406">
        <v>13138</v>
      </c>
      <c r="C947" s="265" t="s">
        <v>327</v>
      </c>
      <c r="D947" s="266">
        <v>500</v>
      </c>
      <c r="E947" s="332"/>
      <c r="F947" s="333"/>
      <c r="G947" s="367">
        <v>1.7600000000000001E-2</v>
      </c>
      <c r="H947" s="157" t="str">
        <f t="shared" si="48"/>
        <v>CZK</v>
      </c>
      <c r="I947" s="334"/>
      <c r="J947" s="335" t="s">
        <v>54</v>
      </c>
      <c r="L947" s="97">
        <f>VLOOKUP(B947,$B$11:B946,1,FALSE)</f>
        <v>13138</v>
      </c>
      <c r="M947" s="317">
        <f>G947*(1-FORM!$AE$28/100)</f>
        <v>1.7600000000000001E-2</v>
      </c>
    </row>
    <row r="948" spans="2:13" hidden="1">
      <c r="B948" s="406">
        <v>13138</v>
      </c>
      <c r="C948" s="265" t="s">
        <v>327</v>
      </c>
      <c r="D948" s="266">
        <v>500</v>
      </c>
      <c r="E948" s="332"/>
      <c r="F948" s="333"/>
      <c r="G948" s="367">
        <v>1.7600000000000001E-2</v>
      </c>
      <c r="H948" s="157" t="str">
        <f t="shared" si="48"/>
        <v>CZK</v>
      </c>
      <c r="I948" s="334"/>
      <c r="J948" s="335" t="s">
        <v>54</v>
      </c>
      <c r="L948" s="97">
        <f>VLOOKUP(B948,$B$11:B947,1,FALSE)</f>
        <v>13138</v>
      </c>
      <c r="M948" s="317">
        <f>G948*(1-FORM!$AE$28/100)</f>
        <v>1.7600000000000001E-2</v>
      </c>
    </row>
    <row r="949" spans="2:13" hidden="1">
      <c r="B949" s="406">
        <v>13138</v>
      </c>
      <c r="C949" s="265" t="s">
        <v>327</v>
      </c>
      <c r="D949" s="266">
        <v>500</v>
      </c>
      <c r="E949" s="332"/>
      <c r="F949" s="333"/>
      <c r="G949" s="367">
        <v>1.7600000000000001E-2</v>
      </c>
      <c r="H949" s="157" t="str">
        <f t="shared" si="48"/>
        <v>CZK</v>
      </c>
      <c r="I949" s="334"/>
      <c r="J949" s="335" t="s">
        <v>54</v>
      </c>
      <c r="L949" s="97">
        <f>VLOOKUP(B949,$B$11:B948,1,FALSE)</f>
        <v>13138</v>
      </c>
      <c r="M949" s="317">
        <f>G949*(1-FORM!$AE$28/100)</f>
        <v>1.7600000000000001E-2</v>
      </c>
    </row>
    <row r="950" spans="2:13" hidden="1">
      <c r="B950" s="406">
        <v>13138</v>
      </c>
      <c r="C950" s="265" t="s">
        <v>327</v>
      </c>
      <c r="D950" s="266">
        <v>500</v>
      </c>
      <c r="E950" s="332"/>
      <c r="F950" s="333"/>
      <c r="G950" s="367">
        <v>1.7600000000000001E-2</v>
      </c>
      <c r="H950" s="157" t="str">
        <f t="shared" si="48"/>
        <v>CZK</v>
      </c>
      <c r="I950" s="334"/>
      <c r="J950" s="335" t="s">
        <v>54</v>
      </c>
      <c r="L950" s="97">
        <f>VLOOKUP(B950,$B$11:B949,1,FALSE)</f>
        <v>13138</v>
      </c>
      <c r="M950" s="317">
        <f>G950*(1-FORM!$AE$28/100)</f>
        <v>1.7600000000000001E-2</v>
      </c>
    </row>
    <row r="951" spans="2:13" hidden="1">
      <c r="B951" s="406">
        <v>13138</v>
      </c>
      <c r="C951" s="265" t="s">
        <v>327</v>
      </c>
      <c r="D951" s="266">
        <v>500</v>
      </c>
      <c r="E951" s="332"/>
      <c r="F951" s="333"/>
      <c r="G951" s="367">
        <v>1.7600000000000001E-2</v>
      </c>
      <c r="H951" s="157" t="str">
        <f t="shared" si="48"/>
        <v>CZK</v>
      </c>
      <c r="I951" s="334"/>
      <c r="J951" s="335" t="s">
        <v>54</v>
      </c>
      <c r="L951" s="97">
        <f>VLOOKUP(B951,$B$11:B950,1,FALSE)</f>
        <v>13138</v>
      </c>
      <c r="M951" s="317">
        <f>G951*(1-FORM!$AE$28/100)</f>
        <v>1.7600000000000001E-2</v>
      </c>
    </row>
    <row r="952" spans="2:13" hidden="1">
      <c r="B952" s="406">
        <v>13138</v>
      </c>
      <c r="C952" s="265" t="s">
        <v>327</v>
      </c>
      <c r="D952" s="266">
        <v>500</v>
      </c>
      <c r="E952" s="332"/>
      <c r="F952" s="333"/>
      <c r="G952" s="367">
        <v>1.7600000000000001E-2</v>
      </c>
      <c r="H952" s="157" t="str">
        <f t="shared" si="48"/>
        <v>CZK</v>
      </c>
      <c r="I952" s="334"/>
      <c r="J952" s="335" t="s">
        <v>54</v>
      </c>
      <c r="L952" s="97">
        <f>VLOOKUP(B952,$B$11:B951,1,FALSE)</f>
        <v>13138</v>
      </c>
      <c r="M952" s="317">
        <f>G952*(1-FORM!$AE$28/100)</f>
        <v>1.7600000000000001E-2</v>
      </c>
    </row>
    <row r="953" spans="2:13" hidden="1">
      <c r="B953" s="406">
        <v>13138</v>
      </c>
      <c r="C953" s="265" t="s">
        <v>327</v>
      </c>
      <c r="D953" s="266">
        <v>500</v>
      </c>
      <c r="E953" s="332"/>
      <c r="F953" s="333"/>
      <c r="G953" s="367">
        <v>1.7600000000000001E-2</v>
      </c>
      <c r="H953" s="157" t="str">
        <f t="shared" si="48"/>
        <v>CZK</v>
      </c>
      <c r="I953" s="334"/>
      <c r="J953" s="335" t="s">
        <v>54</v>
      </c>
      <c r="L953" s="97">
        <f>VLOOKUP(B953,$B$11:B952,1,FALSE)</f>
        <v>13138</v>
      </c>
      <c r="M953" s="317">
        <f>G953*(1-FORM!$AE$28/100)</f>
        <v>1.7600000000000001E-2</v>
      </c>
    </row>
    <row r="954" spans="2:13" hidden="1">
      <c r="B954" s="406">
        <v>13138</v>
      </c>
      <c r="C954" s="265" t="s">
        <v>327</v>
      </c>
      <c r="D954" s="266">
        <v>500</v>
      </c>
      <c r="E954" s="332"/>
      <c r="F954" s="333"/>
      <c r="G954" s="367">
        <v>1.7600000000000001E-2</v>
      </c>
      <c r="H954" s="157" t="str">
        <f t="shared" si="48"/>
        <v>CZK</v>
      </c>
      <c r="I954" s="334"/>
      <c r="J954" s="335" t="s">
        <v>54</v>
      </c>
      <c r="L954" s="97">
        <f>VLOOKUP(B954,$B$11:B953,1,FALSE)</f>
        <v>13138</v>
      </c>
      <c r="M954" s="317">
        <f>G954*(1-FORM!$AE$28/100)</f>
        <v>1.7600000000000001E-2</v>
      </c>
    </row>
    <row r="955" spans="2:13" hidden="1">
      <c r="B955" s="406">
        <v>13138</v>
      </c>
      <c r="C955" s="265" t="s">
        <v>327</v>
      </c>
      <c r="D955" s="266">
        <v>500</v>
      </c>
      <c r="E955" s="332"/>
      <c r="F955" s="333"/>
      <c r="G955" s="367">
        <v>1.7600000000000001E-2</v>
      </c>
      <c r="H955" s="157" t="str">
        <f t="shared" si="48"/>
        <v>CZK</v>
      </c>
      <c r="I955" s="334"/>
      <c r="J955" s="335" t="s">
        <v>54</v>
      </c>
      <c r="L955" s="97">
        <f>VLOOKUP(B955,$B$11:B954,1,FALSE)</f>
        <v>13138</v>
      </c>
      <c r="M955" s="317">
        <f>G955*(1-FORM!$AE$28/100)</f>
        <v>1.7600000000000001E-2</v>
      </c>
    </row>
    <row r="956" spans="2:13" hidden="1">
      <c r="B956" s="406">
        <v>13138</v>
      </c>
      <c r="C956" s="265" t="s">
        <v>327</v>
      </c>
      <c r="D956" s="266">
        <v>500</v>
      </c>
      <c r="E956" s="332"/>
      <c r="F956" s="333"/>
      <c r="G956" s="367">
        <v>1.7600000000000001E-2</v>
      </c>
      <c r="H956" s="157" t="str">
        <f t="shared" si="48"/>
        <v>CZK</v>
      </c>
      <c r="I956" s="334"/>
      <c r="J956" s="335" t="s">
        <v>54</v>
      </c>
      <c r="L956" s="97">
        <f>VLOOKUP(B956,$B$11:B955,1,FALSE)</f>
        <v>13138</v>
      </c>
      <c r="M956" s="317">
        <f>G956*(1-FORM!$AE$28/100)</f>
        <v>1.7600000000000001E-2</v>
      </c>
    </row>
    <row r="957" spans="2:13" hidden="1">
      <c r="B957" s="406">
        <v>13138</v>
      </c>
      <c r="C957" s="265" t="s">
        <v>327</v>
      </c>
      <c r="D957" s="266">
        <v>500</v>
      </c>
      <c r="E957" s="332"/>
      <c r="F957" s="333"/>
      <c r="G957" s="367">
        <v>1.7600000000000001E-2</v>
      </c>
      <c r="H957" s="157" t="str">
        <f t="shared" si="48"/>
        <v>CZK</v>
      </c>
      <c r="I957" s="334"/>
      <c r="J957" s="335" t="s">
        <v>54</v>
      </c>
      <c r="L957" s="97">
        <f>VLOOKUP(B957,$B$11:B956,1,FALSE)</f>
        <v>13138</v>
      </c>
      <c r="M957" s="317">
        <f>G957*(1-FORM!$AE$28/100)</f>
        <v>1.7600000000000001E-2</v>
      </c>
    </row>
    <row r="958" spans="2:13" hidden="1">
      <c r="B958" s="406">
        <v>13138</v>
      </c>
      <c r="C958" s="265" t="s">
        <v>327</v>
      </c>
      <c r="D958" s="266">
        <v>500</v>
      </c>
      <c r="E958" s="332"/>
      <c r="F958" s="333"/>
      <c r="G958" s="367">
        <v>1.7600000000000001E-2</v>
      </c>
      <c r="H958" s="157" t="str">
        <f t="shared" si="48"/>
        <v>CZK</v>
      </c>
      <c r="I958" s="334"/>
      <c r="J958" s="335" t="s">
        <v>54</v>
      </c>
      <c r="L958" s="97">
        <f>VLOOKUP(B958,$B$11:B957,1,FALSE)</f>
        <v>13138</v>
      </c>
      <c r="M958" s="317">
        <f>G958*(1-FORM!$AE$28/100)</f>
        <v>1.7600000000000001E-2</v>
      </c>
    </row>
    <row r="959" spans="2:13" hidden="1">
      <c r="B959" s="406">
        <v>13138</v>
      </c>
      <c r="C959" s="265" t="s">
        <v>327</v>
      </c>
      <c r="D959" s="266">
        <v>500</v>
      </c>
      <c r="E959" s="332"/>
      <c r="F959" s="333"/>
      <c r="G959" s="367">
        <v>1.7600000000000001E-2</v>
      </c>
      <c r="H959" s="157" t="str">
        <f t="shared" si="48"/>
        <v>CZK</v>
      </c>
      <c r="I959" s="334"/>
      <c r="J959" s="335" t="s">
        <v>54</v>
      </c>
      <c r="L959" s="97">
        <f>VLOOKUP(B959,$B$11:B958,1,FALSE)</f>
        <v>13138</v>
      </c>
      <c r="M959" s="317">
        <f>G959*(1-FORM!$AE$28/100)</f>
        <v>1.7600000000000001E-2</v>
      </c>
    </row>
    <row r="960" spans="2:13" hidden="1">
      <c r="B960" s="406">
        <v>13138</v>
      </c>
      <c r="C960" s="265" t="s">
        <v>327</v>
      </c>
      <c r="D960" s="266">
        <v>500</v>
      </c>
      <c r="E960" s="332"/>
      <c r="F960" s="333"/>
      <c r="G960" s="367">
        <v>1.7600000000000001E-2</v>
      </c>
      <c r="H960" s="157" t="str">
        <f t="shared" si="48"/>
        <v>CZK</v>
      </c>
      <c r="I960" s="334"/>
      <c r="J960" s="335" t="s">
        <v>54</v>
      </c>
      <c r="L960" s="97">
        <f>VLOOKUP(B960,$B$11:B959,1,FALSE)</f>
        <v>13138</v>
      </c>
      <c r="M960" s="317">
        <f>G960*(1-FORM!$AE$28/100)</f>
        <v>1.7600000000000001E-2</v>
      </c>
    </row>
    <row r="961" spans="2:13" hidden="1">
      <c r="B961" s="406">
        <v>13138</v>
      </c>
      <c r="C961" s="265" t="s">
        <v>327</v>
      </c>
      <c r="D961" s="266">
        <v>500</v>
      </c>
      <c r="E961" s="332"/>
      <c r="F961" s="333"/>
      <c r="G961" s="367">
        <v>1.7600000000000001E-2</v>
      </c>
      <c r="H961" s="157" t="str">
        <f t="shared" si="48"/>
        <v>CZK</v>
      </c>
      <c r="I961" s="334"/>
      <c r="J961" s="335" t="s">
        <v>54</v>
      </c>
      <c r="L961" s="97">
        <f>VLOOKUP(B961,$B$11:B960,1,FALSE)</f>
        <v>13138</v>
      </c>
      <c r="M961" s="317">
        <f>G961*(1-FORM!$AE$28/100)</f>
        <v>1.7600000000000001E-2</v>
      </c>
    </row>
    <row r="962" spans="2:13" hidden="1">
      <c r="B962" s="406">
        <v>13138</v>
      </c>
      <c r="C962" s="265" t="s">
        <v>327</v>
      </c>
      <c r="D962" s="266">
        <v>500</v>
      </c>
      <c r="E962" s="332"/>
      <c r="F962" s="333"/>
      <c r="G962" s="367">
        <v>1.7600000000000001E-2</v>
      </c>
      <c r="H962" s="157" t="str">
        <f t="shared" si="48"/>
        <v>CZK</v>
      </c>
      <c r="I962" s="334"/>
      <c r="J962" s="335" t="s">
        <v>54</v>
      </c>
      <c r="L962" s="97">
        <f>VLOOKUP(B962,$B$11:B961,1,FALSE)</f>
        <v>13138</v>
      </c>
      <c r="M962" s="317">
        <f>G962*(1-FORM!$AE$28/100)</f>
        <v>1.7600000000000001E-2</v>
      </c>
    </row>
    <row r="963" spans="2:13" hidden="1">
      <c r="B963" s="406">
        <v>13138</v>
      </c>
      <c r="C963" s="265" t="s">
        <v>327</v>
      </c>
      <c r="D963" s="266">
        <v>500</v>
      </c>
      <c r="E963" s="332"/>
      <c r="F963" s="333"/>
      <c r="G963" s="367">
        <v>1.7600000000000001E-2</v>
      </c>
      <c r="H963" s="157" t="str">
        <f t="shared" si="48"/>
        <v>CZK</v>
      </c>
      <c r="I963" s="334"/>
      <c r="J963" s="335" t="s">
        <v>54</v>
      </c>
      <c r="L963" s="97">
        <f>VLOOKUP(B963,$B$11:B962,1,FALSE)</f>
        <v>13138</v>
      </c>
      <c r="M963" s="317">
        <f>G963*(1-FORM!$AE$28/100)</f>
        <v>1.7600000000000001E-2</v>
      </c>
    </row>
    <row r="964" spans="2:13" hidden="1">
      <c r="B964" s="406">
        <v>13138</v>
      </c>
      <c r="C964" s="265" t="s">
        <v>327</v>
      </c>
      <c r="D964" s="266">
        <v>500</v>
      </c>
      <c r="E964" s="332"/>
      <c r="F964" s="333"/>
      <c r="G964" s="367">
        <v>1.7600000000000001E-2</v>
      </c>
      <c r="H964" s="157" t="str">
        <f t="shared" si="48"/>
        <v>CZK</v>
      </c>
      <c r="I964" s="334"/>
      <c r="J964" s="335" t="s">
        <v>54</v>
      </c>
      <c r="L964" s="97">
        <f>VLOOKUP(B964,$B$11:B963,1,FALSE)</f>
        <v>13138</v>
      </c>
      <c r="M964" s="317">
        <f>G964*(1-FORM!$AE$28/100)</f>
        <v>1.7600000000000001E-2</v>
      </c>
    </row>
    <row r="965" spans="2:13" hidden="1">
      <c r="B965" s="406">
        <v>13138</v>
      </c>
      <c r="C965" s="265" t="s">
        <v>327</v>
      </c>
      <c r="D965" s="266">
        <v>500</v>
      </c>
      <c r="E965" s="332"/>
      <c r="F965" s="333"/>
      <c r="G965" s="367">
        <v>1.7600000000000001E-2</v>
      </c>
      <c r="H965" s="157" t="str">
        <f t="shared" si="48"/>
        <v>CZK</v>
      </c>
      <c r="I965" s="334"/>
      <c r="J965" s="335" t="s">
        <v>54</v>
      </c>
      <c r="L965" s="97">
        <f>VLOOKUP(B965,$B$11:B964,1,FALSE)</f>
        <v>13138</v>
      </c>
      <c r="M965" s="317">
        <f>G965*(1-FORM!$AE$28/100)</f>
        <v>1.7600000000000001E-2</v>
      </c>
    </row>
    <row r="966" spans="2:13" hidden="1">
      <c r="B966" s="406">
        <v>13138</v>
      </c>
      <c r="C966" s="265" t="s">
        <v>327</v>
      </c>
      <c r="D966" s="266">
        <v>500</v>
      </c>
      <c r="E966" s="332"/>
      <c r="F966" s="333"/>
      <c r="G966" s="367">
        <v>1.7600000000000001E-2</v>
      </c>
      <c r="H966" s="157" t="str">
        <f t="shared" si="48"/>
        <v>CZK</v>
      </c>
      <c r="I966" s="334"/>
      <c r="J966" s="335" t="s">
        <v>54</v>
      </c>
      <c r="L966" s="97">
        <f>VLOOKUP(B966,$B$11:B965,1,FALSE)</f>
        <v>13138</v>
      </c>
      <c r="M966" s="317">
        <f>G966*(1-FORM!$AE$28/100)</f>
        <v>1.7600000000000001E-2</v>
      </c>
    </row>
    <row r="967" spans="2:13" hidden="1">
      <c r="B967" s="406">
        <v>13138</v>
      </c>
      <c r="C967" s="265" t="s">
        <v>327</v>
      </c>
      <c r="D967" s="266">
        <v>500</v>
      </c>
      <c r="E967" s="332"/>
      <c r="F967" s="333"/>
      <c r="G967" s="367">
        <v>1.7600000000000001E-2</v>
      </c>
      <c r="H967" s="157" t="str">
        <f t="shared" si="48"/>
        <v>CZK</v>
      </c>
      <c r="I967" s="334"/>
      <c r="J967" s="335" t="s">
        <v>54</v>
      </c>
      <c r="L967" s="97">
        <f>VLOOKUP(B967,$B$11:B966,1,FALSE)</f>
        <v>13138</v>
      </c>
      <c r="M967" s="317">
        <f>G967*(1-FORM!$AE$28/100)</f>
        <v>1.7600000000000001E-2</v>
      </c>
    </row>
    <row r="968" spans="2:13" hidden="1">
      <c r="B968" s="406">
        <v>13138</v>
      </c>
      <c r="C968" s="265" t="s">
        <v>327</v>
      </c>
      <c r="D968" s="266">
        <v>500</v>
      </c>
      <c r="E968" s="332"/>
      <c r="F968" s="333"/>
      <c r="G968" s="367">
        <v>1.7600000000000001E-2</v>
      </c>
      <c r="H968" s="157" t="str">
        <f t="shared" si="48"/>
        <v>CZK</v>
      </c>
      <c r="I968" s="334"/>
      <c r="J968" s="335" t="s">
        <v>54</v>
      </c>
      <c r="L968" s="97">
        <f>VLOOKUP(B968,$B$11:B967,1,FALSE)</f>
        <v>13138</v>
      </c>
      <c r="M968" s="317">
        <f>G968*(1-FORM!$AE$28/100)</f>
        <v>1.7600000000000001E-2</v>
      </c>
    </row>
    <row r="969" spans="2:13" hidden="1">
      <c r="B969" s="406">
        <v>13138</v>
      </c>
      <c r="C969" s="265" t="s">
        <v>327</v>
      </c>
      <c r="D969" s="266">
        <v>500</v>
      </c>
      <c r="E969" s="332"/>
      <c r="F969" s="333"/>
      <c r="G969" s="367">
        <v>1.7600000000000001E-2</v>
      </c>
      <c r="H969" s="157" t="str">
        <f t="shared" ref="H969:H1027" si="49">IF(G969="","",$H$10)</f>
        <v>CZK</v>
      </c>
      <c r="I969" s="334"/>
      <c r="J969" s="335" t="s">
        <v>54</v>
      </c>
      <c r="L969" s="97">
        <f>VLOOKUP(B969,$B$11:B968,1,FALSE)</f>
        <v>13138</v>
      </c>
      <c r="M969" s="317">
        <f>G969*(1-FORM!$AE$28/100)</f>
        <v>1.7600000000000001E-2</v>
      </c>
    </row>
    <row r="970" spans="2:13" hidden="1">
      <c r="B970" s="406">
        <v>13138</v>
      </c>
      <c r="C970" s="265" t="s">
        <v>327</v>
      </c>
      <c r="D970" s="266">
        <v>500</v>
      </c>
      <c r="E970" s="332"/>
      <c r="F970" s="333"/>
      <c r="G970" s="367">
        <v>1.7600000000000001E-2</v>
      </c>
      <c r="H970" s="157" t="str">
        <f t="shared" si="49"/>
        <v>CZK</v>
      </c>
      <c r="I970" s="334"/>
      <c r="J970" s="335" t="s">
        <v>54</v>
      </c>
      <c r="L970" s="97">
        <f>VLOOKUP(B970,$B$11:B969,1,FALSE)</f>
        <v>13138</v>
      </c>
      <c r="M970" s="317">
        <f>G970*(1-FORM!$AE$28/100)</f>
        <v>1.7600000000000001E-2</v>
      </c>
    </row>
    <row r="971" spans="2:13" hidden="1">
      <c r="B971" s="406">
        <v>13138</v>
      </c>
      <c r="C971" s="265" t="s">
        <v>327</v>
      </c>
      <c r="D971" s="266">
        <v>500</v>
      </c>
      <c r="E971" s="332"/>
      <c r="F971" s="333"/>
      <c r="G971" s="367">
        <v>1.7600000000000001E-2</v>
      </c>
      <c r="H971" s="157" t="str">
        <f t="shared" si="49"/>
        <v>CZK</v>
      </c>
      <c r="I971" s="334"/>
      <c r="J971" s="335" t="s">
        <v>54</v>
      </c>
      <c r="L971" s="97">
        <f>VLOOKUP(B971,$B$11:B970,1,FALSE)</f>
        <v>13138</v>
      </c>
      <c r="M971" s="317">
        <f>G971*(1-FORM!$AE$28/100)</f>
        <v>1.7600000000000001E-2</v>
      </c>
    </row>
    <row r="972" spans="2:13" hidden="1">
      <c r="B972" s="406">
        <v>13138</v>
      </c>
      <c r="C972" s="265" t="s">
        <v>327</v>
      </c>
      <c r="D972" s="266">
        <v>500</v>
      </c>
      <c r="E972" s="332"/>
      <c r="F972" s="333"/>
      <c r="G972" s="367">
        <v>1.7600000000000001E-2</v>
      </c>
      <c r="H972" s="157" t="str">
        <f t="shared" si="49"/>
        <v>CZK</v>
      </c>
      <c r="I972" s="334"/>
      <c r="J972" s="335" t="s">
        <v>54</v>
      </c>
      <c r="L972" s="97">
        <f>VLOOKUP(B972,$B$11:B971,1,FALSE)</f>
        <v>13138</v>
      </c>
      <c r="M972" s="317">
        <f>G972*(1-FORM!$AE$28/100)</f>
        <v>1.7600000000000001E-2</v>
      </c>
    </row>
    <row r="973" spans="2:13" hidden="1">
      <c r="B973" s="406">
        <v>13138</v>
      </c>
      <c r="C973" s="265" t="s">
        <v>327</v>
      </c>
      <c r="D973" s="266">
        <v>500</v>
      </c>
      <c r="E973" s="332"/>
      <c r="F973" s="333"/>
      <c r="G973" s="367">
        <v>1.7600000000000001E-2</v>
      </c>
      <c r="H973" s="157" t="str">
        <f t="shared" si="49"/>
        <v>CZK</v>
      </c>
      <c r="I973" s="334"/>
      <c r="J973" s="335" t="s">
        <v>54</v>
      </c>
      <c r="L973" s="97">
        <f>VLOOKUP(B973,$B$11:B972,1,FALSE)</f>
        <v>13138</v>
      </c>
      <c r="M973" s="317">
        <f>G973*(1-FORM!$AE$28/100)</f>
        <v>1.7600000000000001E-2</v>
      </c>
    </row>
    <row r="974" spans="2:13" hidden="1">
      <c r="B974" s="406">
        <v>13138</v>
      </c>
      <c r="C974" s="265" t="s">
        <v>327</v>
      </c>
      <c r="D974" s="266">
        <v>500</v>
      </c>
      <c r="E974" s="332"/>
      <c r="F974" s="333"/>
      <c r="G974" s="367">
        <v>1.7600000000000001E-2</v>
      </c>
      <c r="H974" s="157" t="str">
        <f t="shared" si="49"/>
        <v>CZK</v>
      </c>
      <c r="I974" s="334"/>
      <c r="J974" s="335" t="s">
        <v>54</v>
      </c>
      <c r="L974" s="97">
        <f>VLOOKUP(B974,$B$11:B973,1,FALSE)</f>
        <v>13138</v>
      </c>
      <c r="M974" s="317">
        <f>G974*(1-FORM!$AE$28/100)</f>
        <v>1.7600000000000001E-2</v>
      </c>
    </row>
    <row r="975" spans="2:13" hidden="1">
      <c r="B975" s="406">
        <v>13138</v>
      </c>
      <c r="C975" s="265" t="s">
        <v>327</v>
      </c>
      <c r="D975" s="266">
        <v>500</v>
      </c>
      <c r="E975" s="332"/>
      <c r="F975" s="333"/>
      <c r="G975" s="367">
        <v>1.7600000000000001E-2</v>
      </c>
      <c r="H975" s="157" t="str">
        <f t="shared" si="49"/>
        <v>CZK</v>
      </c>
      <c r="I975" s="334"/>
      <c r="J975" s="335" t="s">
        <v>54</v>
      </c>
      <c r="L975" s="97">
        <f>VLOOKUP(B975,$B$11:B974,1,FALSE)</f>
        <v>13138</v>
      </c>
      <c r="M975" s="317">
        <f>G975*(1-FORM!$AE$28/100)</f>
        <v>1.7600000000000001E-2</v>
      </c>
    </row>
    <row r="976" spans="2:13" hidden="1">
      <c r="B976" s="406">
        <v>13138</v>
      </c>
      <c r="C976" s="265" t="s">
        <v>327</v>
      </c>
      <c r="D976" s="266">
        <v>500</v>
      </c>
      <c r="E976" s="332"/>
      <c r="F976" s="333"/>
      <c r="G976" s="367">
        <v>1.7600000000000001E-2</v>
      </c>
      <c r="H976" s="157" t="str">
        <f t="shared" si="49"/>
        <v>CZK</v>
      </c>
      <c r="I976" s="334"/>
      <c r="J976" s="335" t="s">
        <v>54</v>
      </c>
      <c r="L976" s="97">
        <f>VLOOKUP(B976,$B$11:B975,1,FALSE)</f>
        <v>13138</v>
      </c>
      <c r="M976" s="317">
        <f>G976*(1-FORM!$AE$28/100)</f>
        <v>1.7600000000000001E-2</v>
      </c>
    </row>
    <row r="977" spans="2:13" hidden="1">
      <c r="B977" s="406">
        <v>13138</v>
      </c>
      <c r="C977" s="265" t="s">
        <v>327</v>
      </c>
      <c r="D977" s="266">
        <v>500</v>
      </c>
      <c r="E977" s="332"/>
      <c r="F977" s="333"/>
      <c r="G977" s="367">
        <v>1.7600000000000001E-2</v>
      </c>
      <c r="H977" s="157" t="str">
        <f t="shared" si="49"/>
        <v>CZK</v>
      </c>
      <c r="I977" s="334"/>
      <c r="J977" s="335" t="s">
        <v>54</v>
      </c>
      <c r="L977" s="97">
        <f>VLOOKUP(B977,$B$11:B976,1,FALSE)</f>
        <v>13138</v>
      </c>
      <c r="M977" s="317">
        <f>G977*(1-FORM!$AE$28/100)</f>
        <v>1.7600000000000001E-2</v>
      </c>
    </row>
    <row r="978" spans="2:13" hidden="1">
      <c r="B978" s="406">
        <v>13138</v>
      </c>
      <c r="C978" s="265" t="s">
        <v>327</v>
      </c>
      <c r="D978" s="266">
        <v>500</v>
      </c>
      <c r="E978" s="332"/>
      <c r="F978" s="333"/>
      <c r="G978" s="367">
        <v>1.7600000000000001E-2</v>
      </c>
      <c r="H978" s="157" t="str">
        <f t="shared" si="49"/>
        <v>CZK</v>
      </c>
      <c r="I978" s="334"/>
      <c r="J978" s="335" t="s">
        <v>54</v>
      </c>
      <c r="L978" s="97">
        <f>VLOOKUP(B978,$B$11:B977,1,FALSE)</f>
        <v>13138</v>
      </c>
      <c r="M978" s="317">
        <f>G978*(1-FORM!$AE$28/100)</f>
        <v>1.7600000000000001E-2</v>
      </c>
    </row>
    <row r="979" spans="2:13" hidden="1">
      <c r="B979" s="406">
        <v>13138</v>
      </c>
      <c r="C979" s="265" t="s">
        <v>327</v>
      </c>
      <c r="D979" s="266">
        <v>500</v>
      </c>
      <c r="E979" s="332"/>
      <c r="F979" s="333"/>
      <c r="G979" s="367">
        <v>1.7600000000000001E-2</v>
      </c>
      <c r="H979" s="157" t="str">
        <f t="shared" si="49"/>
        <v>CZK</v>
      </c>
      <c r="I979" s="334"/>
      <c r="J979" s="335" t="s">
        <v>54</v>
      </c>
      <c r="L979" s="97">
        <f>VLOOKUP(B979,$B$11:B978,1,FALSE)</f>
        <v>13138</v>
      </c>
      <c r="M979" s="317">
        <f>G979*(1-FORM!$AE$28/100)</f>
        <v>1.7600000000000001E-2</v>
      </c>
    </row>
    <row r="980" spans="2:13" hidden="1">
      <c r="B980" s="406">
        <v>13138</v>
      </c>
      <c r="C980" s="265" t="s">
        <v>327</v>
      </c>
      <c r="D980" s="266">
        <v>500</v>
      </c>
      <c r="E980" s="332"/>
      <c r="F980" s="333"/>
      <c r="G980" s="367">
        <v>1.7600000000000001E-2</v>
      </c>
      <c r="H980" s="157" t="str">
        <f t="shared" si="49"/>
        <v>CZK</v>
      </c>
      <c r="I980" s="334"/>
      <c r="J980" s="335" t="s">
        <v>54</v>
      </c>
      <c r="L980" s="97">
        <f>VLOOKUP(B980,$B$11:B979,1,FALSE)</f>
        <v>13138</v>
      </c>
      <c r="M980" s="317">
        <f>G980*(1-FORM!$AE$28/100)</f>
        <v>1.7600000000000001E-2</v>
      </c>
    </row>
    <row r="981" spans="2:13" hidden="1">
      <c r="B981" s="406">
        <v>13138</v>
      </c>
      <c r="C981" s="265" t="s">
        <v>327</v>
      </c>
      <c r="D981" s="266">
        <v>500</v>
      </c>
      <c r="E981" s="332"/>
      <c r="F981" s="333"/>
      <c r="G981" s="367">
        <v>1.7600000000000001E-2</v>
      </c>
      <c r="H981" s="157" t="str">
        <f t="shared" si="49"/>
        <v>CZK</v>
      </c>
      <c r="I981" s="334"/>
      <c r="J981" s="335" t="s">
        <v>54</v>
      </c>
      <c r="L981" s="97">
        <f>VLOOKUP(B981,$B$11:B980,1,FALSE)</f>
        <v>13138</v>
      </c>
      <c r="M981" s="317">
        <f>G981*(1-FORM!$AE$28/100)</f>
        <v>1.7600000000000001E-2</v>
      </c>
    </row>
    <row r="982" spans="2:13" hidden="1">
      <c r="B982" s="406">
        <v>13138</v>
      </c>
      <c r="C982" s="265" t="s">
        <v>327</v>
      </c>
      <c r="D982" s="266">
        <v>500</v>
      </c>
      <c r="E982" s="332"/>
      <c r="F982" s="333"/>
      <c r="G982" s="367">
        <v>1.7600000000000001E-2</v>
      </c>
      <c r="H982" s="157" t="str">
        <f t="shared" si="49"/>
        <v>CZK</v>
      </c>
      <c r="I982" s="334"/>
      <c r="J982" s="335" t="s">
        <v>54</v>
      </c>
      <c r="L982" s="97">
        <f>VLOOKUP(B982,$B$11:B981,1,FALSE)</f>
        <v>13138</v>
      </c>
      <c r="M982" s="317">
        <f>G982*(1-FORM!$AE$28/100)</f>
        <v>1.7600000000000001E-2</v>
      </c>
    </row>
    <row r="983" spans="2:13" hidden="1">
      <c r="B983" s="406">
        <v>13138</v>
      </c>
      <c r="C983" s="265" t="s">
        <v>327</v>
      </c>
      <c r="D983" s="266">
        <v>500</v>
      </c>
      <c r="E983" s="332"/>
      <c r="F983" s="333"/>
      <c r="G983" s="367">
        <v>1.7600000000000001E-2</v>
      </c>
      <c r="H983" s="157" t="str">
        <f t="shared" si="49"/>
        <v>CZK</v>
      </c>
      <c r="I983" s="334"/>
      <c r="J983" s="335" t="s">
        <v>54</v>
      </c>
      <c r="L983" s="97">
        <f>VLOOKUP(B983,$B$11:B982,1,FALSE)</f>
        <v>13138</v>
      </c>
      <c r="M983" s="317">
        <f>G983*(1-FORM!$AE$28/100)</f>
        <v>1.7600000000000001E-2</v>
      </c>
    </row>
    <row r="984" spans="2:13" hidden="1">
      <c r="B984" s="406">
        <v>13138</v>
      </c>
      <c r="C984" s="265" t="s">
        <v>327</v>
      </c>
      <c r="D984" s="266">
        <v>500</v>
      </c>
      <c r="E984" s="332"/>
      <c r="F984" s="333"/>
      <c r="G984" s="367">
        <v>1.7600000000000001E-2</v>
      </c>
      <c r="H984" s="157" t="str">
        <f t="shared" si="49"/>
        <v>CZK</v>
      </c>
      <c r="I984" s="334"/>
      <c r="J984" s="335" t="s">
        <v>54</v>
      </c>
      <c r="L984" s="97">
        <f>VLOOKUP(B984,$B$11:B983,1,FALSE)</f>
        <v>13138</v>
      </c>
      <c r="M984" s="317">
        <f>G984*(1-FORM!$AE$28/100)</f>
        <v>1.7600000000000001E-2</v>
      </c>
    </row>
    <row r="985" spans="2:13" hidden="1">
      <c r="B985" s="406">
        <v>13138</v>
      </c>
      <c r="C985" s="265" t="s">
        <v>327</v>
      </c>
      <c r="D985" s="266">
        <v>500</v>
      </c>
      <c r="E985" s="332"/>
      <c r="F985" s="333"/>
      <c r="G985" s="367">
        <v>1.7600000000000001E-2</v>
      </c>
      <c r="H985" s="157" t="str">
        <f t="shared" si="49"/>
        <v>CZK</v>
      </c>
      <c r="I985" s="334"/>
      <c r="J985" s="335" t="s">
        <v>54</v>
      </c>
      <c r="L985" s="97">
        <f>VLOOKUP(B985,$B$11:B984,1,FALSE)</f>
        <v>13138</v>
      </c>
      <c r="M985" s="317">
        <f>G985*(1-FORM!$AE$28/100)</f>
        <v>1.7600000000000001E-2</v>
      </c>
    </row>
    <row r="986" spans="2:13" hidden="1">
      <c r="B986" s="406">
        <v>13138</v>
      </c>
      <c r="C986" s="265" t="s">
        <v>327</v>
      </c>
      <c r="D986" s="266">
        <v>500</v>
      </c>
      <c r="E986" s="332"/>
      <c r="F986" s="333"/>
      <c r="G986" s="367">
        <v>1.7600000000000001E-2</v>
      </c>
      <c r="H986" s="157" t="str">
        <f t="shared" si="49"/>
        <v>CZK</v>
      </c>
      <c r="I986" s="334"/>
      <c r="J986" s="335" t="s">
        <v>54</v>
      </c>
      <c r="L986" s="97">
        <f>VLOOKUP(B986,$B$11:B985,1,FALSE)</f>
        <v>13138</v>
      </c>
      <c r="M986" s="317">
        <f>G986*(1-FORM!$AE$28/100)</f>
        <v>1.7600000000000001E-2</v>
      </c>
    </row>
    <row r="987" spans="2:13" hidden="1">
      <c r="B987" s="406">
        <v>13138</v>
      </c>
      <c r="C987" s="265" t="s">
        <v>327</v>
      </c>
      <c r="D987" s="266">
        <v>500</v>
      </c>
      <c r="E987" s="332"/>
      <c r="F987" s="333"/>
      <c r="G987" s="367">
        <v>1.7600000000000001E-2</v>
      </c>
      <c r="H987" s="157" t="str">
        <f t="shared" si="49"/>
        <v>CZK</v>
      </c>
      <c r="I987" s="334"/>
      <c r="J987" s="335" t="s">
        <v>54</v>
      </c>
      <c r="L987" s="97">
        <f>VLOOKUP(B987,$B$11:B986,1,FALSE)</f>
        <v>13138</v>
      </c>
      <c r="M987" s="317">
        <f>G987*(1-FORM!$AE$28/100)</f>
        <v>1.7600000000000001E-2</v>
      </c>
    </row>
    <row r="988" spans="2:13" hidden="1">
      <c r="B988" s="406">
        <v>13138</v>
      </c>
      <c r="C988" s="265" t="s">
        <v>327</v>
      </c>
      <c r="D988" s="266">
        <v>500</v>
      </c>
      <c r="E988" s="332"/>
      <c r="F988" s="333"/>
      <c r="G988" s="367">
        <v>1.7600000000000001E-2</v>
      </c>
      <c r="H988" s="157" t="str">
        <f t="shared" si="49"/>
        <v>CZK</v>
      </c>
      <c r="I988" s="334"/>
      <c r="J988" s="335" t="s">
        <v>54</v>
      </c>
      <c r="L988" s="97">
        <f>VLOOKUP(B988,$B$11:B987,1,FALSE)</f>
        <v>13138</v>
      </c>
      <c r="M988" s="317">
        <f>G988*(1-FORM!$AE$28/100)</f>
        <v>1.7600000000000001E-2</v>
      </c>
    </row>
    <row r="989" spans="2:13" hidden="1">
      <c r="B989" s="406">
        <v>13138</v>
      </c>
      <c r="C989" s="265" t="s">
        <v>327</v>
      </c>
      <c r="D989" s="266">
        <v>500</v>
      </c>
      <c r="E989" s="332"/>
      <c r="F989" s="333"/>
      <c r="G989" s="367">
        <v>1.7600000000000001E-2</v>
      </c>
      <c r="H989" s="157" t="str">
        <f t="shared" si="49"/>
        <v>CZK</v>
      </c>
      <c r="I989" s="334"/>
      <c r="J989" s="335" t="s">
        <v>54</v>
      </c>
      <c r="L989" s="97">
        <f>VLOOKUP(B989,$B$11:B988,1,FALSE)</f>
        <v>13138</v>
      </c>
      <c r="M989" s="317">
        <f>G989*(1-FORM!$AE$28/100)</f>
        <v>1.7600000000000001E-2</v>
      </c>
    </row>
    <row r="990" spans="2:13" hidden="1">
      <c r="B990" s="406">
        <v>13138</v>
      </c>
      <c r="C990" s="265" t="s">
        <v>327</v>
      </c>
      <c r="D990" s="266">
        <v>500</v>
      </c>
      <c r="E990" s="332"/>
      <c r="F990" s="333"/>
      <c r="G990" s="367">
        <v>1.7600000000000001E-2</v>
      </c>
      <c r="H990" s="157" t="str">
        <f t="shared" si="49"/>
        <v>CZK</v>
      </c>
      <c r="I990" s="334"/>
      <c r="J990" s="335" t="s">
        <v>54</v>
      </c>
      <c r="L990" s="97">
        <f>VLOOKUP(B990,$B$11:B989,1,FALSE)</f>
        <v>13138</v>
      </c>
      <c r="M990" s="317">
        <f>G990*(1-FORM!$AE$28/100)</f>
        <v>1.7600000000000001E-2</v>
      </c>
    </row>
    <row r="991" spans="2:13" hidden="1">
      <c r="B991" s="406">
        <v>13138</v>
      </c>
      <c r="C991" s="265" t="s">
        <v>327</v>
      </c>
      <c r="D991" s="266">
        <v>500</v>
      </c>
      <c r="E991" s="332"/>
      <c r="F991" s="333"/>
      <c r="G991" s="367">
        <v>1.7600000000000001E-2</v>
      </c>
      <c r="H991" s="157" t="str">
        <f t="shared" si="49"/>
        <v>CZK</v>
      </c>
      <c r="I991" s="334"/>
      <c r="J991" s="335" t="s">
        <v>54</v>
      </c>
      <c r="L991" s="97">
        <f>VLOOKUP(B991,$B$11:B990,1,FALSE)</f>
        <v>13138</v>
      </c>
      <c r="M991" s="317">
        <f>G991*(1-FORM!$AE$28/100)</f>
        <v>1.7600000000000001E-2</v>
      </c>
    </row>
    <row r="992" spans="2:13" hidden="1">
      <c r="B992" s="406">
        <v>13138</v>
      </c>
      <c r="C992" s="265" t="s">
        <v>327</v>
      </c>
      <c r="D992" s="266">
        <v>500</v>
      </c>
      <c r="E992" s="332"/>
      <c r="F992" s="333"/>
      <c r="G992" s="367">
        <v>1.7600000000000001E-2</v>
      </c>
      <c r="H992" s="157" t="str">
        <f t="shared" si="49"/>
        <v>CZK</v>
      </c>
      <c r="I992" s="334"/>
      <c r="J992" s="335" t="s">
        <v>54</v>
      </c>
      <c r="L992" s="97">
        <f>VLOOKUP(B992,$B$11:B991,1,FALSE)</f>
        <v>13138</v>
      </c>
      <c r="M992" s="317">
        <f>G992*(1-FORM!$AE$28/100)</f>
        <v>1.7600000000000001E-2</v>
      </c>
    </row>
    <row r="993" spans="2:13" hidden="1">
      <c r="B993" s="406">
        <v>13138</v>
      </c>
      <c r="C993" s="265" t="s">
        <v>327</v>
      </c>
      <c r="D993" s="266">
        <v>500</v>
      </c>
      <c r="E993" s="332"/>
      <c r="F993" s="333"/>
      <c r="G993" s="367">
        <v>1.7600000000000001E-2</v>
      </c>
      <c r="H993" s="157" t="str">
        <f t="shared" si="49"/>
        <v>CZK</v>
      </c>
      <c r="I993" s="334"/>
      <c r="J993" s="335" t="s">
        <v>54</v>
      </c>
      <c r="L993" s="97">
        <f>VLOOKUP(B993,$B$11:B992,1,FALSE)</f>
        <v>13138</v>
      </c>
      <c r="M993" s="317">
        <f>G993*(1-FORM!$AE$28/100)</f>
        <v>1.7600000000000001E-2</v>
      </c>
    </row>
    <row r="994" spans="2:13" hidden="1">
      <c r="B994" s="406">
        <v>13138</v>
      </c>
      <c r="C994" s="265" t="s">
        <v>327</v>
      </c>
      <c r="D994" s="266">
        <v>500</v>
      </c>
      <c r="E994" s="332"/>
      <c r="F994" s="333"/>
      <c r="G994" s="367">
        <v>1.7600000000000001E-2</v>
      </c>
      <c r="H994" s="157" t="str">
        <f t="shared" si="49"/>
        <v>CZK</v>
      </c>
      <c r="I994" s="334"/>
      <c r="J994" s="335" t="s">
        <v>54</v>
      </c>
      <c r="L994" s="97">
        <f>VLOOKUP(B994,$B$11:B993,1,FALSE)</f>
        <v>13138</v>
      </c>
      <c r="M994" s="317">
        <f>G994*(1-FORM!$AE$28/100)</f>
        <v>1.7600000000000001E-2</v>
      </c>
    </row>
    <row r="995" spans="2:13" hidden="1">
      <c r="B995" s="406">
        <v>13138</v>
      </c>
      <c r="C995" s="265" t="s">
        <v>327</v>
      </c>
      <c r="D995" s="266">
        <v>500</v>
      </c>
      <c r="E995" s="332"/>
      <c r="F995" s="333"/>
      <c r="G995" s="367">
        <v>1.7600000000000001E-2</v>
      </c>
      <c r="H995" s="157" t="str">
        <f t="shared" si="49"/>
        <v>CZK</v>
      </c>
      <c r="I995" s="334"/>
      <c r="J995" s="335" t="s">
        <v>54</v>
      </c>
      <c r="L995" s="97">
        <f>VLOOKUP(B995,$B$11:B994,1,FALSE)</f>
        <v>13138</v>
      </c>
      <c r="M995" s="317">
        <f>G995*(1-FORM!$AE$28/100)</f>
        <v>1.7600000000000001E-2</v>
      </c>
    </row>
    <row r="996" spans="2:13" hidden="1">
      <c r="B996" s="406">
        <v>13138</v>
      </c>
      <c r="C996" s="265" t="s">
        <v>327</v>
      </c>
      <c r="D996" s="266">
        <v>500</v>
      </c>
      <c r="E996" s="332"/>
      <c r="F996" s="333"/>
      <c r="G996" s="367">
        <v>1.7600000000000001E-2</v>
      </c>
      <c r="H996" s="157" t="str">
        <f t="shared" si="49"/>
        <v>CZK</v>
      </c>
      <c r="I996" s="334"/>
      <c r="J996" s="335" t="s">
        <v>54</v>
      </c>
      <c r="L996" s="97">
        <f>VLOOKUP(B996,$B$11:B995,1,FALSE)</f>
        <v>13138</v>
      </c>
      <c r="M996" s="317">
        <f>G996*(1-FORM!$AE$28/100)</f>
        <v>1.7600000000000001E-2</v>
      </c>
    </row>
    <row r="997" spans="2:13" hidden="1">
      <c r="B997" s="406">
        <v>13138</v>
      </c>
      <c r="C997" s="265" t="s">
        <v>327</v>
      </c>
      <c r="D997" s="266">
        <v>500</v>
      </c>
      <c r="E997" s="332"/>
      <c r="F997" s="333"/>
      <c r="G997" s="367">
        <v>1.7600000000000001E-2</v>
      </c>
      <c r="H997" s="157" t="str">
        <f t="shared" si="49"/>
        <v>CZK</v>
      </c>
      <c r="I997" s="334"/>
      <c r="J997" s="335" t="s">
        <v>54</v>
      </c>
      <c r="L997" s="97">
        <f>VLOOKUP(B997,$B$11:B996,1,FALSE)</f>
        <v>13138</v>
      </c>
      <c r="M997" s="317">
        <f>G997*(1-FORM!$AE$28/100)</f>
        <v>1.7600000000000001E-2</v>
      </c>
    </row>
    <row r="998" spans="2:13" hidden="1">
      <c r="B998" s="406">
        <v>13138</v>
      </c>
      <c r="C998" s="265" t="s">
        <v>327</v>
      </c>
      <c r="D998" s="266">
        <v>500</v>
      </c>
      <c r="E998" s="332"/>
      <c r="F998" s="333"/>
      <c r="G998" s="367">
        <v>1.7600000000000001E-2</v>
      </c>
      <c r="H998" s="157" t="str">
        <f t="shared" si="49"/>
        <v>CZK</v>
      </c>
      <c r="I998" s="334"/>
      <c r="J998" s="335" t="s">
        <v>54</v>
      </c>
      <c r="L998" s="97">
        <f>VLOOKUP(B998,$B$11:B997,1,FALSE)</f>
        <v>13138</v>
      </c>
      <c r="M998" s="317">
        <f>G998*(1-FORM!$AE$28/100)</f>
        <v>1.7600000000000001E-2</v>
      </c>
    </row>
    <row r="999" spans="2:13" hidden="1">
      <c r="B999" s="406">
        <v>13138</v>
      </c>
      <c r="C999" s="265" t="s">
        <v>327</v>
      </c>
      <c r="D999" s="266">
        <v>500</v>
      </c>
      <c r="E999" s="332"/>
      <c r="F999" s="333"/>
      <c r="G999" s="367">
        <v>1.7600000000000001E-2</v>
      </c>
      <c r="H999" s="157" t="str">
        <f t="shared" si="49"/>
        <v>CZK</v>
      </c>
      <c r="I999" s="334"/>
      <c r="J999" s="335" t="s">
        <v>54</v>
      </c>
      <c r="L999" s="97">
        <f>VLOOKUP(B999,$B$11:B998,1,FALSE)</f>
        <v>13138</v>
      </c>
      <c r="M999" s="317">
        <f>G999*(1-FORM!$AE$28/100)</f>
        <v>1.7600000000000001E-2</v>
      </c>
    </row>
    <row r="1000" spans="2:13" hidden="1">
      <c r="B1000" s="406">
        <v>13138</v>
      </c>
      <c r="C1000" s="265" t="s">
        <v>327</v>
      </c>
      <c r="D1000" s="266">
        <v>500</v>
      </c>
      <c r="E1000" s="332"/>
      <c r="F1000" s="333"/>
      <c r="G1000" s="367">
        <v>1.7600000000000001E-2</v>
      </c>
      <c r="H1000" s="157" t="str">
        <f t="shared" si="49"/>
        <v>CZK</v>
      </c>
      <c r="I1000" s="334"/>
      <c r="J1000" s="335" t="s">
        <v>54</v>
      </c>
      <c r="L1000" s="97">
        <f>VLOOKUP(B1000,$B$11:B999,1,FALSE)</f>
        <v>13138</v>
      </c>
      <c r="M1000" s="317">
        <f>G1000*(1-FORM!$AE$28/100)</f>
        <v>1.7600000000000001E-2</v>
      </c>
    </row>
    <row r="1001" spans="2:13" hidden="1">
      <c r="B1001" s="406">
        <v>13138</v>
      </c>
      <c r="C1001" s="265" t="s">
        <v>327</v>
      </c>
      <c r="D1001" s="266">
        <v>500</v>
      </c>
      <c r="E1001" s="332"/>
      <c r="F1001" s="333"/>
      <c r="G1001" s="367">
        <v>1.7600000000000001E-2</v>
      </c>
      <c r="H1001" s="157" t="str">
        <f t="shared" si="49"/>
        <v>CZK</v>
      </c>
      <c r="I1001" s="334"/>
      <c r="J1001" s="335" t="s">
        <v>54</v>
      </c>
      <c r="L1001" s="97">
        <f>VLOOKUP(B1001,$B$11:B1000,1,FALSE)</f>
        <v>13138</v>
      </c>
      <c r="M1001" s="317">
        <f>G1001*(1-FORM!$AE$28/100)</f>
        <v>1.7600000000000001E-2</v>
      </c>
    </row>
    <row r="1002" spans="2:13" hidden="1">
      <c r="B1002" s="406">
        <v>13138</v>
      </c>
      <c r="C1002" s="265" t="s">
        <v>327</v>
      </c>
      <c r="D1002" s="266">
        <v>500</v>
      </c>
      <c r="E1002" s="332"/>
      <c r="F1002" s="333"/>
      <c r="G1002" s="367">
        <v>1.7600000000000001E-2</v>
      </c>
      <c r="H1002" s="157" t="str">
        <f t="shared" si="49"/>
        <v>CZK</v>
      </c>
      <c r="I1002" s="334"/>
      <c r="J1002" s="335" t="s">
        <v>54</v>
      </c>
      <c r="L1002" s="97">
        <f>VLOOKUP(B1002,$B$11:B1001,1,FALSE)</f>
        <v>13138</v>
      </c>
      <c r="M1002" s="317">
        <f>G1002*(1-FORM!$AE$28/100)</f>
        <v>1.7600000000000001E-2</v>
      </c>
    </row>
    <row r="1003" spans="2:13" hidden="1">
      <c r="B1003" s="406">
        <v>13138</v>
      </c>
      <c r="C1003" s="265" t="s">
        <v>327</v>
      </c>
      <c r="D1003" s="266">
        <v>500</v>
      </c>
      <c r="E1003" s="332"/>
      <c r="F1003" s="333"/>
      <c r="G1003" s="367">
        <v>1.7600000000000001E-2</v>
      </c>
      <c r="H1003" s="157" t="str">
        <f t="shared" si="49"/>
        <v>CZK</v>
      </c>
      <c r="I1003" s="334"/>
      <c r="J1003" s="335" t="s">
        <v>54</v>
      </c>
      <c r="L1003" s="97">
        <f>VLOOKUP(B1003,$B$11:B1002,1,FALSE)</f>
        <v>13138</v>
      </c>
      <c r="M1003" s="317">
        <f>G1003*(1-FORM!$AE$28/100)</f>
        <v>1.7600000000000001E-2</v>
      </c>
    </row>
    <row r="1004" spans="2:13" hidden="1">
      <c r="B1004" s="406">
        <v>13138</v>
      </c>
      <c r="C1004" s="265" t="s">
        <v>327</v>
      </c>
      <c r="D1004" s="266">
        <v>500</v>
      </c>
      <c r="E1004" s="332"/>
      <c r="F1004" s="333"/>
      <c r="G1004" s="367">
        <v>1.7600000000000001E-2</v>
      </c>
      <c r="H1004" s="157" t="str">
        <f t="shared" si="49"/>
        <v>CZK</v>
      </c>
      <c r="I1004" s="334"/>
      <c r="J1004" s="335" t="s">
        <v>54</v>
      </c>
      <c r="L1004" s="97">
        <f>VLOOKUP(B1004,$B$11:B1003,1,FALSE)</f>
        <v>13138</v>
      </c>
      <c r="M1004" s="317">
        <f>G1004*(1-FORM!$AE$28/100)</f>
        <v>1.7600000000000001E-2</v>
      </c>
    </row>
    <row r="1005" spans="2:13" hidden="1">
      <c r="B1005" s="406">
        <v>13138</v>
      </c>
      <c r="C1005" s="265" t="s">
        <v>327</v>
      </c>
      <c r="D1005" s="266">
        <v>500</v>
      </c>
      <c r="E1005" s="332"/>
      <c r="F1005" s="333"/>
      <c r="G1005" s="367">
        <v>1.7600000000000001E-2</v>
      </c>
      <c r="H1005" s="157" t="str">
        <f t="shared" si="49"/>
        <v>CZK</v>
      </c>
      <c r="I1005" s="334"/>
      <c r="J1005" s="335" t="s">
        <v>54</v>
      </c>
      <c r="L1005" s="97">
        <f>VLOOKUP(B1005,$B$11:B1004,1,FALSE)</f>
        <v>13138</v>
      </c>
      <c r="M1005" s="317">
        <f>G1005*(1-FORM!$AE$28/100)</f>
        <v>1.7600000000000001E-2</v>
      </c>
    </row>
    <row r="1006" spans="2:13" hidden="1">
      <c r="B1006" s="406">
        <v>13138</v>
      </c>
      <c r="C1006" s="265" t="s">
        <v>327</v>
      </c>
      <c r="D1006" s="266">
        <v>500</v>
      </c>
      <c r="E1006" s="332"/>
      <c r="F1006" s="333"/>
      <c r="G1006" s="367">
        <v>1.7600000000000001E-2</v>
      </c>
      <c r="H1006" s="157" t="str">
        <f t="shared" si="49"/>
        <v>CZK</v>
      </c>
      <c r="I1006" s="334"/>
      <c r="J1006" s="335" t="s">
        <v>54</v>
      </c>
      <c r="L1006" s="97">
        <f>VLOOKUP(B1006,$B$11:B1005,1,FALSE)</f>
        <v>13138</v>
      </c>
      <c r="M1006" s="317">
        <f>G1006*(1-FORM!$AE$28/100)</f>
        <v>1.7600000000000001E-2</v>
      </c>
    </row>
    <row r="1007" spans="2:13" hidden="1">
      <c r="B1007" s="406">
        <v>13138</v>
      </c>
      <c r="C1007" s="265" t="s">
        <v>327</v>
      </c>
      <c r="D1007" s="266">
        <v>500</v>
      </c>
      <c r="E1007" s="332"/>
      <c r="F1007" s="333"/>
      <c r="G1007" s="367">
        <v>1.7600000000000001E-2</v>
      </c>
      <c r="H1007" s="157" t="str">
        <f t="shared" si="49"/>
        <v>CZK</v>
      </c>
      <c r="I1007" s="334"/>
      <c r="J1007" s="335" t="s">
        <v>54</v>
      </c>
      <c r="L1007" s="97">
        <f>VLOOKUP(B1007,$B$11:B1006,1,FALSE)</f>
        <v>13138</v>
      </c>
      <c r="M1007" s="317">
        <f>G1007*(1-FORM!$AE$28/100)</f>
        <v>1.7600000000000001E-2</v>
      </c>
    </row>
    <row r="1008" spans="2:13" hidden="1">
      <c r="B1008" s="406">
        <v>13138</v>
      </c>
      <c r="C1008" s="265" t="s">
        <v>327</v>
      </c>
      <c r="D1008" s="266">
        <v>500</v>
      </c>
      <c r="E1008" s="332"/>
      <c r="F1008" s="333"/>
      <c r="G1008" s="367">
        <v>1.7600000000000001E-2</v>
      </c>
      <c r="H1008" s="157" t="str">
        <f t="shared" si="49"/>
        <v>CZK</v>
      </c>
      <c r="I1008" s="334"/>
      <c r="J1008" s="335" t="s">
        <v>54</v>
      </c>
      <c r="L1008" s="97">
        <f>VLOOKUP(B1008,$B$11:B1007,1,FALSE)</f>
        <v>13138</v>
      </c>
      <c r="M1008" s="317">
        <f>G1008*(1-FORM!$AE$28/100)</f>
        <v>1.7600000000000001E-2</v>
      </c>
    </row>
    <row r="1009" spans="2:13" hidden="1">
      <c r="B1009" s="406">
        <v>13138</v>
      </c>
      <c r="C1009" s="265" t="s">
        <v>327</v>
      </c>
      <c r="D1009" s="266">
        <v>500</v>
      </c>
      <c r="E1009" s="332"/>
      <c r="F1009" s="333"/>
      <c r="G1009" s="367">
        <v>1.7600000000000001E-2</v>
      </c>
      <c r="H1009" s="157" t="str">
        <f t="shared" si="49"/>
        <v>CZK</v>
      </c>
      <c r="I1009" s="334"/>
      <c r="J1009" s="335" t="s">
        <v>54</v>
      </c>
      <c r="L1009" s="97">
        <f>VLOOKUP(B1009,$B$11:B1008,1,FALSE)</f>
        <v>13138</v>
      </c>
      <c r="M1009" s="317">
        <f>G1009*(1-FORM!$AE$28/100)</f>
        <v>1.7600000000000001E-2</v>
      </c>
    </row>
    <row r="1010" spans="2:13" hidden="1">
      <c r="B1010" s="406">
        <v>13138</v>
      </c>
      <c r="C1010" s="265" t="s">
        <v>327</v>
      </c>
      <c r="D1010" s="266">
        <v>500</v>
      </c>
      <c r="E1010" s="332"/>
      <c r="F1010" s="333"/>
      <c r="G1010" s="367">
        <v>1.7600000000000001E-2</v>
      </c>
      <c r="H1010" s="157" t="str">
        <f t="shared" si="49"/>
        <v>CZK</v>
      </c>
      <c r="I1010" s="334"/>
      <c r="J1010" s="335" t="s">
        <v>54</v>
      </c>
      <c r="L1010" s="97">
        <f>VLOOKUP(B1010,$B$11:B1009,1,FALSE)</f>
        <v>13138</v>
      </c>
      <c r="M1010" s="317">
        <f>G1010*(1-FORM!$AE$28/100)</f>
        <v>1.7600000000000001E-2</v>
      </c>
    </row>
    <row r="1011" spans="2:13" hidden="1">
      <c r="B1011" s="406">
        <v>13138</v>
      </c>
      <c r="C1011" s="265" t="s">
        <v>327</v>
      </c>
      <c r="D1011" s="266">
        <v>500</v>
      </c>
      <c r="E1011" s="332"/>
      <c r="F1011" s="333"/>
      <c r="G1011" s="367">
        <v>1.7600000000000001E-2</v>
      </c>
      <c r="H1011" s="157" t="str">
        <f t="shared" si="49"/>
        <v>CZK</v>
      </c>
      <c r="I1011" s="334"/>
      <c r="J1011" s="335" t="s">
        <v>54</v>
      </c>
      <c r="L1011" s="97">
        <f>VLOOKUP(B1011,$B$11:B1010,1,FALSE)</f>
        <v>13138</v>
      </c>
      <c r="M1011" s="317">
        <f>G1011*(1-FORM!$AE$28/100)</f>
        <v>1.7600000000000001E-2</v>
      </c>
    </row>
    <row r="1012" spans="2:13" hidden="1">
      <c r="B1012" s="406">
        <v>13138</v>
      </c>
      <c r="C1012" s="265" t="s">
        <v>327</v>
      </c>
      <c r="D1012" s="266">
        <v>500</v>
      </c>
      <c r="E1012" s="332"/>
      <c r="F1012" s="333"/>
      <c r="G1012" s="367">
        <v>1.7600000000000001E-2</v>
      </c>
      <c r="H1012" s="157" t="str">
        <f t="shared" si="49"/>
        <v>CZK</v>
      </c>
      <c r="I1012" s="334"/>
      <c r="J1012" s="335" t="s">
        <v>54</v>
      </c>
      <c r="L1012" s="97">
        <f>VLOOKUP(B1012,$B$11:B1011,1,FALSE)</f>
        <v>13138</v>
      </c>
      <c r="M1012" s="317">
        <f>G1012*(1-FORM!$AE$28/100)</f>
        <v>1.7600000000000001E-2</v>
      </c>
    </row>
    <row r="1013" spans="2:13" hidden="1">
      <c r="B1013" s="406">
        <v>13138</v>
      </c>
      <c r="C1013" s="265" t="s">
        <v>327</v>
      </c>
      <c r="D1013" s="266">
        <v>500</v>
      </c>
      <c r="E1013" s="332"/>
      <c r="F1013" s="333"/>
      <c r="G1013" s="367">
        <v>1.7600000000000001E-2</v>
      </c>
      <c r="H1013" s="157" t="str">
        <f t="shared" si="49"/>
        <v>CZK</v>
      </c>
      <c r="I1013" s="334"/>
      <c r="J1013" s="335" t="s">
        <v>54</v>
      </c>
      <c r="L1013" s="97">
        <f>VLOOKUP(B1013,$B$11:B1012,1,FALSE)</f>
        <v>13138</v>
      </c>
      <c r="M1013" s="317">
        <f>G1013*(1-FORM!$AE$28/100)</f>
        <v>1.7600000000000001E-2</v>
      </c>
    </row>
    <row r="1014" spans="2:13" hidden="1">
      <c r="B1014" s="406">
        <v>13138</v>
      </c>
      <c r="C1014" s="265" t="s">
        <v>327</v>
      </c>
      <c r="D1014" s="266">
        <v>500</v>
      </c>
      <c r="E1014" s="332"/>
      <c r="F1014" s="333"/>
      <c r="G1014" s="367">
        <v>1.7600000000000001E-2</v>
      </c>
      <c r="H1014" s="157" t="str">
        <f t="shared" si="49"/>
        <v>CZK</v>
      </c>
      <c r="I1014" s="334"/>
      <c r="J1014" s="335" t="s">
        <v>54</v>
      </c>
      <c r="L1014" s="97">
        <f>VLOOKUP(B1014,$B$11:B1013,1,FALSE)</f>
        <v>13138</v>
      </c>
      <c r="M1014" s="317">
        <f>G1014*(1-FORM!$AE$28/100)</f>
        <v>1.7600000000000001E-2</v>
      </c>
    </row>
    <row r="1015" spans="2:13" hidden="1">
      <c r="B1015" s="406">
        <v>13138</v>
      </c>
      <c r="C1015" s="265" t="s">
        <v>327</v>
      </c>
      <c r="D1015" s="266">
        <v>500</v>
      </c>
      <c r="E1015" s="332"/>
      <c r="F1015" s="333"/>
      <c r="G1015" s="367">
        <v>1.7600000000000001E-2</v>
      </c>
      <c r="H1015" s="157" t="str">
        <f t="shared" si="49"/>
        <v>CZK</v>
      </c>
      <c r="I1015" s="334"/>
      <c r="J1015" s="335" t="s">
        <v>54</v>
      </c>
      <c r="L1015" s="97">
        <f>VLOOKUP(B1015,$B$11:B1014,1,FALSE)</f>
        <v>13138</v>
      </c>
      <c r="M1015" s="317">
        <f>G1015*(1-FORM!$AE$28/100)</f>
        <v>1.7600000000000001E-2</v>
      </c>
    </row>
    <row r="1016" spans="2:13" hidden="1">
      <c r="B1016" s="406">
        <v>13138</v>
      </c>
      <c r="C1016" s="265" t="s">
        <v>327</v>
      </c>
      <c r="D1016" s="266">
        <v>500</v>
      </c>
      <c r="E1016" s="332"/>
      <c r="F1016" s="333"/>
      <c r="G1016" s="367">
        <v>1.7600000000000001E-2</v>
      </c>
      <c r="H1016" s="157" t="str">
        <f t="shared" si="49"/>
        <v>CZK</v>
      </c>
      <c r="I1016" s="334"/>
      <c r="J1016" s="335" t="s">
        <v>54</v>
      </c>
      <c r="L1016" s="97">
        <f>VLOOKUP(B1016,$B$11:B1015,1,FALSE)</f>
        <v>13138</v>
      </c>
      <c r="M1016" s="317">
        <f>G1016*(1-FORM!$AE$28/100)</f>
        <v>1.7600000000000001E-2</v>
      </c>
    </row>
    <row r="1017" spans="2:13" hidden="1">
      <c r="B1017" s="406">
        <v>13138</v>
      </c>
      <c r="C1017" s="265" t="s">
        <v>327</v>
      </c>
      <c r="D1017" s="266">
        <v>500</v>
      </c>
      <c r="E1017" s="332"/>
      <c r="F1017" s="333"/>
      <c r="G1017" s="367">
        <v>1.7600000000000001E-2</v>
      </c>
      <c r="H1017" s="157" t="str">
        <f t="shared" si="49"/>
        <v>CZK</v>
      </c>
      <c r="I1017" s="334"/>
      <c r="J1017" s="335" t="s">
        <v>54</v>
      </c>
      <c r="L1017" s="97">
        <f>VLOOKUP(B1017,$B$11:B1016,1,FALSE)</f>
        <v>13138</v>
      </c>
      <c r="M1017" s="317">
        <f>G1017*(1-FORM!$AE$28/100)</f>
        <v>1.7600000000000001E-2</v>
      </c>
    </row>
    <row r="1018" spans="2:13" hidden="1">
      <c r="B1018" s="406">
        <v>13138</v>
      </c>
      <c r="C1018" s="265" t="s">
        <v>327</v>
      </c>
      <c r="D1018" s="266">
        <v>500</v>
      </c>
      <c r="E1018" s="332"/>
      <c r="F1018" s="333"/>
      <c r="G1018" s="367">
        <v>1.7600000000000001E-2</v>
      </c>
      <c r="H1018" s="157" t="str">
        <f t="shared" si="49"/>
        <v>CZK</v>
      </c>
      <c r="I1018" s="334"/>
      <c r="J1018" s="335" t="s">
        <v>54</v>
      </c>
      <c r="L1018" s="97">
        <f>VLOOKUP(B1018,$B$11:B1017,1,FALSE)</f>
        <v>13138</v>
      </c>
      <c r="M1018" s="317">
        <f>G1018*(1-FORM!$AE$28/100)</f>
        <v>1.7600000000000001E-2</v>
      </c>
    </row>
    <row r="1019" spans="2:13" hidden="1">
      <c r="B1019" s="406">
        <v>13138</v>
      </c>
      <c r="C1019" s="265" t="s">
        <v>327</v>
      </c>
      <c r="D1019" s="266">
        <v>500</v>
      </c>
      <c r="E1019" s="332"/>
      <c r="F1019" s="333"/>
      <c r="G1019" s="367">
        <v>1.7600000000000001E-2</v>
      </c>
      <c r="H1019" s="157" t="str">
        <f t="shared" si="49"/>
        <v>CZK</v>
      </c>
      <c r="I1019" s="334"/>
      <c r="J1019" s="335" t="s">
        <v>54</v>
      </c>
      <c r="L1019" s="97">
        <f>VLOOKUP(B1019,$B$11:B1018,1,FALSE)</f>
        <v>13138</v>
      </c>
      <c r="M1019" s="317">
        <f>G1019*(1-FORM!$AE$28/100)</f>
        <v>1.7600000000000001E-2</v>
      </c>
    </row>
    <row r="1020" spans="2:13" hidden="1">
      <c r="B1020" s="406">
        <v>13138</v>
      </c>
      <c r="C1020" s="265" t="s">
        <v>327</v>
      </c>
      <c r="D1020" s="266">
        <v>500</v>
      </c>
      <c r="E1020" s="332"/>
      <c r="F1020" s="333"/>
      <c r="G1020" s="367">
        <v>1.7600000000000001E-2</v>
      </c>
      <c r="H1020" s="157" t="str">
        <f t="shared" si="49"/>
        <v>CZK</v>
      </c>
      <c r="I1020" s="334"/>
      <c r="J1020" s="335" t="s">
        <v>54</v>
      </c>
      <c r="L1020" s="97">
        <f>VLOOKUP(B1020,$B$11:B1019,1,FALSE)</f>
        <v>13138</v>
      </c>
      <c r="M1020" s="317">
        <f>G1020*(1-FORM!$AE$28/100)</f>
        <v>1.7600000000000001E-2</v>
      </c>
    </row>
    <row r="1021" spans="2:13" hidden="1">
      <c r="B1021" s="406">
        <v>13138</v>
      </c>
      <c r="C1021" s="265" t="s">
        <v>327</v>
      </c>
      <c r="D1021" s="266">
        <v>500</v>
      </c>
      <c r="E1021" s="332"/>
      <c r="F1021" s="333"/>
      <c r="G1021" s="367">
        <v>1.7600000000000001E-2</v>
      </c>
      <c r="H1021" s="157" t="str">
        <f t="shared" si="49"/>
        <v>CZK</v>
      </c>
      <c r="I1021" s="334"/>
      <c r="J1021" s="335" t="s">
        <v>54</v>
      </c>
      <c r="L1021" s="97">
        <f>VLOOKUP(B1021,$B$11:B1020,1,FALSE)</f>
        <v>13138</v>
      </c>
      <c r="M1021" s="317">
        <f>G1021*(1-FORM!$AE$28/100)</f>
        <v>1.7600000000000001E-2</v>
      </c>
    </row>
    <row r="1022" spans="2:13" hidden="1">
      <c r="B1022" s="406">
        <v>13138</v>
      </c>
      <c r="C1022" s="265" t="s">
        <v>327</v>
      </c>
      <c r="D1022" s="266">
        <v>500</v>
      </c>
      <c r="E1022" s="332"/>
      <c r="F1022" s="333"/>
      <c r="G1022" s="367">
        <v>1.7600000000000001E-2</v>
      </c>
      <c r="H1022" s="157" t="str">
        <f t="shared" si="49"/>
        <v>CZK</v>
      </c>
      <c r="I1022" s="334"/>
      <c r="J1022" s="335" t="s">
        <v>54</v>
      </c>
      <c r="L1022" s="97">
        <f>VLOOKUP(B1022,$B$11:B1021,1,FALSE)</f>
        <v>13138</v>
      </c>
      <c r="M1022" s="317">
        <f>G1022*(1-FORM!$AE$28/100)</f>
        <v>1.7600000000000001E-2</v>
      </c>
    </row>
    <row r="1023" spans="2:13" hidden="1">
      <c r="B1023" s="406">
        <v>13138</v>
      </c>
      <c r="C1023" s="265" t="s">
        <v>327</v>
      </c>
      <c r="D1023" s="266">
        <v>500</v>
      </c>
      <c r="E1023" s="332"/>
      <c r="F1023" s="333"/>
      <c r="G1023" s="367">
        <v>1.7600000000000001E-2</v>
      </c>
      <c r="H1023" s="157" t="str">
        <f t="shared" si="49"/>
        <v>CZK</v>
      </c>
      <c r="I1023" s="334"/>
      <c r="J1023" s="335" t="s">
        <v>54</v>
      </c>
      <c r="L1023" s="97">
        <f>VLOOKUP(B1023,$B$11:B1022,1,FALSE)</f>
        <v>13138</v>
      </c>
      <c r="M1023" s="317">
        <f>G1023*(1-FORM!$AE$28/100)</f>
        <v>1.7600000000000001E-2</v>
      </c>
    </row>
    <row r="1024" spans="2:13" hidden="1">
      <c r="B1024" s="406">
        <v>13138</v>
      </c>
      <c r="C1024" s="265" t="s">
        <v>327</v>
      </c>
      <c r="D1024" s="266">
        <v>500</v>
      </c>
      <c r="E1024" s="332"/>
      <c r="F1024" s="333"/>
      <c r="G1024" s="367">
        <v>1.7600000000000001E-2</v>
      </c>
      <c r="H1024" s="157" t="str">
        <f t="shared" si="49"/>
        <v>CZK</v>
      </c>
      <c r="I1024" s="334"/>
      <c r="J1024" s="335" t="s">
        <v>54</v>
      </c>
      <c r="L1024" s="97">
        <f>VLOOKUP(B1024,$B$11:B1023,1,FALSE)</f>
        <v>13138</v>
      </c>
      <c r="M1024" s="317">
        <f>G1024*(1-FORM!$AE$28/100)</f>
        <v>1.7600000000000001E-2</v>
      </c>
    </row>
    <row r="1025" spans="2:13" hidden="1">
      <c r="B1025" s="406">
        <v>13138</v>
      </c>
      <c r="C1025" s="265" t="s">
        <v>327</v>
      </c>
      <c r="D1025" s="266">
        <v>500</v>
      </c>
      <c r="E1025" s="332"/>
      <c r="F1025" s="333"/>
      <c r="G1025" s="367">
        <v>1.7600000000000001E-2</v>
      </c>
      <c r="H1025" s="157" t="str">
        <f t="shared" si="49"/>
        <v>CZK</v>
      </c>
      <c r="I1025" s="334"/>
      <c r="J1025" s="335" t="s">
        <v>54</v>
      </c>
      <c r="L1025" s="97">
        <f>VLOOKUP(B1025,$B$11:B1024,1,FALSE)</f>
        <v>13138</v>
      </c>
      <c r="M1025" s="317">
        <f>G1025*(1-FORM!$AE$28/100)</f>
        <v>1.7600000000000001E-2</v>
      </c>
    </row>
    <row r="1026" spans="2:13" hidden="1">
      <c r="B1026" s="406">
        <v>13138</v>
      </c>
      <c r="C1026" s="265" t="s">
        <v>327</v>
      </c>
      <c r="D1026" s="266">
        <v>500</v>
      </c>
      <c r="E1026" s="332"/>
      <c r="F1026" s="333"/>
      <c r="G1026" s="367">
        <v>1.7600000000000001E-2</v>
      </c>
      <c r="H1026" s="157" t="str">
        <f t="shared" si="49"/>
        <v>CZK</v>
      </c>
      <c r="I1026" s="334"/>
      <c r="J1026" s="335" t="s">
        <v>54</v>
      </c>
      <c r="L1026" s="97">
        <f>VLOOKUP(B1026,$B$11:B1025,1,FALSE)</f>
        <v>13138</v>
      </c>
      <c r="M1026" s="317">
        <f>G1026*(1-FORM!$AE$28/100)</f>
        <v>1.7600000000000001E-2</v>
      </c>
    </row>
    <row r="1027" spans="2:13" hidden="1">
      <c r="B1027" s="406">
        <v>13138</v>
      </c>
      <c r="C1027" s="265" t="s">
        <v>327</v>
      </c>
      <c r="D1027" s="266">
        <v>500</v>
      </c>
      <c r="E1027" s="332"/>
      <c r="F1027" s="333"/>
      <c r="G1027" s="367">
        <v>1.7600000000000001E-2</v>
      </c>
      <c r="H1027" s="157" t="str">
        <f t="shared" si="49"/>
        <v>CZK</v>
      </c>
      <c r="I1027" s="334"/>
      <c r="J1027" s="335" t="s">
        <v>54</v>
      </c>
      <c r="L1027" s="97">
        <f>VLOOKUP(B1027,$B$11:B1026,1,FALSE)</f>
        <v>13138</v>
      </c>
      <c r="M1027" s="317">
        <f>G1027*(1-FORM!$AE$28/100)</f>
        <v>1.7600000000000001E-2</v>
      </c>
    </row>
    <row r="1028" spans="2:13">
      <c r="B1028" s="406"/>
      <c r="C1028" s="265"/>
      <c r="D1028" s="266"/>
      <c r="E1028" s="332"/>
      <c r="F1028" s="333"/>
      <c r="G1028" s="367"/>
      <c r="H1028" s="157" t="str">
        <f t="shared" ref="H1028:H1033" si="50">IF(G1028="","",$H$10)</f>
        <v/>
      </c>
      <c r="I1028" s="334"/>
      <c r="J1028" s="335" t="s">
        <v>54</v>
      </c>
      <c r="L1028" s="97" t="e">
        <f>VLOOKUP(B1028,$B$11:B1027,1,FALSE)</f>
        <v>#N/A</v>
      </c>
      <c r="M1028" s="317">
        <f>G1028*(1-FORM!$AE$28/100)</f>
        <v>0</v>
      </c>
    </row>
    <row r="1029" spans="2:13">
      <c r="B1029" s="406">
        <v>9099540</v>
      </c>
      <c r="C1029" s="265" t="s">
        <v>1198</v>
      </c>
      <c r="D1029" s="266">
        <v>50</v>
      </c>
      <c r="E1029" s="332"/>
      <c r="F1029" s="333"/>
      <c r="G1029" s="367">
        <v>142.76</v>
      </c>
      <c r="H1029" s="157" t="str">
        <f t="shared" si="50"/>
        <v>CZK</v>
      </c>
      <c r="I1029" s="334"/>
      <c r="J1029" s="335" t="s">
        <v>54</v>
      </c>
      <c r="L1029" s="97" t="e">
        <f>VLOOKUP(B1029,$B$11:B1028,1,FALSE)</f>
        <v>#N/A</v>
      </c>
      <c r="M1029" s="317">
        <f>G1029*(1-FORM!$AE$28/100)</f>
        <v>142.76</v>
      </c>
    </row>
    <row r="1030" spans="2:13">
      <c r="B1030" s="406">
        <v>9099600</v>
      </c>
      <c r="C1030" s="265" t="s">
        <v>1199</v>
      </c>
      <c r="D1030" s="266">
        <v>50</v>
      </c>
      <c r="E1030" s="332"/>
      <c r="F1030" s="333"/>
      <c r="G1030" s="367">
        <v>124.34</v>
      </c>
      <c r="H1030" s="157" t="str">
        <f t="shared" si="50"/>
        <v>CZK</v>
      </c>
      <c r="I1030" s="334"/>
      <c r="J1030" s="335" t="s">
        <v>54</v>
      </c>
      <c r="L1030" s="97" t="e">
        <f>VLOOKUP(B1030,$B$11:B1029,1,FALSE)</f>
        <v>#N/A</v>
      </c>
      <c r="M1030" s="317">
        <f>G1030*(1-FORM!$AE$28/100)</f>
        <v>124.34</v>
      </c>
    </row>
    <row r="1031" spans="2:13">
      <c r="B1031" s="406">
        <v>9099660</v>
      </c>
      <c r="C1031" s="265" t="s">
        <v>1200</v>
      </c>
      <c r="D1031" s="266">
        <v>50</v>
      </c>
      <c r="E1031" s="332"/>
      <c r="F1031" s="333"/>
      <c r="G1031" s="367">
        <v>128.94</v>
      </c>
      <c r="H1031" s="157" t="str">
        <f t="shared" si="50"/>
        <v>CZK</v>
      </c>
      <c r="I1031" s="334"/>
      <c r="J1031" s="335" t="s">
        <v>54</v>
      </c>
      <c r="L1031" s="97" t="e">
        <f>VLOOKUP(B1031,$B$11:B1030,1,FALSE)</f>
        <v>#N/A</v>
      </c>
      <c r="M1031" s="317">
        <f>G1031*(1-FORM!$AE$28/100)</f>
        <v>128.94</v>
      </c>
    </row>
    <row r="1032" spans="2:13">
      <c r="B1032" s="406">
        <v>9071576</v>
      </c>
      <c r="C1032" s="265" t="s">
        <v>1201</v>
      </c>
      <c r="D1032" s="266">
        <v>200</v>
      </c>
      <c r="E1032" s="332"/>
      <c r="F1032" s="333"/>
      <c r="G1032" s="367">
        <v>7.79</v>
      </c>
      <c r="H1032" s="157" t="str">
        <f t="shared" si="50"/>
        <v>CZK</v>
      </c>
      <c r="I1032" s="334"/>
      <c r="J1032" s="335" t="s">
        <v>54</v>
      </c>
      <c r="L1032" s="97" t="e">
        <f>VLOOKUP(B1032,$B$11:B1031,1,FALSE)</f>
        <v>#N/A</v>
      </c>
      <c r="M1032" s="317">
        <f>G1032*(1-FORM!$AE$28/100)</f>
        <v>7.79</v>
      </c>
    </row>
    <row r="1033" spans="2:13">
      <c r="B1033" s="406">
        <v>9071671</v>
      </c>
      <c r="C1033" s="265" t="s">
        <v>1202</v>
      </c>
      <c r="D1033" s="266">
        <v>200</v>
      </c>
      <c r="E1033" s="332"/>
      <c r="F1033" s="333"/>
      <c r="G1033" s="367">
        <v>15.98</v>
      </c>
      <c r="H1033" s="157" t="str">
        <f t="shared" si="50"/>
        <v>CZK</v>
      </c>
      <c r="I1033" s="334"/>
      <c r="J1033" s="335" t="s">
        <v>54</v>
      </c>
      <c r="L1033" s="97" t="e">
        <f>VLOOKUP(B1033,$B$11:B1032,1,FALSE)</f>
        <v>#N/A</v>
      </c>
      <c r="M1033" s="317">
        <f>G1033*(1-FORM!$AE$28/100)</f>
        <v>15.98</v>
      </c>
    </row>
    <row r="1034" spans="2:13">
      <c r="B1034" s="406"/>
      <c r="C1034" s="265"/>
      <c r="D1034" s="266"/>
      <c r="E1034" s="332"/>
      <c r="F1034" s="333"/>
      <c r="G1034" s="367"/>
      <c r="H1034" s="157"/>
      <c r="I1034" s="334"/>
      <c r="J1034" s="335" t="s">
        <v>54</v>
      </c>
    </row>
    <row r="1035" spans="2:13">
      <c r="B1035" s="406"/>
      <c r="C1035" s="265"/>
      <c r="D1035" s="266"/>
      <c r="E1035" s="332"/>
      <c r="F1035" s="333"/>
      <c r="G1035" s="367"/>
      <c r="H1035" s="157"/>
      <c r="I1035" s="334"/>
      <c r="J1035" s="335" t="s">
        <v>54</v>
      </c>
    </row>
    <row r="1036" spans="2:13">
      <c r="B1036" s="20"/>
      <c r="C1036" s="16"/>
      <c r="D1036" s="21"/>
      <c r="E1036" s="323"/>
      <c r="F1036" s="324"/>
      <c r="G1036" s="325"/>
      <c r="H1036" s="148"/>
      <c r="I1036" s="326"/>
      <c r="J1036" s="327" t="s">
        <v>54</v>
      </c>
    </row>
    <row r="1043" spans="3:7">
      <c r="C1043" s="295" t="s">
        <v>386</v>
      </c>
      <c r="D1043" s="295" t="s">
        <v>387</v>
      </c>
      <c r="G1043" s="295" t="s">
        <v>388</v>
      </c>
    </row>
    <row r="1044" spans="3:7">
      <c r="C1044" s="295"/>
      <c r="D1044" s="296"/>
      <c r="E1044" s="360"/>
      <c r="F1044" s="361"/>
      <c r="G1044" s="362"/>
    </row>
  </sheetData>
  <sheetProtection password="FC7B" sheet="1"/>
  <hyperlinks>
    <hyperlink ref="J2" location="FORM!A1" display=" Úvod"/>
  </hyperlinks>
  <pageMargins left="0.7" right="0.7" top="0.78740157499999996" bottom="0.78740157499999996" header="0.3" footer="0.3"/>
  <pageSetup paperSize="9" orientation="portrait" r:id="rId1"/>
  <ignoredErrors>
    <ignoredError sqref="L12:L49 L588:L1033 L51:L580" evalError="1"/>
    <ignoredError sqref="M10:M49 M591:M1033 M51:M57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D52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8"/>
  <cols>
    <col min="1" max="1" width="3.6640625" style="69" customWidth="1"/>
    <col min="2" max="44" width="3.109375" style="69" customWidth="1"/>
    <col min="45" max="45" width="3.6640625" style="69" customWidth="1"/>
    <col min="46" max="48" width="9" style="69" hidden="1" customWidth="1"/>
    <col min="49" max="49" width="3.21875" style="69" hidden="1" customWidth="1"/>
    <col min="50" max="55" width="2.88671875" style="69" hidden="1" customWidth="1"/>
    <col min="56" max="56" width="9" style="69" hidden="1" customWidth="1"/>
    <col min="57" max="67" width="9" style="69" customWidth="1"/>
    <col min="68" max="16384" width="9" style="69"/>
  </cols>
  <sheetData>
    <row r="1" spans="1:54" ht="12.9" customHeight="1" thickBot="1">
      <c r="AS1" s="165"/>
    </row>
    <row r="2" spans="1:54" ht="23.1" customHeight="1" thickBot="1">
      <c r="B2" s="513" t="str">
        <f>verze!E13</f>
        <v>&lt;&lt;  zpět</v>
      </c>
      <c r="C2" s="514"/>
      <c r="D2" s="514"/>
      <c r="E2" s="515"/>
      <c r="G2" s="516" t="str">
        <f>verze!E6</f>
        <v xml:space="preserve"> Úvod</v>
      </c>
      <c r="H2" s="517"/>
      <c r="I2" s="517"/>
      <c r="J2" s="517"/>
      <c r="K2" s="518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16" t="str">
        <f>verze!E10</f>
        <v xml:space="preserve"> Objednávka</v>
      </c>
      <c r="AJ2" s="517"/>
      <c r="AK2" s="517"/>
      <c r="AL2" s="517"/>
      <c r="AM2" s="518"/>
      <c r="AO2" s="513" t="str">
        <f>verze!E14</f>
        <v>vpřed  &gt;&gt;</v>
      </c>
      <c r="AP2" s="514"/>
      <c r="AQ2" s="514"/>
      <c r="AR2" s="515"/>
    </row>
    <row r="3" spans="1:54" ht="12.9" customHeight="1">
      <c r="AS3" s="165"/>
    </row>
    <row r="4" spans="1:54" ht="23.1" customHeight="1">
      <c r="A4" s="166"/>
      <c r="B4" s="102" t="str">
        <f>verze!E8</f>
        <v xml:space="preserve"> 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8" t="s">
        <v>130</v>
      </c>
      <c r="AS4" s="169"/>
    </row>
    <row r="5" spans="1:54" ht="14.4" customHeight="1"/>
    <row r="6" spans="1:54" s="112" customFormat="1" ht="14.4" customHeight="1">
      <c r="A6" s="4"/>
      <c r="B6" s="8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92"/>
      <c r="P6" s="93"/>
      <c r="Q6" s="88"/>
      <c r="R6" s="88"/>
      <c r="S6" s="88"/>
      <c r="T6" s="88"/>
      <c r="U6" s="88"/>
      <c r="V6" s="88"/>
      <c r="W6" s="88"/>
      <c r="X6" s="88"/>
      <c r="Y6" s="88"/>
      <c r="Z6" s="88"/>
      <c r="AA6" s="93"/>
      <c r="AB6" s="93"/>
      <c r="AC6" s="94"/>
      <c r="AD6" s="92"/>
      <c r="AE6" s="93"/>
      <c r="AF6" s="88"/>
      <c r="AG6" s="88"/>
      <c r="AH6" s="88"/>
      <c r="AI6" s="88"/>
      <c r="AJ6" s="88"/>
      <c r="AK6" s="88"/>
      <c r="AL6" s="88"/>
      <c r="AM6" s="88"/>
      <c r="AN6" s="88"/>
      <c r="AO6" s="93"/>
      <c r="AP6" s="93"/>
      <c r="AQ6" s="88"/>
      <c r="AR6" s="92"/>
      <c r="AS6" s="4"/>
    </row>
    <row r="7" spans="1:54" s="112" customFormat="1" ht="14.4" customHeight="1" thickBot="1">
      <c r="A7" s="4"/>
      <c r="B7" s="83"/>
      <c r="C7" s="84"/>
      <c r="D7" s="84"/>
      <c r="E7" s="84"/>
      <c r="F7" s="84"/>
      <c r="G7" s="84"/>
      <c r="H7" s="84"/>
      <c r="I7" s="84"/>
      <c r="J7" s="85"/>
      <c r="K7" s="85"/>
      <c r="L7" s="85"/>
      <c r="M7" s="85"/>
      <c r="N7" s="85"/>
      <c r="O7" s="85"/>
      <c r="P7" s="5"/>
      <c r="Q7" s="83"/>
      <c r="R7" s="84"/>
      <c r="S7" s="84"/>
      <c r="T7" s="84"/>
      <c r="U7" s="84"/>
      <c r="V7" s="84"/>
      <c r="W7" s="85"/>
      <c r="X7" s="85"/>
      <c r="Y7" s="85"/>
      <c r="Z7" s="85"/>
      <c r="AA7" s="85"/>
      <c r="AB7" s="85"/>
      <c r="AC7" s="85"/>
      <c r="AD7" s="85"/>
      <c r="AE7" s="5"/>
      <c r="AF7" s="83"/>
      <c r="AG7" s="84"/>
      <c r="AH7" s="84"/>
      <c r="AI7" s="84"/>
      <c r="AJ7" s="84"/>
      <c r="AK7" s="84"/>
      <c r="AL7" s="85"/>
      <c r="AM7" s="85"/>
      <c r="AN7" s="85"/>
      <c r="AO7" s="85"/>
      <c r="AP7" s="85"/>
      <c r="AQ7" s="85"/>
      <c r="AR7" s="85"/>
      <c r="AS7" s="4"/>
    </row>
    <row r="8" spans="1:54" s="112" customFormat="1" ht="14.4" customHeight="1" thickTop="1">
      <c r="B8" s="213"/>
      <c r="C8" s="214" t="s">
        <v>199</v>
      </c>
      <c r="D8" s="215"/>
      <c r="E8" s="215"/>
      <c r="F8" s="215"/>
      <c r="G8" s="215"/>
      <c r="H8" s="215"/>
      <c r="I8" s="215"/>
      <c r="J8" s="216"/>
      <c r="K8" s="216"/>
      <c r="L8" s="216"/>
      <c r="M8" s="216"/>
      <c r="N8" s="216"/>
      <c r="O8" s="217"/>
      <c r="P8" s="213"/>
      <c r="Q8" s="214"/>
      <c r="R8" s="215"/>
      <c r="S8" s="215"/>
      <c r="T8" s="215"/>
      <c r="U8" s="215"/>
      <c r="V8" s="215"/>
      <c r="W8" s="215"/>
      <c r="X8" s="216"/>
      <c r="Y8" s="216"/>
      <c r="Z8" s="216"/>
      <c r="AA8" s="216"/>
      <c r="AB8" s="216"/>
      <c r="AC8" s="216"/>
      <c r="AD8" s="217"/>
      <c r="AE8" s="213"/>
      <c r="AF8" s="214"/>
      <c r="AG8" s="215"/>
      <c r="AH8" s="215"/>
      <c r="AI8" s="215"/>
      <c r="AJ8" s="215"/>
      <c r="AK8" s="215"/>
      <c r="AL8" s="215"/>
      <c r="AM8" s="216"/>
      <c r="AN8" s="216"/>
      <c r="AO8" s="216"/>
      <c r="AP8" s="216"/>
      <c r="AQ8" s="216"/>
      <c r="AR8" s="217"/>
      <c r="AS8" s="4"/>
    </row>
    <row r="9" spans="1:54" s="112" customFormat="1" ht="14.4" customHeight="1">
      <c r="B9" s="218"/>
      <c r="C9" s="5" t="str">
        <f>verze!$E$150</f>
        <v>min.šířka korp.:</v>
      </c>
      <c r="D9" s="5"/>
      <c r="E9" s="5"/>
      <c r="F9" s="89"/>
      <c r="G9" s="543" t="s">
        <v>311</v>
      </c>
      <c r="H9" s="543"/>
      <c r="I9" s="543"/>
      <c r="J9" s="5"/>
      <c r="K9" s="5"/>
      <c r="L9" s="5"/>
      <c r="M9" s="5"/>
      <c r="N9" s="5"/>
      <c r="O9" s="219"/>
      <c r="P9" s="218"/>
      <c r="Q9" s="5" t="str">
        <f>verze!$E$150</f>
        <v>min.šířka korp.:</v>
      </c>
      <c r="R9" s="5"/>
      <c r="S9" s="5"/>
      <c r="T9" s="89"/>
      <c r="U9" s="543"/>
      <c r="V9" s="543"/>
      <c r="W9" s="543"/>
      <c r="X9" s="5"/>
      <c r="Y9" s="5"/>
      <c r="Z9" s="5"/>
      <c r="AA9" s="5"/>
      <c r="AB9" s="5"/>
      <c r="AC9" s="5"/>
      <c r="AD9" s="219"/>
      <c r="AE9" s="218"/>
      <c r="AF9" s="5" t="str">
        <f>verze!$E$150</f>
        <v>min.šířka korp.:</v>
      </c>
      <c r="AG9" s="5"/>
      <c r="AH9" s="5"/>
      <c r="AI9" s="89"/>
      <c r="AJ9" s="543"/>
      <c r="AK9" s="543"/>
      <c r="AL9" s="543"/>
      <c r="AM9" s="5"/>
      <c r="AN9" s="5"/>
      <c r="AO9" s="5"/>
      <c r="AP9" s="5"/>
      <c r="AQ9" s="5"/>
      <c r="AR9" s="219"/>
      <c r="AS9" s="4"/>
    </row>
    <row r="10" spans="1:54" s="112" customFormat="1" ht="14.4" customHeight="1">
      <c r="B10" s="218"/>
      <c r="C10" s="5" t="str">
        <f>verze!$E$151</f>
        <v>max.šířka korp.:</v>
      </c>
      <c r="D10" s="5"/>
      <c r="E10" s="5"/>
      <c r="F10" s="89"/>
      <c r="G10" s="543" t="s">
        <v>312</v>
      </c>
      <c r="H10" s="543"/>
      <c r="I10" s="543"/>
      <c r="J10" s="5"/>
      <c r="K10" s="5"/>
      <c r="L10" s="5"/>
      <c r="M10" s="5"/>
      <c r="N10" s="5"/>
      <c r="O10" s="219"/>
      <c r="P10" s="218"/>
      <c r="Q10" s="5" t="str">
        <f>verze!$E$151</f>
        <v>max.šířka korp.:</v>
      </c>
      <c r="R10" s="5"/>
      <c r="S10" s="5"/>
      <c r="T10" s="89"/>
      <c r="U10" s="543"/>
      <c r="V10" s="543"/>
      <c r="W10" s="543"/>
      <c r="X10" s="5"/>
      <c r="Y10" s="5"/>
      <c r="Z10" s="5"/>
      <c r="AA10" s="5"/>
      <c r="AB10" s="5"/>
      <c r="AC10" s="5"/>
      <c r="AD10" s="219"/>
      <c r="AE10" s="218"/>
      <c r="AF10" s="5" t="str">
        <f>verze!$E$151</f>
        <v>max.šířka korp.:</v>
      </c>
      <c r="AG10" s="5"/>
      <c r="AH10" s="5"/>
      <c r="AI10" s="89"/>
      <c r="AJ10" s="543"/>
      <c r="AK10" s="543"/>
      <c r="AL10" s="543"/>
      <c r="AM10" s="5"/>
      <c r="AN10" s="5"/>
      <c r="AO10" s="5"/>
      <c r="AP10" s="5"/>
      <c r="AQ10" s="5"/>
      <c r="AR10" s="219"/>
      <c r="AS10" s="4"/>
    </row>
    <row r="11" spans="1:54" s="112" customFormat="1" ht="14.4" customHeight="1">
      <c r="B11" s="218"/>
      <c r="C11" s="5"/>
      <c r="D11" s="5"/>
      <c r="E11" s="5"/>
      <c r="F11" s="89"/>
      <c r="G11" s="5"/>
      <c r="H11" s="5"/>
      <c r="I11" s="56"/>
      <c r="J11" s="5"/>
      <c r="K11" s="5"/>
      <c r="L11" s="5"/>
      <c r="M11" s="5"/>
      <c r="N11" s="5"/>
      <c r="O11" s="219"/>
      <c r="P11" s="218"/>
      <c r="Q11" s="5"/>
      <c r="R11" s="5"/>
      <c r="S11" s="5"/>
      <c r="T11" s="89"/>
      <c r="U11" s="5"/>
      <c r="V11" s="5"/>
      <c r="W11" s="56"/>
      <c r="X11" s="5"/>
      <c r="Y11" s="5"/>
      <c r="Z11" s="5"/>
      <c r="AA11" s="5"/>
      <c r="AB11" s="5"/>
      <c r="AC11" s="5"/>
      <c r="AD11" s="219"/>
      <c r="AE11" s="218"/>
      <c r="AF11" s="5"/>
      <c r="AG11" s="5"/>
      <c r="AH11" s="5"/>
      <c r="AI11" s="89"/>
      <c r="AJ11" s="5"/>
      <c r="AK11" s="5"/>
      <c r="AL11" s="56"/>
      <c r="AM11" s="5"/>
      <c r="AN11" s="5"/>
      <c r="AO11" s="5"/>
      <c r="AP11" s="5"/>
      <c r="AQ11" s="5"/>
      <c r="AR11" s="219"/>
      <c r="AS11" s="4"/>
    </row>
    <row r="12" spans="1:54" s="112" customFormat="1" ht="14.4" customHeight="1">
      <c r="B12" s="218"/>
      <c r="C12" s="5" t="str">
        <f>verze!$E$152</f>
        <v>min.hl.příbor. :</v>
      </c>
      <c r="D12" s="5"/>
      <c r="E12" s="5"/>
      <c r="F12" s="5"/>
      <c r="G12" s="543" t="s">
        <v>313</v>
      </c>
      <c r="H12" s="543"/>
      <c r="I12" s="543"/>
      <c r="J12" s="5"/>
      <c r="K12" s="5"/>
      <c r="L12" s="5"/>
      <c r="M12" s="5"/>
      <c r="N12" s="5"/>
      <c r="O12" s="219"/>
      <c r="P12" s="218"/>
      <c r="Q12" s="5" t="str">
        <f>verze!$E$152</f>
        <v>min.hl.příbor. :</v>
      </c>
      <c r="R12" s="5"/>
      <c r="S12" s="5"/>
      <c r="T12" s="5"/>
      <c r="U12" s="543"/>
      <c r="V12" s="543"/>
      <c r="W12" s="543"/>
      <c r="X12" s="5"/>
      <c r="Y12" s="5"/>
      <c r="Z12" s="5"/>
      <c r="AA12" s="5"/>
      <c r="AB12" s="5"/>
      <c r="AC12" s="5"/>
      <c r="AD12" s="219"/>
      <c r="AE12" s="218"/>
      <c r="AF12" s="5" t="str">
        <f>verze!$E$152</f>
        <v>min.hl.příbor. :</v>
      </c>
      <c r="AG12" s="5"/>
      <c r="AH12" s="5"/>
      <c r="AI12" s="5"/>
      <c r="AJ12" s="543"/>
      <c r="AK12" s="543"/>
      <c r="AL12" s="543"/>
      <c r="AM12" s="5"/>
      <c r="AN12" s="5"/>
      <c r="AO12" s="5"/>
      <c r="AP12" s="5"/>
      <c r="AQ12" s="5"/>
      <c r="AR12" s="219"/>
      <c r="AS12" s="4"/>
      <c r="AW12" s="112">
        <f>SUM('AVT101'!$O$19:$AP$19)</f>
        <v>0</v>
      </c>
      <c r="AX12" s="170">
        <f>IF(AW12=MAX(AW$12:AW$14),1,0)</f>
        <v>1</v>
      </c>
      <c r="AY12" s="112" t="e">
        <f>SUM(#REF!)</f>
        <v>#REF!</v>
      </c>
      <c r="AZ12" s="170" t="e">
        <f>IF(AY12=MAX(AY$12:AY$14),1,0)</f>
        <v>#REF!</v>
      </c>
      <c r="BA12" s="112" t="e">
        <f>SUM(#REF!)</f>
        <v>#REF!</v>
      </c>
      <c r="BB12" s="170" t="e">
        <f>IF(BA12=MAX(BA$12:BA$14),1,0)</f>
        <v>#REF!</v>
      </c>
    </row>
    <row r="13" spans="1:54" s="111" customFormat="1" ht="14.4" customHeight="1">
      <c r="B13" s="220"/>
      <c r="C13" s="5" t="str">
        <f>verze!$E$153</f>
        <v>max.hl.příbor.:</v>
      </c>
      <c r="D13" s="5"/>
      <c r="E13" s="5"/>
      <c r="F13" s="5"/>
      <c r="G13" s="543" t="s">
        <v>314</v>
      </c>
      <c r="H13" s="543"/>
      <c r="I13" s="543"/>
      <c r="J13" s="56"/>
      <c r="K13" s="56"/>
      <c r="L13" s="56"/>
      <c r="M13" s="541">
        <f>SUM('OT440'!O19:Z31)+SUM('OT440'!AF22:AJ29)</f>
        <v>0</v>
      </c>
      <c r="N13" s="541"/>
      <c r="O13" s="542"/>
      <c r="P13" s="220"/>
      <c r="Q13" s="5" t="str">
        <f>verze!$E$153</f>
        <v>max.hl.příbor.:</v>
      </c>
      <c r="R13" s="5"/>
      <c r="S13" s="5"/>
      <c r="T13" s="5"/>
      <c r="U13" s="543"/>
      <c r="V13" s="543"/>
      <c r="W13" s="543"/>
      <c r="X13" s="56"/>
      <c r="Y13" s="56"/>
      <c r="Z13" s="56"/>
      <c r="AA13" s="56"/>
      <c r="AB13" s="541" t="e">
        <f>SUM(SUM(#REF!)+SUM(#REF!))</f>
        <v>#REF!</v>
      </c>
      <c r="AC13" s="541"/>
      <c r="AD13" s="542"/>
      <c r="AE13" s="220"/>
      <c r="AF13" s="5" t="str">
        <f>verze!$E$153</f>
        <v>max.hl.příbor.:</v>
      </c>
      <c r="AG13" s="5"/>
      <c r="AH13" s="5"/>
      <c r="AI13" s="5"/>
      <c r="AJ13" s="543"/>
      <c r="AK13" s="543"/>
      <c r="AL13" s="543"/>
      <c r="AM13" s="56"/>
      <c r="AN13" s="56"/>
      <c r="AO13" s="56"/>
      <c r="AP13" s="541" t="e">
        <f>SUM(SUM(#REF!)+SUM(#REF!))</f>
        <v>#REF!</v>
      </c>
      <c r="AQ13" s="541"/>
      <c r="AR13" s="542"/>
      <c r="AS13" s="27"/>
      <c r="AW13" s="111">
        <f>SUM('AVT101'!$O$20:$AP$20)+SUM('AVT101'!$O$27:$AP$27)</f>
        <v>0</v>
      </c>
      <c r="AX13" s="170">
        <f>IF(AW13=MAX(AW$12:AW$14),1,0)</f>
        <v>1</v>
      </c>
      <c r="AY13" s="111" t="e">
        <f>SUM(#REF!)+SUM(#REF!)</f>
        <v>#REF!</v>
      </c>
      <c r="AZ13" s="170" t="e">
        <f>IF(AY13=MAX(AY$12:AY$14),1,0)</f>
        <v>#REF!</v>
      </c>
      <c r="BA13" s="111" t="e">
        <f>SUM(#REF!)+SUM(#REF!)</f>
        <v>#REF!</v>
      </c>
      <c r="BB13" s="170" t="e">
        <f>IF(BA13=MAX(BA$12:BA$14),1,0)</f>
        <v>#REF!</v>
      </c>
    </row>
    <row r="14" spans="1:54" s="111" customFormat="1" ht="14.4" customHeight="1">
      <c r="B14" s="220"/>
      <c r="C14" s="5"/>
      <c r="D14" s="5"/>
      <c r="E14" s="5"/>
      <c r="F14" s="5"/>
      <c r="G14" s="5"/>
      <c r="H14" s="5"/>
      <c r="I14" s="56"/>
      <c r="J14" s="56"/>
      <c r="K14" s="56"/>
      <c r="L14" s="56"/>
      <c r="M14" s="541"/>
      <c r="N14" s="541"/>
      <c r="O14" s="542"/>
      <c r="P14" s="220"/>
      <c r="Q14" s="5"/>
      <c r="R14" s="5"/>
      <c r="S14" s="5"/>
      <c r="T14" s="5"/>
      <c r="U14" s="5"/>
      <c r="V14" s="5"/>
      <c r="W14" s="56"/>
      <c r="X14" s="56"/>
      <c r="Y14" s="56"/>
      <c r="Z14" s="56"/>
      <c r="AA14" s="56"/>
      <c r="AB14" s="541"/>
      <c r="AC14" s="541"/>
      <c r="AD14" s="542"/>
      <c r="AE14" s="220"/>
      <c r="AF14" s="5"/>
      <c r="AG14" s="5"/>
      <c r="AH14" s="5"/>
      <c r="AI14" s="5"/>
      <c r="AJ14" s="5"/>
      <c r="AK14" s="5"/>
      <c r="AL14" s="56"/>
      <c r="AM14" s="56"/>
      <c r="AN14" s="56"/>
      <c r="AO14" s="56"/>
      <c r="AP14" s="541"/>
      <c r="AQ14" s="541"/>
      <c r="AR14" s="542"/>
      <c r="AS14" s="27"/>
      <c r="AW14" s="111">
        <f>SUM('AVT101'!$Q$21:$AR$21)+SUM('AVT101'!$Q$27:$AR$27)</f>
        <v>0</v>
      </c>
      <c r="AX14" s="170">
        <f>IF(AW14=MAX(AW$12:AW$14),1,0)</f>
        <v>1</v>
      </c>
      <c r="AY14" s="111" t="e">
        <f>SUM(#REF!)+SUM(#REF!)</f>
        <v>#REF!</v>
      </c>
      <c r="AZ14" s="170" t="e">
        <f>IF(AY14=MAX(AY$12:AY$14),1,0)</f>
        <v>#REF!</v>
      </c>
      <c r="BA14" s="111" t="e">
        <f>SUM(#REF!)+SUM(#REF!)</f>
        <v>#REF!</v>
      </c>
      <c r="BB14" s="170" t="e">
        <f>IF(BA14=MAX(BA$12:BA$14),1,0)</f>
        <v>#REF!</v>
      </c>
    </row>
    <row r="15" spans="1:54" s="112" customFormat="1" ht="14.4" customHeight="1" thickBot="1">
      <c r="B15" s="218"/>
      <c r="C15" s="82"/>
      <c r="D15" s="5"/>
      <c r="E15" s="5"/>
      <c r="F15" s="5"/>
      <c r="G15" s="5"/>
      <c r="H15" s="5"/>
      <c r="I15" s="5"/>
      <c r="J15" s="5"/>
      <c r="K15" s="5"/>
      <c r="L15" s="5"/>
      <c r="M15" s="5"/>
      <c r="N15" s="288"/>
      <c r="O15" s="219"/>
      <c r="P15" s="21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219"/>
      <c r="AE15" s="218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219"/>
      <c r="AS15" s="4"/>
    </row>
    <row r="16" spans="1:54" s="112" customFormat="1" ht="14.4" customHeight="1" thickTop="1">
      <c r="B16" s="213"/>
      <c r="C16" s="214"/>
      <c r="D16" s="215"/>
      <c r="E16" s="215"/>
      <c r="F16" s="215"/>
      <c r="G16" s="215"/>
      <c r="H16" s="215"/>
      <c r="I16" s="215"/>
      <c r="J16" s="216"/>
      <c r="K16" s="216"/>
      <c r="L16" s="216"/>
      <c r="M16" s="216"/>
      <c r="N16" s="216"/>
      <c r="O16" s="217"/>
      <c r="P16" s="213"/>
      <c r="Q16" s="214"/>
      <c r="R16" s="215"/>
      <c r="S16" s="215"/>
      <c r="T16" s="215"/>
      <c r="U16" s="215"/>
      <c r="V16" s="215"/>
      <c r="W16" s="215"/>
      <c r="X16" s="216"/>
      <c r="Y16" s="216"/>
      <c r="Z16" s="216"/>
      <c r="AA16" s="216"/>
      <c r="AB16" s="216"/>
      <c r="AC16" s="216"/>
      <c r="AD16" s="217"/>
      <c r="AE16" s="213"/>
      <c r="AF16" s="214"/>
      <c r="AG16" s="215"/>
      <c r="AH16" s="215"/>
      <c r="AI16" s="215"/>
      <c r="AJ16" s="215"/>
      <c r="AK16" s="215"/>
      <c r="AL16" s="215"/>
      <c r="AM16" s="216"/>
      <c r="AN16" s="216"/>
      <c r="AO16" s="216"/>
      <c r="AP16" s="216"/>
      <c r="AQ16" s="216"/>
      <c r="AR16" s="217"/>
      <c r="AS16" s="4"/>
    </row>
    <row r="17" spans="2:54" s="112" customFormat="1" ht="14.4" customHeight="1">
      <c r="B17" s="218"/>
      <c r="C17" s="5" t="str">
        <f>verze!$E$150</f>
        <v>min.šířka korp.:</v>
      </c>
      <c r="D17" s="5"/>
      <c r="E17" s="5"/>
      <c r="F17" s="89"/>
      <c r="G17" s="543"/>
      <c r="H17" s="543"/>
      <c r="I17" s="543"/>
      <c r="J17" s="5"/>
      <c r="K17" s="5"/>
      <c r="L17" s="5"/>
      <c r="M17" s="5"/>
      <c r="N17" s="5"/>
      <c r="O17" s="219"/>
      <c r="P17" s="218"/>
      <c r="Q17" s="5" t="str">
        <f>verze!$E$150</f>
        <v>min.šířka korp.:</v>
      </c>
      <c r="R17" s="5"/>
      <c r="S17" s="5"/>
      <c r="T17" s="89"/>
      <c r="U17" s="543"/>
      <c r="V17" s="543"/>
      <c r="W17" s="543"/>
      <c r="X17" s="5"/>
      <c r="Y17" s="5"/>
      <c r="Z17" s="5"/>
      <c r="AA17" s="5"/>
      <c r="AB17" s="5"/>
      <c r="AC17" s="5"/>
      <c r="AD17" s="219"/>
      <c r="AE17" s="218"/>
      <c r="AF17" s="5" t="str">
        <f>verze!$E$150</f>
        <v>min.šířka korp.:</v>
      </c>
      <c r="AG17" s="5"/>
      <c r="AH17" s="5"/>
      <c r="AI17" s="89"/>
      <c r="AJ17" s="543"/>
      <c r="AK17" s="543"/>
      <c r="AL17" s="543"/>
      <c r="AM17" s="5"/>
      <c r="AN17" s="5"/>
      <c r="AO17" s="5"/>
      <c r="AP17" s="5"/>
      <c r="AQ17" s="5"/>
      <c r="AR17" s="219"/>
      <c r="AS17" s="4"/>
    </row>
    <row r="18" spans="2:54" s="112" customFormat="1" ht="14.4" customHeight="1">
      <c r="B18" s="218"/>
      <c r="C18" s="5" t="str">
        <f>verze!$E$151</f>
        <v>max.šířka korp.:</v>
      </c>
      <c r="D18" s="5"/>
      <c r="E18" s="5"/>
      <c r="F18" s="89"/>
      <c r="G18" s="543"/>
      <c r="H18" s="543"/>
      <c r="I18" s="543"/>
      <c r="J18" s="5"/>
      <c r="K18" s="5"/>
      <c r="L18" s="5"/>
      <c r="M18" s="5"/>
      <c r="N18" s="5"/>
      <c r="O18" s="219"/>
      <c r="P18" s="218"/>
      <c r="Q18" s="5" t="str">
        <f>verze!$E$151</f>
        <v>max.šířka korp.:</v>
      </c>
      <c r="R18" s="5"/>
      <c r="S18" s="5"/>
      <c r="T18" s="89"/>
      <c r="U18" s="543"/>
      <c r="V18" s="543"/>
      <c r="W18" s="543"/>
      <c r="X18" s="5"/>
      <c r="Y18" s="5"/>
      <c r="Z18" s="5"/>
      <c r="AA18" s="5"/>
      <c r="AB18" s="5"/>
      <c r="AC18" s="5"/>
      <c r="AD18" s="219"/>
      <c r="AE18" s="218"/>
      <c r="AF18" s="5" t="str">
        <f>verze!$E$151</f>
        <v>max.šířka korp.:</v>
      </c>
      <c r="AG18" s="5"/>
      <c r="AH18" s="5"/>
      <c r="AI18" s="89"/>
      <c r="AJ18" s="543"/>
      <c r="AK18" s="543"/>
      <c r="AL18" s="543"/>
      <c r="AM18" s="5"/>
      <c r="AN18" s="5"/>
      <c r="AO18" s="5"/>
      <c r="AP18" s="5"/>
      <c r="AQ18" s="5"/>
      <c r="AR18" s="219"/>
      <c r="AS18" s="4"/>
    </row>
    <row r="19" spans="2:54" s="112" customFormat="1" ht="14.4" customHeight="1">
      <c r="B19" s="218"/>
      <c r="C19" s="5"/>
      <c r="D19" s="5"/>
      <c r="E19" s="5"/>
      <c r="F19" s="89"/>
      <c r="G19" s="5"/>
      <c r="H19" s="5"/>
      <c r="I19" s="56"/>
      <c r="J19" s="5"/>
      <c r="K19" s="5"/>
      <c r="L19" s="5"/>
      <c r="M19" s="5"/>
      <c r="N19" s="5"/>
      <c r="O19" s="219"/>
      <c r="P19" s="218"/>
      <c r="Q19" s="5"/>
      <c r="R19" s="5"/>
      <c r="S19" s="5"/>
      <c r="T19" s="89"/>
      <c r="U19" s="5"/>
      <c r="V19" s="5"/>
      <c r="W19" s="56"/>
      <c r="X19" s="5"/>
      <c r="Y19" s="5"/>
      <c r="Z19" s="5"/>
      <c r="AA19" s="5"/>
      <c r="AB19" s="5"/>
      <c r="AC19" s="5"/>
      <c r="AD19" s="219"/>
      <c r="AE19" s="218"/>
      <c r="AF19" s="5"/>
      <c r="AG19" s="5"/>
      <c r="AH19" s="5"/>
      <c r="AI19" s="89"/>
      <c r="AJ19" s="5"/>
      <c r="AK19" s="5"/>
      <c r="AL19" s="56"/>
      <c r="AM19" s="5"/>
      <c r="AN19" s="5"/>
      <c r="AO19" s="5"/>
      <c r="AP19" s="5"/>
      <c r="AQ19" s="5"/>
      <c r="AR19" s="219"/>
      <c r="AS19" s="4"/>
    </row>
    <row r="20" spans="2:54" s="112" customFormat="1" ht="14.4" customHeight="1">
      <c r="B20" s="218"/>
      <c r="C20" s="5" t="str">
        <f>verze!$E$152</f>
        <v>min.hl.příbor. :</v>
      </c>
      <c r="D20" s="5"/>
      <c r="E20" s="5"/>
      <c r="F20" s="5"/>
      <c r="G20" s="543"/>
      <c r="H20" s="543"/>
      <c r="I20" s="543"/>
      <c r="J20" s="5"/>
      <c r="K20" s="5"/>
      <c r="L20" s="5"/>
      <c r="M20" s="5"/>
      <c r="N20" s="5"/>
      <c r="O20" s="219"/>
      <c r="P20" s="218"/>
      <c r="Q20" s="5" t="str">
        <f>verze!$E$152</f>
        <v>min.hl.příbor. :</v>
      </c>
      <c r="R20" s="5"/>
      <c r="S20" s="5"/>
      <c r="T20" s="5"/>
      <c r="U20" s="543"/>
      <c r="V20" s="543"/>
      <c r="W20" s="543"/>
      <c r="X20" s="5"/>
      <c r="Y20" s="5"/>
      <c r="Z20" s="5"/>
      <c r="AA20" s="5"/>
      <c r="AB20" s="5"/>
      <c r="AC20" s="5"/>
      <c r="AD20" s="219"/>
      <c r="AE20" s="218"/>
      <c r="AF20" s="5" t="str">
        <f>verze!$E$152</f>
        <v>min.hl.příbor. :</v>
      </c>
      <c r="AG20" s="5"/>
      <c r="AH20" s="5"/>
      <c r="AI20" s="5"/>
      <c r="AJ20" s="543"/>
      <c r="AK20" s="543"/>
      <c r="AL20" s="543"/>
      <c r="AM20" s="5"/>
      <c r="AN20" s="5"/>
      <c r="AO20" s="5"/>
      <c r="AP20" s="5"/>
      <c r="AQ20" s="5"/>
      <c r="AR20" s="219"/>
      <c r="AS20" s="4"/>
      <c r="BA20" s="112" t="e">
        <f>SUM(#REF!)</f>
        <v>#REF!</v>
      </c>
      <c r="BB20" s="170" t="e">
        <f>IF(BA20=MAX(BA$20:BA$22),1,0)</f>
        <v>#REF!</v>
      </c>
    </row>
    <row r="21" spans="2:54" s="111" customFormat="1" ht="14.4" customHeight="1">
      <c r="B21" s="220"/>
      <c r="C21" s="5" t="str">
        <f>verze!$E$153</f>
        <v>max.hl.příbor.:</v>
      </c>
      <c r="D21" s="5"/>
      <c r="E21" s="5"/>
      <c r="F21" s="5"/>
      <c r="G21" s="543"/>
      <c r="H21" s="543"/>
      <c r="I21" s="543"/>
      <c r="J21" s="56"/>
      <c r="K21" s="56"/>
      <c r="L21" s="56"/>
      <c r="M21" s="541">
        <f>SUM(SUM('AVT101'!O27:AR29)+SUM('AVT101'!O34:AR35))</f>
        <v>0</v>
      </c>
      <c r="N21" s="541"/>
      <c r="O21" s="542"/>
      <c r="P21" s="220"/>
      <c r="Q21" s="5" t="str">
        <f>verze!$E$153</f>
        <v>max.hl.příbor.:</v>
      </c>
      <c r="R21" s="5"/>
      <c r="S21" s="5"/>
      <c r="T21" s="5"/>
      <c r="U21" s="543"/>
      <c r="V21" s="543"/>
      <c r="W21" s="543"/>
      <c r="X21" s="56"/>
      <c r="Y21" s="56"/>
      <c r="Z21" s="56"/>
      <c r="AA21" s="56"/>
      <c r="AB21" s="541" t="e">
        <f>SUM(SUM(#REF!)+SUM(#REF!))</f>
        <v>#REF!</v>
      </c>
      <c r="AC21" s="541"/>
      <c r="AD21" s="542"/>
      <c r="AE21" s="220"/>
      <c r="AF21" s="5" t="str">
        <f>verze!$E$153</f>
        <v>max.hl.příbor.:</v>
      </c>
      <c r="AG21" s="5"/>
      <c r="AH21" s="5"/>
      <c r="AI21" s="5"/>
      <c r="AJ21" s="543"/>
      <c r="AK21" s="543"/>
      <c r="AL21" s="543"/>
      <c r="AM21" s="56"/>
      <c r="AN21" s="56"/>
      <c r="AO21" s="56"/>
      <c r="AP21" s="541" t="e">
        <f>SUM(SUM(#REF!)+SUM(#REF!))</f>
        <v>#REF!</v>
      </c>
      <c r="AQ21" s="541"/>
      <c r="AR21" s="542"/>
      <c r="AS21" s="27"/>
      <c r="BA21" s="111" t="e">
        <f>SUM(#REF!)+SUM(#REF!)</f>
        <v>#REF!</v>
      </c>
      <c r="BB21" s="170" t="e">
        <f>IF(BA21=MAX(BA$20:BA$22),1,0)</f>
        <v>#REF!</v>
      </c>
    </row>
    <row r="22" spans="2:54" s="111" customFormat="1" ht="14.4" customHeight="1">
      <c r="B22" s="220"/>
      <c r="C22" s="5"/>
      <c r="D22" s="5"/>
      <c r="E22" s="5"/>
      <c r="F22" s="5"/>
      <c r="G22" s="5"/>
      <c r="H22" s="5"/>
      <c r="I22" s="56"/>
      <c r="J22" s="56"/>
      <c r="K22" s="56"/>
      <c r="L22" s="56"/>
      <c r="M22" s="541"/>
      <c r="N22" s="541"/>
      <c r="O22" s="542"/>
      <c r="P22" s="220"/>
      <c r="Q22" s="5"/>
      <c r="R22" s="5"/>
      <c r="S22" s="5"/>
      <c r="T22" s="5"/>
      <c r="U22" s="5"/>
      <c r="V22" s="5"/>
      <c r="W22" s="56"/>
      <c r="X22" s="56"/>
      <c r="Y22" s="56"/>
      <c r="Z22" s="56"/>
      <c r="AA22" s="56"/>
      <c r="AB22" s="541"/>
      <c r="AC22" s="541"/>
      <c r="AD22" s="542"/>
      <c r="AE22" s="220"/>
      <c r="AF22" s="5"/>
      <c r="AG22" s="5"/>
      <c r="AH22" s="5"/>
      <c r="AI22" s="5"/>
      <c r="AJ22" s="5"/>
      <c r="AK22" s="5"/>
      <c r="AL22" s="56"/>
      <c r="AM22" s="56"/>
      <c r="AN22" s="56"/>
      <c r="AO22" s="56"/>
      <c r="AP22" s="541"/>
      <c r="AQ22" s="541"/>
      <c r="AR22" s="542"/>
      <c r="AS22" s="27"/>
      <c r="BA22" s="111" t="e">
        <f>SUM(#REF!)+SUM(#REF!)</f>
        <v>#REF!</v>
      </c>
      <c r="BB22" s="170" t="e">
        <f>IF(BA22=MAX(BA$20:BA$22),1,0)</f>
        <v>#REF!</v>
      </c>
    </row>
    <row r="23" spans="2:54" s="111" customFormat="1" ht="14.4" customHeight="1" thickBot="1">
      <c r="B23" s="225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3"/>
      <c r="N23" s="223"/>
      <c r="O23" s="224"/>
      <c r="P23" s="225"/>
      <c r="Q23" s="227"/>
      <c r="R23" s="227"/>
      <c r="S23" s="228"/>
      <c r="T23" s="228"/>
      <c r="U23" s="229"/>
      <c r="V23" s="229"/>
      <c r="W23" s="226"/>
      <c r="X23" s="226"/>
      <c r="Y23" s="226"/>
      <c r="Z23" s="226"/>
      <c r="AA23" s="226"/>
      <c r="AB23" s="230"/>
      <c r="AC23" s="230"/>
      <c r="AD23" s="231"/>
      <c r="AE23" s="225"/>
      <c r="AF23" s="227"/>
      <c r="AG23" s="227"/>
      <c r="AH23" s="228"/>
      <c r="AI23" s="228"/>
      <c r="AJ23" s="229"/>
      <c r="AK23" s="229"/>
      <c r="AL23" s="226"/>
      <c r="AM23" s="226"/>
      <c r="AN23" s="226"/>
      <c r="AO23" s="226"/>
      <c r="AP23" s="230"/>
      <c r="AQ23" s="230"/>
      <c r="AR23" s="231"/>
      <c r="AS23" s="27"/>
    </row>
    <row r="24" spans="2:54" s="112" customFormat="1" ht="14.4" customHeight="1" thickTop="1">
      <c r="B24" s="213"/>
      <c r="C24" s="214"/>
      <c r="D24" s="215"/>
      <c r="E24" s="215"/>
      <c r="F24" s="215"/>
      <c r="G24" s="215"/>
      <c r="H24" s="215"/>
      <c r="I24" s="215"/>
      <c r="J24" s="216"/>
      <c r="K24" s="216"/>
      <c r="L24" s="216"/>
      <c r="M24" s="216"/>
      <c r="N24" s="216"/>
      <c r="O24" s="217"/>
      <c r="P24" s="213"/>
      <c r="Q24" s="214"/>
      <c r="R24" s="215"/>
      <c r="S24" s="215"/>
      <c r="T24" s="215"/>
      <c r="U24" s="215"/>
      <c r="V24" s="215"/>
      <c r="W24" s="215"/>
      <c r="X24" s="216"/>
      <c r="Y24" s="216"/>
      <c r="Z24" s="216"/>
      <c r="AA24" s="216"/>
      <c r="AB24" s="216"/>
      <c r="AC24" s="216"/>
      <c r="AD24" s="217"/>
      <c r="AE24" s="213"/>
      <c r="AF24" s="214"/>
      <c r="AG24" s="215"/>
      <c r="AH24" s="215"/>
      <c r="AI24" s="215"/>
      <c r="AJ24" s="215"/>
      <c r="AK24" s="215"/>
      <c r="AL24" s="215"/>
      <c r="AM24" s="216"/>
      <c r="AN24" s="216"/>
      <c r="AO24" s="216"/>
      <c r="AP24" s="216"/>
      <c r="AQ24" s="216"/>
      <c r="AR24" s="217"/>
      <c r="AS24" s="4"/>
    </row>
    <row r="25" spans="2:54" s="112" customFormat="1" ht="14.4" customHeight="1">
      <c r="B25" s="218"/>
      <c r="C25" s="5" t="str">
        <f>verze!$E$150</f>
        <v>min.šířka korp.:</v>
      </c>
      <c r="D25" s="5"/>
      <c r="E25" s="5"/>
      <c r="F25" s="89"/>
      <c r="G25" s="543"/>
      <c r="H25" s="543"/>
      <c r="I25" s="543"/>
      <c r="J25" s="5"/>
      <c r="K25" s="5"/>
      <c r="L25" s="5"/>
      <c r="M25" s="5"/>
      <c r="N25" s="5"/>
      <c r="O25" s="219"/>
      <c r="P25" s="218"/>
      <c r="Q25" s="5" t="str">
        <f>verze!$E$150</f>
        <v>min.šířka korp.:</v>
      </c>
      <c r="R25" s="5"/>
      <c r="S25" s="5"/>
      <c r="T25" s="89"/>
      <c r="U25" s="543"/>
      <c r="V25" s="543"/>
      <c r="W25" s="543"/>
      <c r="X25" s="5"/>
      <c r="Y25" s="5"/>
      <c r="Z25" s="5"/>
      <c r="AA25" s="5"/>
      <c r="AB25" s="5"/>
      <c r="AC25" s="5"/>
      <c r="AD25" s="219"/>
      <c r="AE25" s="218"/>
      <c r="AF25" s="5" t="str">
        <f>verze!$E$150</f>
        <v>min.šířka korp.:</v>
      </c>
      <c r="AG25" s="5"/>
      <c r="AH25" s="5"/>
      <c r="AI25" s="89"/>
      <c r="AJ25" s="543"/>
      <c r="AK25" s="543"/>
      <c r="AL25" s="543"/>
      <c r="AM25" s="5"/>
      <c r="AN25" s="5"/>
      <c r="AO25" s="5"/>
      <c r="AP25" s="5"/>
      <c r="AQ25" s="5"/>
      <c r="AR25" s="219"/>
      <c r="AS25" s="4"/>
    </row>
    <row r="26" spans="2:54" s="112" customFormat="1" ht="14.4" customHeight="1">
      <c r="B26" s="218"/>
      <c r="C26" s="5" t="str">
        <f>verze!$E$151</f>
        <v>max.šířka korp.:</v>
      </c>
      <c r="D26" s="5"/>
      <c r="E26" s="5"/>
      <c r="F26" s="89"/>
      <c r="G26" s="543"/>
      <c r="H26" s="543"/>
      <c r="I26" s="543"/>
      <c r="J26" s="5"/>
      <c r="K26" s="5"/>
      <c r="L26" s="5"/>
      <c r="M26" s="5"/>
      <c r="N26" s="5"/>
      <c r="O26" s="219"/>
      <c r="P26" s="218"/>
      <c r="Q26" s="5" t="str">
        <f>verze!$E$151</f>
        <v>max.šířka korp.:</v>
      </c>
      <c r="R26" s="5"/>
      <c r="S26" s="5"/>
      <c r="T26" s="89"/>
      <c r="U26" s="543"/>
      <c r="V26" s="543"/>
      <c r="W26" s="543"/>
      <c r="X26" s="5"/>
      <c r="Y26" s="5"/>
      <c r="Z26" s="5"/>
      <c r="AA26" s="5"/>
      <c r="AB26" s="5"/>
      <c r="AC26" s="5"/>
      <c r="AD26" s="219"/>
      <c r="AE26" s="218"/>
      <c r="AF26" s="5" t="str">
        <f>verze!$E$151</f>
        <v>max.šířka korp.:</v>
      </c>
      <c r="AG26" s="5"/>
      <c r="AH26" s="5"/>
      <c r="AI26" s="89"/>
      <c r="AJ26" s="543"/>
      <c r="AK26" s="543"/>
      <c r="AL26" s="543"/>
      <c r="AM26" s="5"/>
      <c r="AN26" s="5"/>
      <c r="AO26" s="5"/>
      <c r="AP26" s="5"/>
      <c r="AQ26" s="5"/>
      <c r="AR26" s="219"/>
      <c r="AS26" s="4"/>
    </row>
    <row r="27" spans="2:54" s="112" customFormat="1" ht="14.4" customHeight="1">
      <c r="B27" s="218"/>
      <c r="C27" s="5"/>
      <c r="D27" s="5"/>
      <c r="E27" s="5"/>
      <c r="F27" s="89"/>
      <c r="G27" s="5"/>
      <c r="H27" s="5"/>
      <c r="I27" s="56"/>
      <c r="J27" s="5"/>
      <c r="K27" s="5"/>
      <c r="L27" s="5"/>
      <c r="M27" s="5"/>
      <c r="N27" s="5"/>
      <c r="O27" s="219"/>
      <c r="P27" s="218"/>
      <c r="Q27" s="5"/>
      <c r="R27" s="5"/>
      <c r="S27" s="5"/>
      <c r="T27" s="89"/>
      <c r="U27" s="5"/>
      <c r="V27" s="5"/>
      <c r="W27" s="56"/>
      <c r="X27" s="5"/>
      <c r="Y27" s="5"/>
      <c r="Z27" s="5"/>
      <c r="AA27" s="5"/>
      <c r="AB27" s="5"/>
      <c r="AC27" s="5"/>
      <c r="AD27" s="219"/>
      <c r="AE27" s="218"/>
      <c r="AF27" s="5"/>
      <c r="AG27" s="5"/>
      <c r="AH27" s="5"/>
      <c r="AI27" s="89"/>
      <c r="AJ27" s="5"/>
      <c r="AK27" s="5"/>
      <c r="AL27" s="56"/>
      <c r="AM27" s="5"/>
      <c r="AN27" s="5"/>
      <c r="AO27" s="5"/>
      <c r="AP27" s="5"/>
      <c r="AQ27" s="5"/>
      <c r="AR27" s="219"/>
      <c r="AS27" s="4"/>
    </row>
    <row r="28" spans="2:54" s="112" customFormat="1" ht="14.4" customHeight="1">
      <c r="B28" s="218"/>
      <c r="C28" s="5" t="str">
        <f>verze!$E$152</f>
        <v>min.hl.příbor. :</v>
      </c>
      <c r="D28" s="5"/>
      <c r="E28" s="5"/>
      <c r="F28" s="5"/>
      <c r="G28" s="543"/>
      <c r="H28" s="543"/>
      <c r="I28" s="543"/>
      <c r="J28" s="5"/>
      <c r="K28" s="5"/>
      <c r="L28" s="5"/>
      <c r="M28" s="5"/>
      <c r="N28" s="5"/>
      <c r="O28" s="219"/>
      <c r="P28" s="218"/>
      <c r="Q28" s="5" t="str">
        <f>verze!$E$152</f>
        <v>min.hl.příbor. :</v>
      </c>
      <c r="R28" s="5"/>
      <c r="S28" s="5"/>
      <c r="T28" s="5"/>
      <c r="U28" s="543"/>
      <c r="V28" s="543"/>
      <c r="W28" s="543"/>
      <c r="X28" s="5"/>
      <c r="Y28" s="5"/>
      <c r="Z28" s="5"/>
      <c r="AA28" s="5"/>
      <c r="AB28" s="5"/>
      <c r="AC28" s="5"/>
      <c r="AD28" s="219"/>
      <c r="AE28" s="218"/>
      <c r="AF28" s="5" t="str">
        <f>verze!$E$152</f>
        <v>min.hl.příbor. :</v>
      </c>
      <c r="AG28" s="5"/>
      <c r="AH28" s="5"/>
      <c r="AI28" s="5"/>
      <c r="AJ28" s="543"/>
      <c r="AK28" s="543"/>
      <c r="AL28" s="543"/>
      <c r="AM28" s="5"/>
      <c r="AN28" s="5"/>
      <c r="AO28" s="5"/>
      <c r="AP28" s="5"/>
      <c r="AQ28" s="5"/>
      <c r="AR28" s="219"/>
      <c r="AS28" s="4"/>
      <c r="AY28" s="112" t="e">
        <f>SUM(#REF!)</f>
        <v>#REF!</v>
      </c>
      <c r="AZ28" s="170" t="e">
        <f>IF(AY28=MAX(AY$28:AY$30),1,0)</f>
        <v>#REF!</v>
      </c>
      <c r="BA28" s="112" t="e">
        <f>SUM(#REF!)</f>
        <v>#REF!</v>
      </c>
      <c r="BB28" s="170" t="e">
        <f>IF(BA28=MAX(BA$28:BA$30),1,0)</f>
        <v>#REF!</v>
      </c>
    </row>
    <row r="29" spans="2:54" s="111" customFormat="1" ht="14.4" customHeight="1">
      <c r="B29" s="220"/>
      <c r="C29" s="5" t="str">
        <f>verze!$E$153</f>
        <v>max.hl.příbor.:</v>
      </c>
      <c r="D29" s="5"/>
      <c r="E29" s="5"/>
      <c r="F29" s="5"/>
      <c r="G29" s="543"/>
      <c r="H29" s="543"/>
      <c r="I29" s="543"/>
      <c r="J29" s="56"/>
      <c r="K29" s="56"/>
      <c r="L29" s="56"/>
      <c r="M29" s="541">
        <f>SUM(SUM('AVT101'!O35:AR37)+SUM('AVT101'!O42:AR43))</f>
        <v>0</v>
      </c>
      <c r="N29" s="541"/>
      <c r="O29" s="542"/>
      <c r="P29" s="220"/>
      <c r="Q29" s="5" t="str">
        <f>verze!$E$153</f>
        <v>max.hl.příbor.:</v>
      </c>
      <c r="R29" s="5"/>
      <c r="S29" s="5"/>
      <c r="T29" s="5"/>
      <c r="U29" s="543"/>
      <c r="V29" s="543"/>
      <c r="W29" s="543"/>
      <c r="X29" s="56"/>
      <c r="Y29" s="56"/>
      <c r="Z29" s="56"/>
      <c r="AA29" s="56"/>
      <c r="AB29" s="541" t="e">
        <f>SUM(SUM(#REF!)+SUM(#REF!))</f>
        <v>#REF!</v>
      </c>
      <c r="AC29" s="541"/>
      <c r="AD29" s="542"/>
      <c r="AE29" s="220"/>
      <c r="AF29" s="5" t="str">
        <f>verze!$E$153</f>
        <v>max.hl.příbor.:</v>
      </c>
      <c r="AG29" s="5"/>
      <c r="AH29" s="5"/>
      <c r="AI29" s="5"/>
      <c r="AJ29" s="543"/>
      <c r="AK29" s="543"/>
      <c r="AL29" s="543"/>
      <c r="AM29" s="56"/>
      <c r="AN29" s="56"/>
      <c r="AO29" s="56"/>
      <c r="AP29" s="541" t="e">
        <f>SUM(SUM(#REF!)+SUM(#REF!))</f>
        <v>#REF!</v>
      </c>
      <c r="AQ29" s="541"/>
      <c r="AR29" s="542"/>
      <c r="AS29" s="27"/>
      <c r="AY29" s="111" t="e">
        <f>SUM(#REF!)+SUM(#REF!)</f>
        <v>#REF!</v>
      </c>
      <c r="AZ29" s="170" t="e">
        <f>IF(AY29=MAX(AY$28:AY$30),1,0)</f>
        <v>#REF!</v>
      </c>
      <c r="BA29" s="111" t="e">
        <f>SUM(#REF!)+SUM(#REF!)</f>
        <v>#REF!</v>
      </c>
      <c r="BB29" s="170" t="e">
        <f>IF(BA29=MAX(BA$28:BA$30),1,0)</f>
        <v>#REF!</v>
      </c>
    </row>
    <row r="30" spans="2:54" s="111" customFormat="1" ht="14.4" customHeight="1">
      <c r="B30" s="220"/>
      <c r="C30" s="5"/>
      <c r="D30" s="5"/>
      <c r="E30" s="5"/>
      <c r="F30" s="5"/>
      <c r="G30" s="5"/>
      <c r="H30" s="5"/>
      <c r="I30" s="56"/>
      <c r="J30" s="56"/>
      <c r="K30" s="56"/>
      <c r="L30" s="56"/>
      <c r="M30" s="541"/>
      <c r="N30" s="541"/>
      <c r="O30" s="542"/>
      <c r="P30" s="220"/>
      <c r="Q30" s="5"/>
      <c r="R30" s="5"/>
      <c r="S30" s="5"/>
      <c r="T30" s="5"/>
      <c r="U30" s="5"/>
      <c r="V30" s="5"/>
      <c r="W30" s="56"/>
      <c r="X30" s="56"/>
      <c r="Y30" s="56"/>
      <c r="Z30" s="56"/>
      <c r="AA30" s="56"/>
      <c r="AB30" s="541"/>
      <c r="AC30" s="541"/>
      <c r="AD30" s="542"/>
      <c r="AE30" s="220"/>
      <c r="AF30" s="5"/>
      <c r="AG30" s="5"/>
      <c r="AH30" s="5"/>
      <c r="AI30" s="5"/>
      <c r="AJ30" s="5"/>
      <c r="AK30" s="5"/>
      <c r="AL30" s="56"/>
      <c r="AM30" s="56"/>
      <c r="AN30" s="56"/>
      <c r="AO30" s="56"/>
      <c r="AP30" s="541"/>
      <c r="AQ30" s="541"/>
      <c r="AR30" s="542"/>
      <c r="AS30" s="27"/>
      <c r="AY30" s="111" t="e">
        <f>SUM(#REF!)+SUM(#REF!)</f>
        <v>#REF!</v>
      </c>
      <c r="AZ30" s="170" t="e">
        <f>IF(AY30=MAX(AY$28:AY$30),1,0)</f>
        <v>#REF!</v>
      </c>
      <c r="BA30" s="111" t="e">
        <f>SUM(#REF!)+SUM(#REF!)</f>
        <v>#REF!</v>
      </c>
      <c r="BB30" s="170" t="e">
        <f>IF(BA30=MAX(BA$28:BA$30),1,0)</f>
        <v>#REF!</v>
      </c>
    </row>
    <row r="31" spans="2:54" s="111" customFormat="1" ht="14.4" customHeight="1" thickBot="1">
      <c r="B31" s="225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3"/>
      <c r="N31" s="223"/>
      <c r="O31" s="224"/>
      <c r="P31" s="225"/>
      <c r="Q31" s="227"/>
      <c r="R31" s="227"/>
      <c r="S31" s="228"/>
      <c r="T31" s="228"/>
      <c r="U31" s="229"/>
      <c r="V31" s="229"/>
      <c r="W31" s="226"/>
      <c r="X31" s="226"/>
      <c r="Y31" s="226"/>
      <c r="Z31" s="226"/>
      <c r="AA31" s="226"/>
      <c r="AB31" s="230"/>
      <c r="AC31" s="230"/>
      <c r="AD31" s="231"/>
      <c r="AE31" s="225"/>
      <c r="AF31" s="227"/>
      <c r="AG31" s="227"/>
      <c r="AH31" s="228"/>
      <c r="AI31" s="228"/>
      <c r="AJ31" s="229"/>
      <c r="AK31" s="229"/>
      <c r="AL31" s="226"/>
      <c r="AM31" s="226"/>
      <c r="AN31" s="226"/>
      <c r="AO31" s="226"/>
      <c r="AP31" s="230"/>
      <c r="AQ31" s="230"/>
      <c r="AR31" s="231"/>
      <c r="AS31" s="27"/>
    </row>
    <row r="32" spans="2:54" s="112" customFormat="1" ht="14.4" customHeight="1" thickTop="1">
      <c r="B32" s="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"/>
      <c r="N32" s="5"/>
      <c r="O32" s="5"/>
      <c r="P32" s="5"/>
      <c r="Q32" s="204"/>
      <c r="R32" s="204"/>
      <c r="S32" s="204"/>
      <c r="T32" s="204"/>
      <c r="U32" s="204"/>
      <c r="V32" s="204"/>
      <c r="W32" s="56"/>
      <c r="X32" s="56"/>
      <c r="Y32" s="56"/>
      <c r="Z32" s="56"/>
      <c r="AA32" s="56"/>
      <c r="AB32" s="290"/>
      <c r="AC32" s="290"/>
      <c r="AD32" s="290"/>
      <c r="AE32" s="56"/>
      <c r="AF32" s="85"/>
      <c r="AG32" s="85"/>
      <c r="AH32" s="85"/>
      <c r="AI32" s="85"/>
      <c r="AJ32" s="85"/>
      <c r="AK32" s="85"/>
      <c r="AL32" s="27"/>
      <c r="AM32" s="27"/>
      <c r="AN32" s="27"/>
      <c r="AO32" s="27"/>
      <c r="AP32" s="85"/>
      <c r="AQ32" s="85"/>
      <c r="AR32" s="86"/>
      <c r="AS32" s="5"/>
    </row>
    <row r="33" spans="1:45" s="112" customFormat="1" ht="23.1" customHeight="1">
      <c r="A33" s="205"/>
      <c r="B33" s="212"/>
      <c r="C33" s="212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7"/>
      <c r="O33" s="208"/>
      <c r="P33" s="209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09"/>
      <c r="AB33" s="209"/>
      <c r="AC33" s="211"/>
      <c r="AD33" s="208"/>
      <c r="AE33" s="209"/>
      <c r="AF33" s="210"/>
      <c r="AG33" s="210"/>
      <c r="AH33" s="210"/>
      <c r="AI33" s="210"/>
      <c r="AJ33" s="210"/>
      <c r="AK33" s="210"/>
      <c r="AL33" s="210"/>
      <c r="AM33" s="210"/>
      <c r="AN33" s="210"/>
      <c r="AO33" s="209"/>
      <c r="AP33" s="209"/>
      <c r="AQ33" s="210"/>
      <c r="AR33" s="208"/>
      <c r="AS33" s="4"/>
    </row>
    <row r="34" spans="1:45" s="112" customFormat="1" ht="14.4" customHeight="1" thickBot="1">
      <c r="B34" s="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"/>
      <c r="N34" s="5"/>
      <c r="O34" s="5"/>
      <c r="P34" s="5"/>
      <c r="Q34" s="204"/>
      <c r="R34" s="204"/>
      <c r="S34" s="204"/>
      <c r="T34" s="204"/>
      <c r="U34" s="204"/>
      <c r="V34" s="204"/>
      <c r="W34" s="56"/>
      <c r="X34" s="56"/>
      <c r="Y34" s="56"/>
      <c r="Z34" s="56"/>
      <c r="AA34" s="56"/>
      <c r="AB34" s="290"/>
      <c r="AC34" s="290"/>
      <c r="AD34" s="290"/>
      <c r="AE34" s="56"/>
      <c r="AF34" s="85"/>
      <c r="AG34" s="85"/>
      <c r="AH34" s="85"/>
      <c r="AI34" s="85"/>
      <c r="AJ34" s="85"/>
      <c r="AK34" s="85"/>
      <c r="AL34" s="56"/>
      <c r="AM34" s="56"/>
      <c r="AN34" s="56"/>
      <c r="AO34" s="56"/>
      <c r="AP34" s="85"/>
      <c r="AQ34" s="85"/>
      <c r="AR34" s="86"/>
      <c r="AS34" s="5"/>
    </row>
    <row r="35" spans="1:45" s="112" customFormat="1" ht="14.4" customHeight="1" thickTop="1">
      <c r="B35" s="213"/>
      <c r="C35" s="214"/>
      <c r="D35" s="215"/>
      <c r="E35" s="215"/>
      <c r="F35" s="215"/>
      <c r="G35" s="215"/>
      <c r="H35" s="215"/>
      <c r="I35" s="215"/>
      <c r="J35" s="216"/>
      <c r="K35" s="216"/>
      <c r="L35" s="216"/>
      <c r="M35" s="216"/>
      <c r="N35" s="216"/>
      <c r="O35" s="217"/>
      <c r="P35" s="213"/>
      <c r="Q35" s="214"/>
      <c r="R35" s="285"/>
      <c r="S35" s="285"/>
      <c r="T35" s="285"/>
      <c r="U35" s="285"/>
      <c r="V35" s="285"/>
      <c r="W35" s="285"/>
      <c r="X35" s="216"/>
      <c r="Y35" s="216"/>
      <c r="Z35" s="216"/>
      <c r="AA35" s="216"/>
      <c r="AB35" s="216"/>
      <c r="AC35" s="216"/>
      <c r="AD35" s="217"/>
      <c r="AE35" s="213"/>
      <c r="AF35" s="214"/>
      <c r="AG35" s="285"/>
      <c r="AH35" s="285"/>
      <c r="AI35" s="285"/>
      <c r="AJ35" s="285"/>
      <c r="AK35" s="285"/>
      <c r="AL35" s="285"/>
      <c r="AM35" s="216"/>
      <c r="AN35" s="216"/>
      <c r="AO35" s="216"/>
      <c r="AP35" s="216"/>
      <c r="AQ35" s="216"/>
      <c r="AR35" s="217"/>
      <c r="AS35" s="4"/>
    </row>
    <row r="36" spans="1:45" s="112" customFormat="1" ht="14.4" customHeight="1">
      <c r="B36" s="218"/>
      <c r="C36" s="83"/>
      <c r="D36" s="5"/>
      <c r="E36" s="5"/>
      <c r="F36" s="89"/>
      <c r="G36" s="89"/>
      <c r="H36" s="89"/>
      <c r="I36" s="5"/>
      <c r="J36" s="5"/>
      <c r="K36" s="5"/>
      <c r="L36" s="5"/>
      <c r="M36" s="5"/>
      <c r="N36" s="5"/>
      <c r="O36" s="219"/>
      <c r="P36" s="218"/>
      <c r="Q36" s="83"/>
      <c r="R36" s="286"/>
      <c r="S36" s="286"/>
      <c r="T36" s="286"/>
      <c r="U36" s="286"/>
      <c r="V36" s="286"/>
      <c r="W36" s="286"/>
      <c r="X36" s="5"/>
      <c r="Y36" s="5"/>
      <c r="Z36" s="5"/>
      <c r="AA36" s="5"/>
      <c r="AB36" s="5"/>
      <c r="AC36" s="5"/>
      <c r="AD36" s="219"/>
      <c r="AE36" s="218"/>
      <c r="AF36" s="83"/>
      <c r="AG36" s="286"/>
      <c r="AH36" s="286"/>
      <c r="AI36" s="286"/>
      <c r="AJ36" s="286"/>
      <c r="AK36" s="286"/>
      <c r="AL36" s="286"/>
      <c r="AM36" s="5"/>
      <c r="AN36" s="5"/>
      <c r="AO36" s="5"/>
      <c r="AP36" s="5"/>
      <c r="AQ36" s="5"/>
      <c r="AR36" s="219"/>
      <c r="AS36" s="4"/>
    </row>
    <row r="37" spans="1:45" s="112" customFormat="1" ht="14.4" customHeight="1">
      <c r="B37" s="218"/>
      <c r="C37" s="5"/>
      <c r="D37" s="5"/>
      <c r="E37" s="5"/>
      <c r="F37" s="89"/>
      <c r="G37" s="543"/>
      <c r="H37" s="543"/>
      <c r="I37" s="543"/>
      <c r="J37" s="5"/>
      <c r="K37" s="5"/>
      <c r="L37" s="5"/>
      <c r="M37" s="5"/>
      <c r="N37" s="5"/>
      <c r="O37" s="219"/>
      <c r="P37" s="218"/>
      <c r="Q37" s="5"/>
      <c r="R37" s="5"/>
      <c r="S37" s="5"/>
      <c r="T37" s="89"/>
      <c r="U37" s="543"/>
      <c r="V37" s="543"/>
      <c r="W37" s="543"/>
      <c r="X37" s="5"/>
      <c r="Y37" s="5"/>
      <c r="Z37" s="5"/>
      <c r="AA37" s="5"/>
      <c r="AB37" s="5"/>
      <c r="AC37" s="5"/>
      <c r="AD37" s="219"/>
      <c r="AE37" s="218"/>
      <c r="AF37" s="5"/>
      <c r="AG37" s="5"/>
      <c r="AH37" s="5"/>
      <c r="AI37" s="89"/>
      <c r="AJ37" s="89"/>
      <c r="AK37" s="89"/>
      <c r="AL37" s="5"/>
      <c r="AM37" s="5"/>
      <c r="AN37" s="5"/>
      <c r="AO37" s="5"/>
      <c r="AP37" s="5"/>
      <c r="AQ37" s="5"/>
      <c r="AR37" s="219"/>
      <c r="AS37" s="4"/>
    </row>
    <row r="38" spans="1:45" s="112" customFormat="1" ht="14.4" customHeight="1">
      <c r="B38" s="218"/>
      <c r="C38" s="5"/>
      <c r="D38" s="5"/>
      <c r="E38" s="5"/>
      <c r="F38" s="89"/>
      <c r="G38" s="543"/>
      <c r="H38" s="543"/>
      <c r="I38" s="543"/>
      <c r="J38" s="5"/>
      <c r="K38" s="5"/>
      <c r="L38" s="5"/>
      <c r="M38" s="5"/>
      <c r="N38" s="5"/>
      <c r="O38" s="219"/>
      <c r="P38" s="218"/>
      <c r="Q38" s="5"/>
      <c r="R38" s="5"/>
      <c r="S38" s="5"/>
      <c r="T38" s="89"/>
      <c r="U38" s="543"/>
      <c r="V38" s="543"/>
      <c r="W38" s="543"/>
      <c r="X38" s="5"/>
      <c r="Y38" s="5"/>
      <c r="Z38" s="5"/>
      <c r="AA38" s="5"/>
      <c r="AB38" s="5"/>
      <c r="AC38" s="5"/>
      <c r="AD38" s="219"/>
      <c r="AE38" s="218"/>
      <c r="AF38" s="5"/>
      <c r="AG38" s="5"/>
      <c r="AH38" s="5"/>
      <c r="AI38" s="89"/>
      <c r="AJ38" s="89"/>
      <c r="AK38" s="89"/>
      <c r="AL38" s="5"/>
      <c r="AM38" s="5"/>
      <c r="AN38" s="5"/>
      <c r="AO38" s="5"/>
      <c r="AP38" s="5"/>
      <c r="AQ38" s="5"/>
      <c r="AR38" s="219"/>
      <c r="AS38" s="4"/>
    </row>
    <row r="39" spans="1:45" s="112" customFormat="1" ht="14.4" customHeight="1">
      <c r="B39" s="218"/>
      <c r="C39" s="5"/>
      <c r="D39" s="5"/>
      <c r="E39" s="5"/>
      <c r="F39" s="89"/>
      <c r="G39" s="89"/>
      <c r="H39" s="89"/>
      <c r="I39" s="5"/>
      <c r="J39" s="5"/>
      <c r="K39" s="5"/>
      <c r="L39" s="5"/>
      <c r="M39" s="5"/>
      <c r="N39" s="5"/>
      <c r="O39" s="219"/>
      <c r="P39" s="218"/>
      <c r="Q39" s="5"/>
      <c r="R39" s="5"/>
      <c r="S39" s="5"/>
      <c r="T39" s="89"/>
      <c r="U39" s="89"/>
      <c r="V39" s="89"/>
      <c r="W39" s="5"/>
      <c r="X39" s="5"/>
      <c r="Y39" s="5"/>
      <c r="Z39" s="5"/>
      <c r="AA39" s="5"/>
      <c r="AB39" s="5"/>
      <c r="AC39" s="5"/>
      <c r="AD39" s="219"/>
      <c r="AE39" s="218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219"/>
      <c r="AS39" s="4"/>
    </row>
    <row r="40" spans="1:45" s="112" customFormat="1" ht="14.4" customHeight="1">
      <c r="B40" s="220"/>
      <c r="C40" s="5"/>
      <c r="D40" s="5"/>
      <c r="E40" s="5"/>
      <c r="F40" s="89"/>
      <c r="G40" s="89"/>
      <c r="H40" s="89"/>
      <c r="I40" s="56"/>
      <c r="J40" s="56"/>
      <c r="K40" s="56"/>
      <c r="L40" s="56"/>
      <c r="M40" s="541"/>
      <c r="N40" s="541"/>
      <c r="O40" s="542"/>
      <c r="P40" s="220"/>
      <c r="Q40" s="5"/>
      <c r="R40" s="5"/>
      <c r="S40" s="5"/>
      <c r="T40" s="89"/>
      <c r="U40" s="89"/>
      <c r="V40" s="89"/>
      <c r="W40" s="56"/>
      <c r="X40" s="56"/>
      <c r="Y40" s="56"/>
      <c r="Z40" s="56"/>
      <c r="AA40" s="56"/>
      <c r="AB40" s="541"/>
      <c r="AC40" s="541"/>
      <c r="AD40" s="542"/>
      <c r="AE40" s="220"/>
      <c r="AF40" s="5"/>
      <c r="AG40" s="5"/>
      <c r="AH40" s="5"/>
      <c r="AI40" s="5"/>
      <c r="AJ40" s="5"/>
      <c r="AK40" s="5"/>
      <c r="AL40" s="56"/>
      <c r="AM40" s="56"/>
      <c r="AN40" s="56"/>
      <c r="AO40" s="56"/>
      <c r="AP40" s="541"/>
      <c r="AQ40" s="541"/>
      <c r="AR40" s="542"/>
      <c r="AS40" s="27"/>
    </row>
    <row r="41" spans="1:45" s="112" customFormat="1" ht="14.4" customHeight="1">
      <c r="B41" s="220"/>
      <c r="C41" s="5"/>
      <c r="D41" s="5"/>
      <c r="E41" s="5"/>
      <c r="F41" s="89"/>
      <c r="G41" s="89"/>
      <c r="H41" s="89"/>
      <c r="I41" s="56"/>
      <c r="J41" s="56"/>
      <c r="K41" s="56"/>
      <c r="L41" s="56"/>
      <c r="M41" s="541"/>
      <c r="N41" s="541"/>
      <c r="O41" s="542"/>
      <c r="P41" s="220"/>
      <c r="Q41" s="5"/>
      <c r="R41" s="5"/>
      <c r="S41" s="5"/>
      <c r="T41" s="89"/>
      <c r="U41" s="89"/>
      <c r="V41" s="89"/>
      <c r="W41" s="56"/>
      <c r="X41" s="56"/>
      <c r="Y41" s="56"/>
      <c r="Z41" s="56"/>
      <c r="AA41" s="56"/>
      <c r="AB41" s="541"/>
      <c r="AC41" s="541"/>
      <c r="AD41" s="542"/>
      <c r="AE41" s="220"/>
      <c r="AF41" s="5"/>
      <c r="AG41" s="5"/>
      <c r="AH41" s="5"/>
      <c r="AI41" s="5"/>
      <c r="AJ41" s="5"/>
      <c r="AK41" s="5"/>
      <c r="AL41" s="56"/>
      <c r="AM41" s="56"/>
      <c r="AN41" s="56"/>
      <c r="AO41" s="56"/>
      <c r="AP41" s="541"/>
      <c r="AQ41" s="541"/>
      <c r="AR41" s="542"/>
      <c r="AS41" s="27"/>
    </row>
    <row r="42" spans="1:45" s="112" customFormat="1" ht="14.4" customHeight="1" thickBot="1">
      <c r="A42" s="4"/>
      <c r="B42" s="225"/>
      <c r="C42" s="226"/>
      <c r="D42" s="226"/>
      <c r="E42" s="226"/>
      <c r="F42" s="226"/>
      <c r="G42" s="226"/>
      <c r="H42" s="226"/>
      <c r="I42" s="226"/>
      <c r="J42" s="226"/>
      <c r="K42" s="226"/>
      <c r="L42" s="223"/>
      <c r="M42" s="223"/>
      <c r="N42" s="223"/>
      <c r="O42" s="224"/>
      <c r="P42" s="242"/>
      <c r="Q42" s="241"/>
      <c r="R42" s="241"/>
      <c r="S42" s="241"/>
      <c r="T42" s="241"/>
      <c r="U42" s="241"/>
      <c r="V42" s="226"/>
      <c r="W42" s="226"/>
      <c r="X42" s="226"/>
      <c r="Y42" s="226"/>
      <c r="Z42" s="226"/>
      <c r="AA42" s="230"/>
      <c r="AB42" s="230"/>
      <c r="AC42" s="230"/>
      <c r="AD42" s="243"/>
      <c r="AE42" s="244"/>
      <c r="AF42" s="237"/>
      <c r="AG42" s="237"/>
      <c r="AH42" s="237"/>
      <c r="AI42" s="237"/>
      <c r="AJ42" s="237"/>
      <c r="AK42" s="226"/>
      <c r="AL42" s="226"/>
      <c r="AM42" s="226"/>
      <c r="AN42" s="226"/>
      <c r="AO42" s="237"/>
      <c r="AP42" s="237"/>
      <c r="AQ42" s="245"/>
      <c r="AR42" s="224"/>
    </row>
    <row r="43" spans="1:45" s="112" customFormat="1" ht="14.4" customHeight="1" thickTop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  <c r="O43" s="7"/>
      <c r="P43" s="4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  <c r="AD43" s="7"/>
      <c r="AE43" s="4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6"/>
      <c r="AS43" s="4"/>
    </row>
    <row r="44" spans="1:45" s="112" customFormat="1" ht="14.4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7"/>
      <c r="P44" s="4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  <c r="AD44" s="7"/>
      <c r="AE44" s="4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6"/>
      <c r="AS44" s="4"/>
    </row>
    <row r="45" spans="1:45" s="112" customFormat="1" ht="14.4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7"/>
      <c r="P45" s="4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  <c r="AD45" s="7"/>
      <c r="AE45" s="4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6"/>
      <c r="AS45" s="4"/>
    </row>
    <row r="46" spans="1:45" s="112" customFormat="1" ht="14.4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  <c r="O46" s="7"/>
      <c r="P46" s="4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  <c r="AD46" s="7"/>
      <c r="AE46" s="4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6"/>
      <c r="AS46" s="4"/>
    </row>
    <row r="47" spans="1:45" s="112" customFormat="1" ht="14.4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  <c r="O47" s="7"/>
      <c r="P47" s="4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  <c r="AD47" s="7"/>
      <c r="AE47" s="4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6"/>
      <c r="AS47" s="4"/>
    </row>
    <row r="48" spans="1:45" s="112" customFormat="1" ht="14.4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7"/>
      <c r="P48" s="4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  <c r="AD48" s="7"/>
      <c r="AE48" s="4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6"/>
      <c r="AS48" s="4"/>
    </row>
    <row r="49" spans="1:45" s="112" customFormat="1" ht="14.4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7"/>
      <c r="P49" s="4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  <c r="AD49" s="7"/>
      <c r="AE49" s="4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6"/>
      <c r="AS49" s="4"/>
    </row>
    <row r="50" spans="1:45" s="112" customFormat="1" ht="14.4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7"/>
      <c r="P50" s="4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  <c r="AD50" s="7"/>
      <c r="AE50" s="4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6"/>
      <c r="AS50" s="4"/>
    </row>
    <row r="51" spans="1:45" s="112" customFormat="1" ht="14.4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  <c r="O51" s="7"/>
      <c r="P51" s="4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6"/>
      <c r="AD51" s="7"/>
      <c r="AE51" s="4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6"/>
      <c r="AS51" s="4"/>
    </row>
    <row r="52" spans="1:45" s="112" customFormat="1" ht="14.4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7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6"/>
      <c r="AD52" s="7"/>
      <c r="AE52" s="4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6"/>
      <c r="AS52" s="4"/>
    </row>
  </sheetData>
  <sheetProtection password="DD97" sheet="1"/>
  <mergeCells count="59">
    <mergeCell ref="AO2:AR2"/>
    <mergeCell ref="G9:I9"/>
    <mergeCell ref="U9:W9"/>
    <mergeCell ref="AJ9:AL9"/>
    <mergeCell ref="B2:E2"/>
    <mergeCell ref="G2:K2"/>
    <mergeCell ref="O2:S2"/>
    <mergeCell ref="U2:Y2"/>
    <mergeCell ref="AA2:AE2"/>
    <mergeCell ref="AI2:AM2"/>
    <mergeCell ref="AP13:AR14"/>
    <mergeCell ref="G10:I10"/>
    <mergeCell ref="U10:W10"/>
    <mergeCell ref="AJ10:AL10"/>
    <mergeCell ref="M13:O14"/>
    <mergeCell ref="G12:I12"/>
    <mergeCell ref="G13:I13"/>
    <mergeCell ref="U12:W12"/>
    <mergeCell ref="U13:W13"/>
    <mergeCell ref="AJ12:AL12"/>
    <mergeCell ref="AJ13:AL13"/>
    <mergeCell ref="AB13:AD14"/>
    <mergeCell ref="AB21:AD22"/>
    <mergeCell ref="AJ21:AL21"/>
    <mergeCell ref="AJ28:AL28"/>
    <mergeCell ref="AP21:AR22"/>
    <mergeCell ref="AJ17:AL17"/>
    <mergeCell ref="AJ18:AL18"/>
    <mergeCell ref="AJ20:AL20"/>
    <mergeCell ref="AP29:AR30"/>
    <mergeCell ref="AJ29:AL29"/>
    <mergeCell ref="U25:W25"/>
    <mergeCell ref="AJ25:AL25"/>
    <mergeCell ref="U26:W26"/>
    <mergeCell ref="AJ26:AL26"/>
    <mergeCell ref="AB29:AD30"/>
    <mergeCell ref="AP40:AR41"/>
    <mergeCell ref="G37:I37"/>
    <mergeCell ref="U37:W37"/>
    <mergeCell ref="G38:I38"/>
    <mergeCell ref="U38:W38"/>
    <mergeCell ref="M40:O41"/>
    <mergeCell ref="AB40:AD41"/>
    <mergeCell ref="G25:I25"/>
    <mergeCell ref="G26:I26"/>
    <mergeCell ref="G28:I28"/>
    <mergeCell ref="G29:I29"/>
    <mergeCell ref="U28:W28"/>
    <mergeCell ref="U29:W29"/>
    <mergeCell ref="M29:O30"/>
    <mergeCell ref="G21:I21"/>
    <mergeCell ref="U17:W17"/>
    <mergeCell ref="U18:W18"/>
    <mergeCell ref="U20:W20"/>
    <mergeCell ref="U21:W21"/>
    <mergeCell ref="M21:O22"/>
    <mergeCell ref="G17:I17"/>
    <mergeCell ref="G18:I18"/>
    <mergeCell ref="G20:I20"/>
  </mergeCells>
  <conditionalFormatting sqref="M40:O41 AP40:AR41 AA42:AC42 M13:O14 AB13:AD14 AP13:AR14 AP29:AR31 AB29:AD41 AP21:AR23 AB21:AD23">
    <cfRule type="cellIs" dxfId="720" priority="117" stopIfTrue="1" operator="greaterThan">
      <formula>0</formula>
    </cfRule>
  </conditionalFormatting>
  <conditionalFormatting sqref="M21:O22">
    <cfRule type="cellIs" dxfId="719" priority="2" stopIfTrue="1" operator="greaterThan">
      <formula>0</formula>
    </cfRule>
  </conditionalFormatting>
  <conditionalFormatting sqref="M29:O30">
    <cfRule type="cellIs" dxfId="718" priority="1" stopIfTrue="1" operator="greaterThan">
      <formula>0</formula>
    </cfRule>
  </conditionalFormatting>
  <hyperlinks>
    <hyperlink ref="G2:K2" location="FORM!A1" display="FORM!A1"/>
    <hyperlink ref="B2:E2" location="MENU!A1" display="MENU!A1"/>
    <hyperlink ref="AI2:AM2" location="OBJ!A1" display="OBJ!A1"/>
    <hyperlink ref="AO2:AR2" location="OBJ!A1" display="OBJ!A1"/>
    <hyperlink ref="O2:S2" location="MENU!A1" display="MENU!A1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1" tint="0.249977111117893"/>
  </sheetPr>
  <dimension ref="A1:BK100"/>
  <sheetViews>
    <sheetView showGridLines="0" showRowColHeaders="0" topLeftCell="A4" zoomScale="95" zoomScaleNormal="95" workbookViewId="0">
      <selection activeCell="B4" sqref="B4"/>
    </sheetView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SUM(BB5:BB935)</f>
        <v>0</v>
      </c>
      <c r="BD4" s="105" t="s">
        <v>40</v>
      </c>
      <c r="BK4" s="444">
        <f>SUM(BK5:BK928)</f>
        <v>0</v>
      </c>
    </row>
    <row r="5" spans="1:63" ht="14.4" customHeight="1">
      <c r="AU5" s="441">
        <f>OBJ!B23</f>
        <v>9255240</v>
      </c>
      <c r="AV5" s="23" t="str">
        <f>VLOOKUP(AU5,CENY!$B$11:$G$1034,2,FALSE)</f>
        <v>AVANTECH YOU BOKY V SADĚ V77 MM NL400 MM STŘÍBRNÁ</v>
      </c>
      <c r="AW5" s="24">
        <f>VLOOKUP(AU5,CENY!$B$11:$G$1034,3,FALSE)</f>
        <v>1</v>
      </c>
      <c r="AX5" s="499">
        <v>6</v>
      </c>
      <c r="AY5" s="25">
        <f>U20+U28+U30</f>
        <v>0</v>
      </c>
      <c r="AZ5" s="451">
        <f>IF(AY5="","",IF($AW$4=1,AY5,0))</f>
        <v>0</v>
      </c>
      <c r="BA5" s="107">
        <f>VLOOKUP(AU5,CENY!$B$11:$M$2005,12,FALSE)</f>
        <v>562.36</v>
      </c>
      <c r="BB5" s="107">
        <f t="shared" ref="BB5:BB37" si="0">IF(BA5="","",BA5*AY5)</f>
        <v>0</v>
      </c>
      <c r="BD5" s="441">
        <f>OBJ!B29</f>
        <v>9255000</v>
      </c>
      <c r="BE5" s="23" t="str">
        <f>VLOOKUP(BD5,CENY!$B$11:$G$1034,2,FALSE)</f>
        <v>AVANTECH YOU BOK V77 MM NL400 MM STŘÍBRNÝ LEVÝ</v>
      </c>
      <c r="BF5" s="24">
        <f>VLOOKUP(BD5,CENY!$B$11:$G$1034,3,FALSE)</f>
        <v>10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186.44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485</v>
      </c>
      <c r="G6" s="554"/>
      <c r="H6" s="554"/>
      <c r="I6" s="554"/>
      <c r="J6" s="554"/>
      <c r="K6" s="554"/>
      <c r="AU6" s="441">
        <f>OBJ!B24</f>
        <v>9255241</v>
      </c>
      <c r="AV6" s="23" t="str">
        <f>VLOOKUP(AU6,CENY!$B$11:$G$1034,2,FALSE)</f>
        <v>AVANTECH YOU BOKY V SADĚ V77 MM NL450 MM STŘÍBRNÁ</v>
      </c>
      <c r="AW6" s="24">
        <f>VLOOKUP(AU6,CENY!$B$11:$G$1034,3,FALSE)</f>
        <v>1</v>
      </c>
      <c r="AX6" s="499">
        <v>6</v>
      </c>
      <c r="AY6" s="25">
        <f>W20+W22+W28+W30</f>
        <v>0</v>
      </c>
      <c r="AZ6" s="451">
        <f t="shared" ref="AZ6:AZ69" si="1">IF(AY6="","",IF($AW$4=1,AY6,0))</f>
        <v>0</v>
      </c>
      <c r="BA6" s="107">
        <f>VLOOKUP(AU6,CENY!$B$11:$M$2005,12,FALSE)</f>
        <v>569.32000000000005</v>
      </c>
      <c r="BB6" s="107">
        <f t="shared" si="0"/>
        <v>0</v>
      </c>
      <c r="BD6" s="441">
        <f>OBJ!B30</f>
        <v>9255001</v>
      </c>
      <c r="BE6" s="23" t="str">
        <f>VLOOKUP(BD6,CENY!$B$11:$G$1034,2,FALSE)</f>
        <v>AVANTECH YOU BOK V77 MM NL400 MM STŘÍBRNÝ PRAVÝ</v>
      </c>
      <c r="BF6" s="24">
        <f>VLOOKUP(BD6,CENY!$B$11:$G$1034,3,FALSE)</f>
        <v>10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186.44</v>
      </c>
      <c r="BK6" s="107">
        <f t="shared" ref="BK6:BK36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OBJ!B25</f>
        <v>9255242</v>
      </c>
      <c r="AV7" s="23" t="str">
        <f>VLOOKUP(AU7,CENY!$B$11:$G$1034,2,FALSE)</f>
        <v>AVANTECH YOU BOKY V SADĚ V77 MM NL500 MM STŘÍBRNÁ</v>
      </c>
      <c r="AW7" s="24">
        <f>VLOOKUP(AU7,CENY!$B$11:$G$1034,3,FALSE)</f>
        <v>1</v>
      </c>
      <c r="AX7" s="499">
        <v>8</v>
      </c>
      <c r="AY7" s="25">
        <f>Y20+Y22+Y28+Y30</f>
        <v>0</v>
      </c>
      <c r="AZ7" s="451">
        <f t="shared" si="1"/>
        <v>0</v>
      </c>
      <c r="BA7" s="107">
        <f>VLOOKUP(AU7,CENY!$B$11:$M$2005,12,FALSE)</f>
        <v>576.28</v>
      </c>
      <c r="BB7" s="107">
        <f t="shared" si="0"/>
        <v>0</v>
      </c>
      <c r="BD7" s="441">
        <f>OBJ!B31</f>
        <v>9255002</v>
      </c>
      <c r="BE7" s="23" t="str">
        <f>VLOOKUP(BD7,CENY!$B$11:$G$1034,2,FALSE)</f>
        <v>AVANTECH YOU BOK V77 MM NL450 MM STŘÍBRNÝ LEVÝ</v>
      </c>
      <c r="BF7" s="24">
        <f>VLOOKUP(BD7,CENY!$B$11:$G$1034,3,FALSE)</f>
        <v>10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189.75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OBJ!B26</f>
        <v>9255243</v>
      </c>
      <c r="AV8" s="23" t="str">
        <f>VLOOKUP(AU8,CENY!$B$11:$G$1034,2,FALSE)</f>
        <v>AVANTECH YOU BOKY V SADĚ V77 MM NL550 MM STŘÍBRNÁ</v>
      </c>
      <c r="AW8" s="24">
        <f>VLOOKUP(AU8,CENY!$B$11:$G$1034,3,FALSE)</f>
        <v>1</v>
      </c>
      <c r="AX8" s="499">
        <v>8</v>
      </c>
      <c r="AY8" s="25">
        <f>AA20+AA22+AA28+AA30</f>
        <v>0</v>
      </c>
      <c r="AZ8" s="451">
        <f t="shared" si="1"/>
        <v>0</v>
      </c>
      <c r="BA8" s="107">
        <f>VLOOKUP(AU8,CENY!$B$11:$M$2005,12,FALSE)</f>
        <v>583.24</v>
      </c>
      <c r="BB8" s="107">
        <f t="shared" si="0"/>
        <v>0</v>
      </c>
      <c r="BD8" s="441">
        <f>OBJ!B32</f>
        <v>9255003</v>
      </c>
      <c r="BE8" s="23" t="str">
        <f>VLOOKUP(BD8,CENY!$B$11:$G$1034,2,FALSE)</f>
        <v>AVANTECH YOU BOK V77 MM NL450 MM STŘÍBRNÝ PRAVÝ</v>
      </c>
      <c r="BF8" s="24">
        <f>VLOOKUP(BD8,CENY!$B$11:$G$1034,3,FALSE)</f>
        <v>10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189.75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/>
      <c r="AV9" s="23"/>
      <c r="AW9" s="24"/>
      <c r="AX9" s="24"/>
      <c r="AY9" s="25"/>
      <c r="AZ9" s="451" t="str">
        <f t="shared" si="1"/>
        <v/>
      </c>
      <c r="BA9" s="107"/>
      <c r="BB9" s="107" t="str">
        <f t="shared" si="0"/>
        <v/>
      </c>
      <c r="BD9" s="441">
        <f>OBJ!B33</f>
        <v>9255004</v>
      </c>
      <c r="BE9" s="23" t="str">
        <f>VLOOKUP(BD9,CENY!$B$11:$G$1034,2,FALSE)</f>
        <v>AVANTECH YOU BOK V77 MM NL500 MM STŘÍBRNÝ LEVÝ</v>
      </c>
      <c r="BF9" s="24">
        <f>VLOOKUP(BD9,CENY!$B$11:$G$1034,3,FALSE)</f>
        <v>10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193.06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OBJ!B74</f>
        <v>9255807</v>
      </c>
      <c r="AV10" s="23" t="str">
        <f>VLOOKUP(AU10,CENY!$B$11:$G$1034,2,FALSE)</f>
        <v>AVANTECH YOU DEKORATIVNÍ PROFIL NL400 MM STŘÍBRNÝ</v>
      </c>
      <c r="AW10" s="24">
        <f>VLOOKUP(AU10,CENY!$B$11:$G$1034,3,FALSE)</f>
        <v>200</v>
      </c>
      <c r="AX10" s="24"/>
      <c r="AY10" s="25">
        <f>IF(FORM!AM18=FORM!AU16,0,2*(U20+U28+U30))</f>
        <v>0</v>
      </c>
      <c r="AZ10" s="451">
        <f t="shared" si="1"/>
        <v>0</v>
      </c>
      <c r="BA10" s="107">
        <f>VLOOKUP(AU10,CENY!$B$11:$M$2005,12,FALSE)</f>
        <v>9.6199999999999992</v>
      </c>
      <c r="BB10" s="107">
        <f t="shared" si="0"/>
        <v>0</v>
      </c>
      <c r="BD10" s="441">
        <f>OBJ!B34</f>
        <v>9255005</v>
      </c>
      <c r="BE10" s="23" t="str">
        <f>VLOOKUP(BD10,CENY!$B$11:$G$1034,2,FALSE)</f>
        <v>AVANTECH YOU BOK V77 MM NL500 MM STŘÍBRNÝ PRAVÝ</v>
      </c>
      <c r="BF10" s="24">
        <f>VLOOKUP(BD10,CENY!$B$11:$G$1034,3,FALSE)</f>
        <v>10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193.06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OBJ!B75</f>
        <v>9255808</v>
      </c>
      <c r="AV11" s="23" t="str">
        <f>VLOOKUP(AU11,CENY!$B$11:$G$1034,2,FALSE)</f>
        <v>AVANTECH YOU DEKORATIVNÍ PROFIL NL450 MM STŘÍBRNÝ</v>
      </c>
      <c r="AW11" s="24">
        <f>VLOOKUP(AU11,CENY!$B$11:$G$1034,3,FALSE)</f>
        <v>200</v>
      </c>
      <c r="AX11" s="24"/>
      <c r="AY11" s="25">
        <f>IF(FORM!AM18=FORM!AU16,0,2*(W20+W22+W28+W30))</f>
        <v>0</v>
      </c>
      <c r="AZ11" s="451">
        <f t="shared" si="1"/>
        <v>0</v>
      </c>
      <c r="BA11" s="107">
        <f>VLOOKUP(AU11,CENY!$B$11:$M$2005,12,FALSE)</f>
        <v>9.8000000000000007</v>
      </c>
      <c r="BB11" s="107">
        <f t="shared" si="0"/>
        <v>0</v>
      </c>
      <c r="BD11" s="441">
        <f>OBJ!B35</f>
        <v>9255006</v>
      </c>
      <c r="BE11" s="23" t="str">
        <f>VLOOKUP(BD11,CENY!$B$11:$G$1034,2,FALSE)</f>
        <v>AVANTECH YOU BOK V77 MM NL550 MM STŘÍBRNÝ LEVÝ</v>
      </c>
      <c r="BF11" s="24">
        <f>VLOOKUP(BD11,CENY!$B$11:$G$1034,3,FALSE)</f>
        <v>10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196.37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OBJ!B76</f>
        <v>9255809</v>
      </c>
      <c r="AV12" s="23" t="str">
        <f>VLOOKUP(AU12,CENY!$B$11:$G$1034,2,FALSE)</f>
        <v>AVANTECH YOU DEKORATIVNÍ PROFIL NL500 MM STŘÍBRNÝ</v>
      </c>
      <c r="AW12" s="24">
        <f>VLOOKUP(AU12,CENY!$B$11:$G$1034,3,FALSE)</f>
        <v>200</v>
      </c>
      <c r="AX12" s="24"/>
      <c r="AY12" s="25">
        <f>IF(FORM!AM18=FORM!AU16,0,2*(Y20+Y22+Y28+Y30))</f>
        <v>0</v>
      </c>
      <c r="AZ12" s="451">
        <f t="shared" si="1"/>
        <v>0</v>
      </c>
      <c r="BA12" s="107">
        <f>VLOOKUP(AU12,CENY!$B$11:$M$2005,12,FALSE)</f>
        <v>9.9700000000000006</v>
      </c>
      <c r="BB12" s="107">
        <f t="shared" si="0"/>
        <v>0</v>
      </c>
      <c r="BD12" s="441">
        <f>OBJ!B36</f>
        <v>9255007</v>
      </c>
      <c r="BE12" s="23" t="str">
        <f>VLOOKUP(BD12,CENY!$B$11:$G$1034,2,FALSE)</f>
        <v>AVANTECH YOU BOK V77 MM NL550 MM STŘÍBRNÝ PRAVÝ</v>
      </c>
      <c r="BF12" s="24">
        <f>VLOOKUP(BD12,CENY!$B$11:$G$1034,3,FALSE)</f>
        <v>10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196.37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OBJ!B77</f>
        <v>9255810</v>
      </c>
      <c r="AV13" s="23" t="str">
        <f>VLOOKUP(AU13,CENY!$B$11:$G$1034,2,FALSE)</f>
        <v>AVANTECH YOU DEKORATIVNÍ PROFIL NL550 MM STŘÍBRNÝ</v>
      </c>
      <c r="AW13" s="24">
        <f>VLOOKUP(AU13,CENY!$B$11:$G$1034,3,FALSE)</f>
        <v>200</v>
      </c>
      <c r="AX13" s="24"/>
      <c r="AY13" s="25">
        <f>IF(FORM!AM18=FORM!AU16,0,2*(AA20+AA22+AA28+AA30))</f>
        <v>0</v>
      </c>
      <c r="AZ13" s="451">
        <f t="shared" si="1"/>
        <v>0</v>
      </c>
      <c r="BA13" s="107">
        <f>VLOOKUP(AU13,CENY!$B$11:$M$2005,12,FALSE)</f>
        <v>10.14</v>
      </c>
      <c r="BB13" s="107">
        <f t="shared" si="0"/>
        <v>0</v>
      </c>
      <c r="BD13" s="441"/>
      <c r="BE13" s="23"/>
      <c r="BF13" s="24"/>
      <c r="BG13" s="24"/>
      <c r="BH13" s="25"/>
      <c r="BI13" s="451" t="str">
        <f t="shared" si="2"/>
        <v/>
      </c>
      <c r="BJ13" s="107"/>
      <c r="BK13" s="107" t="str">
        <f t="shared" si="3"/>
        <v/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OBJ!B37</f>
        <v>9255832</v>
      </c>
      <c r="BE14" s="23" t="str">
        <f>VLOOKUP(BD14,CENY!$B$11:$G$1034,2,FALSE)</f>
        <v>AVANTECH YOU PŘÍCHYTKA ČELA V77 MM K NAŠROUBOVÁNÍ</v>
      </c>
      <c r="BF14" s="24">
        <f>VLOOKUP(BD14,CENY!$B$11:$G$1034,3,FALSE)</f>
        <v>100</v>
      </c>
      <c r="BG14" s="24"/>
      <c r="BH14" s="25">
        <f>2*(SUM(O19:T19)+SUM(O20:AD20)+SUM(W22:AF22)+SUM(O27:T27)+SUM(O28:AD28)+SUM(O30:AD30))</f>
        <v>0</v>
      </c>
      <c r="BI14" s="451">
        <f t="shared" si="2"/>
        <v>0</v>
      </c>
      <c r="BJ14" s="107">
        <f>VLOOKUP(BD14,CENY!$B$11:$M$2005,12,FALSE)</f>
        <v>17.72</v>
      </c>
      <c r="BK14" s="107">
        <f t="shared" si="3"/>
        <v>0</v>
      </c>
    </row>
    <row r="15" spans="1:63" ht="14.4" customHeight="1">
      <c r="AU15" s="441">
        <f>OBJ!B239</f>
        <v>9257004</v>
      </c>
      <c r="AV15" s="23" t="str">
        <f>VLOOKUP(AU15,CENY!$B$11:$G$1034,2,FALSE)</f>
        <v>ACTRO YOU 40KG PLNOVÝSUV 400 MM EB21 SILENT SYSTEM SADA</v>
      </c>
      <c r="AW15" s="24">
        <f>VLOOKUP(AU15,CENY!$B$11:$G$1034,3,FALSE)</f>
        <v>1</v>
      </c>
      <c r="AX15" s="499">
        <v>8</v>
      </c>
      <c r="AY15" s="25">
        <f>U20</f>
        <v>0</v>
      </c>
      <c r="AZ15" s="451">
        <f t="shared" si="1"/>
        <v>0</v>
      </c>
      <c r="BA15" s="107">
        <f>VLOOKUP(AU15,CENY!$B$11:$M$2005,12,FALSE)</f>
        <v>567.85</v>
      </c>
      <c r="BB15" s="107">
        <f t="shared" si="0"/>
        <v>0</v>
      </c>
      <c r="BD15" s="441">
        <f>OBJ!B27</f>
        <v>79665</v>
      </c>
      <c r="BE15" s="23" t="str">
        <f>VLOOKUP(BD15,CENY!$B$11:$G$1034,2,FALSE)</f>
        <v>SPOJOVACI ÚHELNÍK 31X31 MM</v>
      </c>
      <c r="BF15" s="24">
        <f>VLOOKUP(BD15,CENY!$B$11:$G$1034,3,FALSE)</f>
        <v>100</v>
      </c>
      <c r="BG15" s="24"/>
      <c r="BH15" s="25">
        <f>2*(SUM(O19:T19)+SUM(O20:AD20)+SUM(W22:AF22)+SUM(O27:T27)+SUM(O28:AD28)+SUM(O30:AD30))</f>
        <v>0</v>
      </c>
      <c r="BI15" s="451">
        <f t="shared" si="2"/>
        <v>0</v>
      </c>
      <c r="BJ15" s="107">
        <f>VLOOKUP(BD15,CENY!$B$11:$M$2005,12,FALSE)</f>
        <v>5.96</v>
      </c>
      <c r="BK15" s="107">
        <f t="shared" si="3"/>
        <v>0</v>
      </c>
    </row>
    <row r="16" spans="1:63" ht="14.4" customHeight="1">
      <c r="AU16" s="441">
        <f>OBJ!B240</f>
        <v>9257006</v>
      </c>
      <c r="AV16" s="23" t="str">
        <f>VLOOKUP(AU16,CENY!$B$11:$G$1034,2,FALSE)</f>
        <v>ACTRO YOU 40KG PLNOVÝSUV 450 MM EB21 SILENT SYSTEM SADA</v>
      </c>
      <c r="AW16" s="24">
        <f>VLOOKUP(AU16,CENY!$B$11:$G$1034,3,FALSE)</f>
        <v>1</v>
      </c>
      <c r="AX16" s="499">
        <v>10</v>
      </c>
      <c r="AY16" s="25">
        <f>W20</f>
        <v>0</v>
      </c>
      <c r="AZ16" s="451">
        <f t="shared" si="1"/>
        <v>0</v>
      </c>
      <c r="BA16" s="107">
        <f>VLOOKUP(AU16,CENY!$B$11:$M$2005,12,FALSE)</f>
        <v>574.04</v>
      </c>
      <c r="BB16" s="107">
        <f t="shared" si="0"/>
        <v>0</v>
      </c>
      <c r="BD16" s="22"/>
      <c r="BE16" s="23"/>
      <c r="BF16" s="24"/>
      <c r="BG16" s="24"/>
      <c r="BH16" s="25"/>
      <c r="BI16" s="451" t="str">
        <f t="shared" si="2"/>
        <v/>
      </c>
      <c r="BJ16" s="107"/>
      <c r="BK16" s="107" t="str">
        <f t="shared" si="3"/>
        <v/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OBJ!B241</f>
        <v>9257008</v>
      </c>
      <c r="AV17" s="23" t="str">
        <f>VLOOKUP(AU17,CENY!$B$11:$G$1034,2,FALSE)</f>
        <v>ACTRO YOU 40KG PLNOVÝSUV 500 MM EB21 SILENT SYSTEM SADA</v>
      </c>
      <c r="AW17" s="24">
        <f>VLOOKUP(AU17,CENY!$B$11:$G$1034,3,FALSE)</f>
        <v>1</v>
      </c>
      <c r="AX17" s="499">
        <v>10</v>
      </c>
      <c r="AY17" s="25">
        <f>Y20</f>
        <v>0</v>
      </c>
      <c r="AZ17" s="451">
        <f t="shared" si="1"/>
        <v>0</v>
      </c>
      <c r="BA17" s="107">
        <f>VLOOKUP(AU17,CENY!$B$11:$M$2005,12,FALSE)</f>
        <v>580.26</v>
      </c>
      <c r="BB17" s="107">
        <f t="shared" si="0"/>
        <v>0</v>
      </c>
      <c r="BD17" s="441">
        <f>OBJ!B74</f>
        <v>9255807</v>
      </c>
      <c r="BE17" s="23" t="str">
        <f>VLOOKUP(BD17,CENY!$B$11:$G$1034,2,FALSE)</f>
        <v>AVANTECH YOU DEKORATIVNÍ PROFIL NL400 MM STŘÍBRNÝ</v>
      </c>
      <c r="BF17" s="24">
        <f>VLOOKUP(BD17,CENY!$B$11:$G$1034,3,FALSE)</f>
        <v>200</v>
      </c>
      <c r="BG17" s="24"/>
      <c r="BH17" s="25">
        <f>2*(U20+U28+U30)</f>
        <v>0</v>
      </c>
      <c r="BI17" s="451">
        <f t="shared" si="2"/>
        <v>0</v>
      </c>
      <c r="BJ17" s="107">
        <f>VLOOKUP(BD17,CENY!$B$11:$M$2005,12,FALSE)</f>
        <v>9.6199999999999992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OBJ!B242</f>
        <v>9257010</v>
      </c>
      <c r="AV18" s="23" t="str">
        <f>VLOOKUP(AU18,CENY!$B$11:$G$1034,2,FALSE)</f>
        <v>ACTRO YOU 40KG PLNOVÝSUV 550 MM EB21 SILENT SYSTEM SADA</v>
      </c>
      <c r="AW18" s="24">
        <f>VLOOKUP(AU18,CENY!$B$11:$G$1034,3,FALSE)</f>
        <v>1</v>
      </c>
      <c r="AX18" s="499">
        <v>10</v>
      </c>
      <c r="AY18" s="25">
        <f>AA20</f>
        <v>0</v>
      </c>
      <c r="AZ18" s="451">
        <f t="shared" si="1"/>
        <v>0</v>
      </c>
      <c r="BA18" s="107">
        <f>VLOOKUP(AU18,CENY!$B$11:$M$2005,12,FALSE)</f>
        <v>613.44000000000005</v>
      </c>
      <c r="BB18" s="107">
        <f t="shared" si="0"/>
        <v>0</v>
      </c>
      <c r="BD18" s="441">
        <f>OBJ!B75</f>
        <v>9255808</v>
      </c>
      <c r="BE18" s="23" t="str">
        <f>VLOOKUP(BD18,CENY!$B$11:$G$1034,2,FALSE)</f>
        <v>AVANTECH YOU DEKORATIVNÍ PROFIL NL450 MM STŘÍBRNÝ</v>
      </c>
      <c r="BF18" s="24">
        <f>VLOOKUP(BD18,CENY!$B$11:$G$1034,3,FALSE)</f>
        <v>200</v>
      </c>
      <c r="BG18" s="24"/>
      <c r="BH18" s="25">
        <f>2*(W20+W22+W28+W30)</f>
        <v>0</v>
      </c>
      <c r="BI18" s="451">
        <f t="shared" si="2"/>
        <v>0</v>
      </c>
      <c r="BJ18" s="107">
        <f>VLOOKUP(BD18,CENY!$B$11:$M$2005,12,FALSE)</f>
        <v>9.8000000000000007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380"/>
      <c r="P19" s="381"/>
      <c r="Q19" s="380"/>
      <c r="R19" s="381"/>
      <c r="S19" s="380"/>
      <c r="T19" s="381"/>
      <c r="U19" s="471"/>
      <c r="V19" s="472"/>
      <c r="W19" s="471"/>
      <c r="X19" s="472"/>
      <c r="Y19" s="471"/>
      <c r="Z19" s="472"/>
      <c r="AA19" s="471"/>
      <c r="AB19" s="472"/>
      <c r="AC19" s="380"/>
      <c r="AD19" s="381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/>
      <c r="AV19" s="23"/>
      <c r="AW19" s="24"/>
      <c r="AX19" s="24"/>
      <c r="AY19" s="25"/>
      <c r="AZ19" s="451" t="str">
        <f t="shared" si="1"/>
        <v/>
      </c>
      <c r="BA19" s="107"/>
      <c r="BB19" s="107" t="str">
        <f t="shared" si="0"/>
        <v/>
      </c>
      <c r="BD19" s="441">
        <f>OBJ!B76</f>
        <v>9255809</v>
      </c>
      <c r="BE19" s="23" t="str">
        <f>VLOOKUP(BD19,CENY!$B$11:$G$1034,2,FALSE)</f>
        <v>AVANTECH YOU DEKORATIVNÍ PROFIL NL500 MM STŘÍBRNÝ</v>
      </c>
      <c r="BF19" s="24">
        <f>VLOOKUP(BD19,CENY!$B$11:$G$1034,3,FALSE)</f>
        <v>200</v>
      </c>
      <c r="BG19" s="24"/>
      <c r="BH19" s="25">
        <f>2*(Y20+Y22+Y28+Y30)</f>
        <v>0</v>
      </c>
      <c r="BI19" s="451">
        <f t="shared" si="2"/>
        <v>0</v>
      </c>
      <c r="BJ19" s="107">
        <f>VLOOKUP(BD19,CENY!$B$11:$M$2005,12,FALSE)</f>
        <v>9.9700000000000006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7"/>
      <c r="P20" s="588"/>
      <c r="Q20" s="587"/>
      <c r="R20" s="588"/>
      <c r="S20" s="587"/>
      <c r="T20" s="588"/>
      <c r="U20" s="589"/>
      <c r="V20" s="590"/>
      <c r="W20" s="589"/>
      <c r="X20" s="590"/>
      <c r="Y20" s="589"/>
      <c r="Z20" s="590"/>
      <c r="AA20" s="589"/>
      <c r="AB20" s="590"/>
      <c r="AC20" s="587"/>
      <c r="AD20" s="588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OBJ!B261</f>
        <v>9257034</v>
      </c>
      <c r="AV20" s="23" t="str">
        <f>VLOOKUP(AU20,CENY!$B$11:$G$1034,2,FALSE)</f>
        <v>ACTRO YOU 70KG PLNOVÝSUV 450 MM EB21 SILENT SYSTEM SADA</v>
      </c>
      <c r="AW20" s="24">
        <f>VLOOKUP(AU20,CENY!$B$11:$G$1034,3,FALSE)</f>
        <v>1</v>
      </c>
      <c r="AX20" s="499">
        <v>10</v>
      </c>
      <c r="AY20" s="25">
        <f>W22</f>
        <v>0</v>
      </c>
      <c r="AZ20" s="451">
        <f t="shared" si="1"/>
        <v>0</v>
      </c>
      <c r="BA20" s="107">
        <f>VLOOKUP(AU20,CENY!$B$11:$M$2005,12,FALSE)</f>
        <v>691.9</v>
      </c>
      <c r="BB20" s="107">
        <f t="shared" si="0"/>
        <v>0</v>
      </c>
      <c r="BD20" s="441">
        <f>OBJ!B77</f>
        <v>9255810</v>
      </c>
      <c r="BE20" s="23" t="str">
        <f>VLOOKUP(BD20,CENY!$B$11:$G$1034,2,FALSE)</f>
        <v>AVANTECH YOU DEKORATIVNÍ PROFIL NL550 MM STŘÍBRNÝ</v>
      </c>
      <c r="BF20" s="24">
        <f>VLOOKUP(BD20,CENY!$B$11:$G$1034,3,FALSE)</f>
        <v>200</v>
      </c>
      <c r="BG20" s="24"/>
      <c r="BH20" s="25">
        <f>2*(AA20+AA22+AA28+AA30)</f>
        <v>0</v>
      </c>
      <c r="BI20" s="451">
        <f t="shared" si="2"/>
        <v>0</v>
      </c>
      <c r="BJ20" s="107">
        <f>VLOOKUP(BD20,CENY!$B$11:$M$2005,12,FALSE)</f>
        <v>10.14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71"/>
      <c r="P21" s="472"/>
      <c r="Q21" s="471"/>
      <c r="R21" s="472"/>
      <c r="S21" s="471"/>
      <c r="T21" s="472"/>
      <c r="U21" s="471"/>
      <c r="V21" s="472"/>
      <c r="W21" s="471"/>
      <c r="X21" s="472"/>
      <c r="Y21" s="471"/>
      <c r="Z21" s="472"/>
      <c r="AA21" s="471"/>
      <c r="AB21" s="472"/>
      <c r="AC21" s="471"/>
      <c r="AD21" s="472"/>
      <c r="AE21" s="471"/>
      <c r="AF21" s="472"/>
      <c r="AI21" s="387"/>
      <c r="AJ21" s="388"/>
      <c r="AK21" s="387"/>
      <c r="AL21" s="388"/>
      <c r="AM21" s="386" t="s">
        <v>406</v>
      </c>
      <c r="AN21" s="596"/>
      <c r="AO21" s="596"/>
      <c r="AU21" s="441">
        <f>OBJ!B262</f>
        <v>9257036</v>
      </c>
      <c r="AV21" s="23" t="str">
        <f>VLOOKUP(AU21,CENY!$B$11:$G$1034,2,FALSE)</f>
        <v>ACTRO YOU 70KG PLNOVÝSUV 500 MM EB21 SILENT SYSTEM SADA</v>
      </c>
      <c r="AW21" s="24">
        <f>VLOOKUP(AU21,CENY!$B$11:$G$1034,3,FALSE)</f>
        <v>1</v>
      </c>
      <c r="AX21" s="499">
        <v>10</v>
      </c>
      <c r="AY21" s="25">
        <f>Y22</f>
        <v>0</v>
      </c>
      <c r="AZ21" s="451">
        <f t="shared" si="1"/>
        <v>0</v>
      </c>
      <c r="BA21" s="107">
        <f>VLOOKUP(AU21,CENY!$B$11:$M$2005,12,FALSE)</f>
        <v>698.13</v>
      </c>
      <c r="BB21" s="107">
        <f t="shared" si="0"/>
        <v>0</v>
      </c>
      <c r="BD21" s="441"/>
      <c r="BE21" s="23"/>
      <c r="BF21" s="24"/>
      <c r="BG21" s="24"/>
      <c r="BH21" s="25"/>
      <c r="BI21" s="451" t="str">
        <f t="shared" si="2"/>
        <v/>
      </c>
      <c r="BJ21" s="107"/>
      <c r="BK21" s="107" t="str">
        <f t="shared" si="3"/>
        <v/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7"/>
      <c r="AD22" s="588"/>
      <c r="AE22" s="587"/>
      <c r="AF22" s="588"/>
      <c r="AI22" s="387"/>
      <c r="AJ22" s="388"/>
      <c r="AK22" s="387"/>
      <c r="AL22" s="388"/>
      <c r="AM22" s="386" t="s">
        <v>407</v>
      </c>
      <c r="AN22" s="594"/>
      <c r="AO22" s="594"/>
      <c r="AU22" s="441">
        <f>OBJ!B263</f>
        <v>9257038</v>
      </c>
      <c r="AV22" s="23" t="str">
        <f>VLOOKUP(AU22,CENY!$B$11:$G$1034,2,FALSE)</f>
        <v>ACTRO YOU 70KG PLNOVÝSUV 550 MM EB21 SILENT SYSTEM SADA</v>
      </c>
      <c r="AW22" s="24">
        <f>VLOOKUP(AU22,CENY!$B$11:$G$1034,3,FALSE)</f>
        <v>1</v>
      </c>
      <c r="AX22" s="499">
        <v>10</v>
      </c>
      <c r="AY22" s="25">
        <f>AA22</f>
        <v>0</v>
      </c>
      <c r="AZ22" s="451">
        <f t="shared" si="1"/>
        <v>0</v>
      </c>
      <c r="BA22" s="107">
        <f>VLOOKUP(AU22,CENY!$B$11:$M$2005,12,FALSE)</f>
        <v>731.3</v>
      </c>
      <c r="BB22" s="107">
        <f t="shared" si="0"/>
        <v>0</v>
      </c>
      <c r="BD22" s="441">
        <f>OBJ!B250</f>
        <v>9256984</v>
      </c>
      <c r="BE22" s="23" t="str">
        <f>VLOOKUP(BD22,CENY!$B$11:$G$1034,2,FALSE)</f>
        <v>ACTRO YOU 40KG PLNOVÝSUV 400 MM EB21 SILENT SYSTEM LEVÝ</v>
      </c>
      <c r="BF22" s="24">
        <f>VLOOKUP(BD22,CENY!$B$11:$G$1034,3,FALSE)</f>
        <v>10</v>
      </c>
      <c r="BG22" s="24"/>
      <c r="BH22" s="25">
        <f>AY15</f>
        <v>0</v>
      </c>
      <c r="BI22" s="451">
        <f t="shared" si="2"/>
        <v>0</v>
      </c>
      <c r="BJ22" s="107">
        <f>VLOOKUP(BD22,CENY!$B$11:$M$2005,12,FALSE)</f>
        <v>247.05</v>
      </c>
      <c r="BK22" s="107">
        <f t="shared" si="3"/>
        <v>0</v>
      </c>
    </row>
    <row r="23" spans="2:63" ht="14.4" customHeight="1">
      <c r="O23" s="4"/>
      <c r="P23" s="4"/>
      <c r="AU23" s="441"/>
      <c r="AV23" s="23"/>
      <c r="AW23" s="24"/>
      <c r="AX23" s="24"/>
      <c r="AY23" s="25"/>
      <c r="AZ23" s="451" t="str">
        <f t="shared" si="1"/>
        <v/>
      </c>
      <c r="BA23" s="107"/>
      <c r="BB23" s="107" t="str">
        <f t="shared" si="0"/>
        <v/>
      </c>
      <c r="BD23" s="441">
        <f>OBJ!B251</f>
        <v>9256985</v>
      </c>
      <c r="BE23" s="23" t="str">
        <f>VLOOKUP(BD23,CENY!$B$11:$G$1034,2,FALSE)</f>
        <v>ACTRO YOU 40KG PLNOVÝSUV 400 MM EB21 SILENT SYSTEM PRAVÝ</v>
      </c>
      <c r="BF23" s="24">
        <f>VLOOKUP(BD23,CENY!$B$11:$G$1034,3,FALSE)</f>
        <v>10</v>
      </c>
      <c r="BG23" s="24"/>
      <c r="BH23" s="25">
        <f>AY15</f>
        <v>0</v>
      </c>
      <c r="BI23" s="451">
        <f t="shared" si="2"/>
        <v>0</v>
      </c>
      <c r="BJ23" s="107">
        <f>VLOOKUP(BD23,CENY!$B$11:$M$2005,12,FALSE)</f>
        <v>247.05</v>
      </c>
      <c r="BK23" s="107">
        <f t="shared" si="3"/>
        <v>0</v>
      </c>
    </row>
    <row r="24" spans="2:63" ht="14.4" customHeight="1">
      <c r="AU24" s="441">
        <f>OBJ!B277</f>
        <v>9257890</v>
      </c>
      <c r="AV24" s="23" t="str">
        <f>VLOOKUP(AU24,CENY!$B$11:$G$1034,2,FALSE)</f>
        <v>PUSH TO OPEN SILENT ACTRO YOU / ACTRO 5D 10 KG</v>
      </c>
      <c r="AW24" s="24">
        <f>VLOOKUP(AU24,CENY!$B$11:$G$1034,3,FALSE)</f>
        <v>1</v>
      </c>
      <c r="AX24" s="24"/>
      <c r="AY24" s="25">
        <f>AN19</f>
        <v>0</v>
      </c>
      <c r="AZ24" s="451">
        <f t="shared" si="1"/>
        <v>0</v>
      </c>
      <c r="BA24" s="107">
        <f>VLOOKUP(AU24,CENY!$B$11:$M$2005,12,FALSE)</f>
        <v>544.37</v>
      </c>
      <c r="BB24" s="107">
        <f t="shared" si="0"/>
        <v>0</v>
      </c>
      <c r="BD24" s="441">
        <f>OBJ!B252</f>
        <v>9256988</v>
      </c>
      <c r="BE24" s="23" t="str">
        <f>VLOOKUP(BD24,CENY!$B$11:$G$1034,2,FALSE)</f>
        <v>ACTRO YOU 40KG PLNOVÝSUV 450 MM EB21 SILENT SYSTEM LEVÝ</v>
      </c>
      <c r="BF24" s="24">
        <f>VLOOKUP(BD24,CENY!$B$11:$G$1034,3,FALSE)</f>
        <v>10</v>
      </c>
      <c r="BG24" s="24"/>
      <c r="BH24" s="25">
        <f>AY16</f>
        <v>0</v>
      </c>
      <c r="BI24" s="451">
        <f t="shared" si="2"/>
        <v>0</v>
      </c>
      <c r="BJ24" s="107">
        <f>VLOOKUP(BD24,CENY!$B$11:$M$2005,12,FALSE)</f>
        <v>250.14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OBJ!B278</f>
        <v>9257891</v>
      </c>
      <c r="AV25" s="23" t="str">
        <f>VLOOKUP(AU25,CENY!$B$11:$G$1034,2,FALSE)</f>
        <v>PUSH TO OPEN SILENT ACTRO YOU / ACTRO 5D 20 KG</v>
      </c>
      <c r="AW25" s="24">
        <f>VLOOKUP(AU25,CENY!$B$11:$G$1034,3,FALSE)</f>
        <v>1</v>
      </c>
      <c r="AX25" s="24"/>
      <c r="AY25" s="25">
        <f>AN20</f>
        <v>0</v>
      </c>
      <c r="AZ25" s="451">
        <f t="shared" si="1"/>
        <v>0</v>
      </c>
      <c r="BA25" s="107">
        <f>VLOOKUP(AU25,CENY!$B$11:$M$2005,12,FALSE)</f>
        <v>544.37</v>
      </c>
      <c r="BB25" s="107">
        <f t="shared" si="0"/>
        <v>0</v>
      </c>
      <c r="BD25" s="441">
        <f>OBJ!B253</f>
        <v>9256989</v>
      </c>
      <c r="BE25" s="23" t="str">
        <f>VLOOKUP(BD25,CENY!$B$11:$G$1034,2,FALSE)</f>
        <v>ACTRO YOU 40KG PLNOVÝSUV 450 MM EB21 SILENT SYSTEM PRAVÝ</v>
      </c>
      <c r="BF25" s="24">
        <f>VLOOKUP(BD25,CENY!$B$11:$G$1034,3,FALSE)</f>
        <v>10</v>
      </c>
      <c r="BG25" s="24"/>
      <c r="BH25" s="25">
        <f>AY16</f>
        <v>0</v>
      </c>
      <c r="BI25" s="451">
        <f t="shared" si="2"/>
        <v>0</v>
      </c>
      <c r="BJ25" s="107">
        <f>VLOOKUP(BD25,CENY!$B$11:$M$2005,12,FALSE)</f>
        <v>250.14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OBJ!B279</f>
        <v>9257892</v>
      </c>
      <c r="AV26" s="23" t="str">
        <f>VLOOKUP(AU26,CENY!$B$11:$G$1034,2,FALSE)</f>
        <v>PUSH TO OPEN SILENT ACTRO YOU / ACTRO 5D 40 KG</v>
      </c>
      <c r="AW26" s="24">
        <f>VLOOKUP(AU26,CENY!$B$11:$G$1034,3,FALSE)</f>
        <v>1</v>
      </c>
      <c r="AX26" s="24"/>
      <c r="AY26" s="25">
        <f>AN21</f>
        <v>0</v>
      </c>
      <c r="AZ26" s="451">
        <f t="shared" si="1"/>
        <v>0</v>
      </c>
      <c r="BA26" s="107">
        <f>VLOOKUP(AU26,CENY!$B$11:$M$2005,12,FALSE)</f>
        <v>544.37</v>
      </c>
      <c r="BB26" s="107">
        <f t="shared" si="0"/>
        <v>0</v>
      </c>
      <c r="BD26" s="441">
        <f>OBJ!B254</f>
        <v>9256992</v>
      </c>
      <c r="BE26" s="23" t="str">
        <f>VLOOKUP(BD26,CENY!$B$11:$G$1034,2,FALSE)</f>
        <v>ACTRO YOU 40KG PLNOVÝSUV 500 MM EB21 SILENT SYSTEM LEVÝ</v>
      </c>
      <c r="BF26" s="24">
        <f>VLOOKUP(BD26,CENY!$B$11:$G$1034,3,FALSE)</f>
        <v>10</v>
      </c>
      <c r="BG26" s="24"/>
      <c r="BH26" s="25">
        <f>AY17</f>
        <v>0</v>
      </c>
      <c r="BI26" s="451">
        <f t="shared" si="2"/>
        <v>0</v>
      </c>
      <c r="BJ26" s="107">
        <f>VLOOKUP(BD26,CENY!$B$11:$M$2005,12,FALSE)</f>
        <v>253.25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380"/>
      <c r="P27" s="381"/>
      <c r="Q27" s="380"/>
      <c r="R27" s="381"/>
      <c r="S27" s="380"/>
      <c r="T27" s="381"/>
      <c r="U27" s="471"/>
      <c r="V27" s="472"/>
      <c r="W27" s="471"/>
      <c r="X27" s="472"/>
      <c r="Y27" s="471"/>
      <c r="Z27" s="472"/>
      <c r="AA27" s="471"/>
      <c r="AB27" s="472"/>
      <c r="AC27" s="380"/>
      <c r="AD27" s="381"/>
      <c r="AI27" s="389"/>
      <c r="AJ27" s="390"/>
      <c r="AK27" s="389"/>
      <c r="AL27" s="390"/>
      <c r="AM27" s="391" t="s">
        <v>405</v>
      </c>
      <c r="AN27" s="576"/>
      <c r="AO27" s="576"/>
      <c r="AU27" s="441">
        <f>OBJ!B280</f>
        <v>9257893</v>
      </c>
      <c r="AV27" s="23" t="str">
        <f>VLOOKUP(AU27,CENY!$B$11:$G$1034,2,FALSE)</f>
        <v>PUSH TO OPEN SILENT ACTRO YOU / ACTRO 5D 70 KG</v>
      </c>
      <c r="AW27" s="24">
        <f>VLOOKUP(AU27,CENY!$B$11:$G$1034,3,FALSE)</f>
        <v>1</v>
      </c>
      <c r="AX27" s="24"/>
      <c r="AY27" s="25">
        <f>AN22</f>
        <v>0</v>
      </c>
      <c r="AZ27" s="451">
        <f t="shared" si="1"/>
        <v>0</v>
      </c>
      <c r="BA27" s="107">
        <f>VLOOKUP(AU27,CENY!$B$11:$M$2005,12,FALSE)</f>
        <v>544.37</v>
      </c>
      <c r="BB27" s="107">
        <f t="shared" si="0"/>
        <v>0</v>
      </c>
      <c r="BD27" s="441">
        <f>OBJ!B255</f>
        <v>9256993</v>
      </c>
      <c r="BE27" s="23" t="str">
        <f>VLOOKUP(BD27,CENY!$B$11:$G$1034,2,FALSE)</f>
        <v>ACTRO YOU 40KG PLNOVÝSUV 500 MM EB21 SILENT SYSTEM PRAVÝ</v>
      </c>
      <c r="BF27" s="24">
        <f>VLOOKUP(BD27,CENY!$B$11:$G$1034,3,FALSE)</f>
        <v>10</v>
      </c>
      <c r="BG27" s="24"/>
      <c r="BH27" s="25">
        <f>AY17</f>
        <v>0</v>
      </c>
      <c r="BI27" s="451">
        <f t="shared" si="2"/>
        <v>0</v>
      </c>
      <c r="BJ27" s="107">
        <f>VLOOKUP(BD27,CENY!$B$11:$M$2005,12,FALSE)</f>
        <v>253.25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7"/>
      <c r="P28" s="588"/>
      <c r="Q28" s="587"/>
      <c r="R28" s="588"/>
      <c r="S28" s="587"/>
      <c r="T28" s="588"/>
      <c r="U28" s="589"/>
      <c r="V28" s="590"/>
      <c r="W28" s="589"/>
      <c r="X28" s="590"/>
      <c r="Y28" s="589"/>
      <c r="Z28" s="590"/>
      <c r="AA28" s="589"/>
      <c r="AB28" s="590"/>
      <c r="AC28" s="587"/>
      <c r="AD28" s="588"/>
      <c r="AI28" s="387"/>
      <c r="AJ28" s="388"/>
      <c r="AK28" s="387"/>
      <c r="AL28" s="388"/>
      <c r="AM28" s="386" t="s">
        <v>404</v>
      </c>
      <c r="AN28" s="595"/>
      <c r="AO28" s="595"/>
      <c r="AU28" s="441">
        <f>OBJ!B281</f>
        <v>9236718</v>
      </c>
      <c r="AV28" s="23" t="str">
        <f>VLOOKUP(AU28,CENY!$B$11:$G$1034,2,FALSE)</f>
        <v>PUSH TO OPEN SYNCHRONIZAČNÍ TYČ 2000 MM</v>
      </c>
      <c r="AW28" s="24">
        <f>VLOOKUP(AU28,CENY!$B$11:$G$1034,3,FALSE)</f>
        <v>100</v>
      </c>
      <c r="AX28" s="24"/>
      <c r="AY28" s="25">
        <f>SUM(AN19:AO22)+SUM(AN27:AO29)+SUM(O30:AD30)</f>
        <v>0</v>
      </c>
      <c r="AZ28" s="451">
        <f t="shared" si="1"/>
        <v>0</v>
      </c>
      <c r="BA28" s="107">
        <f>VLOOKUP(AU28,CENY!$B$11:$M$2005,12,FALSE)</f>
        <v>144.30000000000001</v>
      </c>
      <c r="BB28" s="107">
        <f t="shared" si="0"/>
        <v>0</v>
      </c>
      <c r="BD28" s="441">
        <f>OBJ!B256</f>
        <v>9256996</v>
      </c>
      <c r="BE28" s="23" t="str">
        <f>VLOOKUP(BD28,CENY!$B$11:$G$1034,2,FALSE)</f>
        <v>ACTRO YOU 40KG PLNOVÝSUV 550 MM EB21 SILENT SYSTEM LEVÝ</v>
      </c>
      <c r="BF28" s="24">
        <f>VLOOKUP(BD28,CENY!$B$11:$G$1034,3,FALSE)</f>
        <v>10</v>
      </c>
      <c r="BG28" s="24"/>
      <c r="BH28" s="25">
        <f>AY18</f>
        <v>0</v>
      </c>
      <c r="BI28" s="451">
        <f t="shared" si="2"/>
        <v>0</v>
      </c>
      <c r="BJ28" s="107">
        <f>VLOOKUP(BD28,CENY!$B$11:$M$2005,12,FALSE)</f>
        <v>269.83999999999997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71"/>
      <c r="P29" s="472"/>
      <c r="Q29" s="471"/>
      <c r="R29" s="472"/>
      <c r="S29" s="471"/>
      <c r="T29" s="472"/>
      <c r="U29" s="471"/>
      <c r="V29" s="472"/>
      <c r="W29" s="471"/>
      <c r="X29" s="472"/>
      <c r="Y29" s="471"/>
      <c r="Z29" s="472"/>
      <c r="AA29" s="471"/>
      <c r="AB29" s="472"/>
      <c r="AC29" s="471"/>
      <c r="AD29" s="472"/>
      <c r="AI29" s="387"/>
      <c r="AJ29" s="388"/>
      <c r="AK29" s="387"/>
      <c r="AL29" s="388"/>
      <c r="AM29" s="386" t="s">
        <v>408</v>
      </c>
      <c r="AN29" s="599"/>
      <c r="AO29" s="599"/>
      <c r="AU29" s="441"/>
      <c r="AV29" s="23"/>
      <c r="AW29" s="24"/>
      <c r="AX29" s="24"/>
      <c r="AY29" s="25"/>
      <c r="AZ29" s="451" t="str">
        <f t="shared" si="1"/>
        <v/>
      </c>
      <c r="BA29" s="107"/>
      <c r="BB29" s="107" t="str">
        <f t="shared" si="0"/>
        <v/>
      </c>
      <c r="BD29" s="441">
        <f>OBJ!B257</f>
        <v>9256997</v>
      </c>
      <c r="BE29" s="23" t="str">
        <f>VLOOKUP(BD29,CENY!$B$11:$G$1034,2,FALSE)</f>
        <v>ACTRO YOU 40KG PLNOVÝSUV 550 MM EB21 SILENT SYSTEM PRAVÝ</v>
      </c>
      <c r="BF29" s="24">
        <f>VLOOKUP(BD29,CENY!$B$11:$G$1034,3,FALSE)</f>
        <v>10</v>
      </c>
      <c r="BG29" s="24"/>
      <c r="BH29" s="25">
        <f>AY18</f>
        <v>0</v>
      </c>
      <c r="BI29" s="451">
        <f t="shared" si="2"/>
        <v>0</v>
      </c>
      <c r="BJ29" s="107">
        <f>VLOOKUP(BD29,CENY!$B$11:$M$2005,12,FALSE)</f>
        <v>269.83999999999997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7"/>
      <c r="P30" s="588"/>
      <c r="Q30" s="587"/>
      <c r="R30" s="588"/>
      <c r="S30" s="587"/>
      <c r="T30" s="588"/>
      <c r="U30" s="589"/>
      <c r="V30" s="590"/>
      <c r="W30" s="589"/>
      <c r="X30" s="590"/>
      <c r="Y30" s="589"/>
      <c r="Z30" s="590"/>
      <c r="AA30" s="589"/>
      <c r="AB30" s="590"/>
      <c r="AC30" s="597"/>
      <c r="AD30" s="598"/>
      <c r="AU30" s="441">
        <f>OBJ!B300</f>
        <v>9256888</v>
      </c>
      <c r="AV30" s="23" t="str">
        <f>VLOOKUP(AU30,CENY!$B$11:$G$1034,2,FALSE)</f>
        <v>QUADRO YOU PLNOVÝSUV 400 MM EB21 SILENT SYSTEM SADA</v>
      </c>
      <c r="AW30" s="24">
        <f>VLOOKUP(AU30,CENY!$B$11:$G$1034,3,FALSE)</f>
        <v>1</v>
      </c>
      <c r="AX30" s="499">
        <v>8</v>
      </c>
      <c r="AY30" s="25">
        <f>U28</f>
        <v>0</v>
      </c>
      <c r="AZ30" s="451">
        <f t="shared" si="1"/>
        <v>0</v>
      </c>
      <c r="BA30" s="107">
        <f>VLOOKUP(AU30,CENY!$B$11:$M$2005,12,FALSE)</f>
        <v>384.24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>
        <f>OBJ!B301</f>
        <v>9256890</v>
      </c>
      <c r="AV31" s="23" t="str">
        <f>VLOOKUP(AU31,CENY!$B$11:$G$1034,2,FALSE)</f>
        <v>QUADRO YOU PLNOVÝSUV 450 MM EB21 SILENT SYSTEM SADA</v>
      </c>
      <c r="AW31" s="24">
        <f>VLOOKUP(AU31,CENY!$B$11:$G$1034,3,FALSE)</f>
        <v>1</v>
      </c>
      <c r="AX31" s="499">
        <v>8</v>
      </c>
      <c r="AY31" s="25">
        <f>W28</f>
        <v>0</v>
      </c>
      <c r="AZ31" s="451">
        <f t="shared" si="1"/>
        <v>0</v>
      </c>
      <c r="BA31" s="107">
        <f>VLOOKUP(AU31,CENY!$B$11:$M$2005,12,FALSE)</f>
        <v>391.72</v>
      </c>
      <c r="BB31" s="107">
        <f t="shared" si="0"/>
        <v>0</v>
      </c>
      <c r="BD31" s="441">
        <f>OBJ!B266</f>
        <v>9257013</v>
      </c>
      <c r="BE31" s="23" t="str">
        <f>VLOOKUP(BD31,CENY!$B$11:$G$1034,2,FALSE)</f>
        <v>ACTRO YOU 70KG PLNOVÝSUV 450 MM EB21 SILENT SYSTEM LEVÝ</v>
      </c>
      <c r="BF31" s="24">
        <f>VLOOKUP(BD31,CENY!$B$11:$G$1034,3,FALSE)</f>
        <v>10</v>
      </c>
      <c r="BG31" s="24"/>
      <c r="BH31" s="25">
        <f>AY20</f>
        <v>0</v>
      </c>
      <c r="BI31" s="451">
        <f t="shared" si="2"/>
        <v>0</v>
      </c>
      <c r="BJ31" s="107">
        <f>VLOOKUP(BD31,CENY!$B$11:$M$2005,12,FALSE)</f>
        <v>309.07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OBJ!B302</f>
        <v>9256892</v>
      </c>
      <c r="AV32" s="23" t="str">
        <f>VLOOKUP(AU32,CENY!$B$11:$G$1034,2,FALSE)</f>
        <v>QUADRO YOU PLNOVÝSUV 500 MM EB21 SILENT SYSTEM SADA</v>
      </c>
      <c r="AW32" s="24">
        <f>VLOOKUP(AU32,CENY!$B$11:$G$1034,3,FALSE)</f>
        <v>1</v>
      </c>
      <c r="AX32" s="499">
        <v>8</v>
      </c>
      <c r="AY32" s="25">
        <f>Y28</f>
        <v>0</v>
      </c>
      <c r="AZ32" s="451">
        <f t="shared" si="1"/>
        <v>0</v>
      </c>
      <c r="BA32" s="107">
        <f>VLOOKUP(AU32,CENY!$B$11:$M$2005,12,FALSE)</f>
        <v>399.19</v>
      </c>
      <c r="BB32" s="107">
        <f t="shared" si="0"/>
        <v>0</v>
      </c>
      <c r="BD32" s="441">
        <f>OBJ!B267</f>
        <v>9257014</v>
      </c>
      <c r="BE32" s="23" t="str">
        <f>VLOOKUP(BD32,CENY!$B$11:$G$1034,2,FALSE)</f>
        <v>ACTRO YOU 70KG PLNOVÝSUV 450 MM EB21 SILENT SYSTEM PRAVÝ</v>
      </c>
      <c r="BF32" s="24">
        <f>VLOOKUP(BD32,CENY!$B$11:$G$1034,3,FALSE)</f>
        <v>10</v>
      </c>
      <c r="BG32" s="24"/>
      <c r="BH32" s="25">
        <f>AY20</f>
        <v>0</v>
      </c>
      <c r="BI32" s="451">
        <f t="shared" si="2"/>
        <v>0</v>
      </c>
      <c r="BJ32" s="107">
        <f>VLOOKUP(BD32,CENY!$B$11:$M$2005,12,FALSE)</f>
        <v>309.07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OBJ!B303</f>
        <v>9256894</v>
      </c>
      <c r="AV33" s="23" t="str">
        <f>VLOOKUP(AU33,CENY!$B$11:$G$1034,2,FALSE)</f>
        <v>QUADRO YOU PLNOVÝSUV 550 MM EB21 SILENT SYSTEM SADA</v>
      </c>
      <c r="AW33" s="24">
        <f>VLOOKUP(AU33,CENY!$B$11:$G$1034,3,FALSE)</f>
        <v>1</v>
      </c>
      <c r="AX33" s="499">
        <v>8</v>
      </c>
      <c r="AY33" s="25">
        <f>AA28</f>
        <v>0</v>
      </c>
      <c r="AZ33" s="451">
        <f t="shared" si="1"/>
        <v>0</v>
      </c>
      <c r="BA33" s="107">
        <f>VLOOKUP(AU33,CENY!$B$11:$M$2005,12,FALSE)</f>
        <v>412.64</v>
      </c>
      <c r="BB33" s="107">
        <f t="shared" si="0"/>
        <v>0</v>
      </c>
      <c r="BD33" s="441">
        <f>OBJ!B268</f>
        <v>9257017</v>
      </c>
      <c r="BE33" s="23" t="str">
        <f>VLOOKUP(BD33,CENY!$B$11:$G$1034,2,FALSE)</f>
        <v>ACTRO YOU 70KG PLNOVÝSUV 500 MM EB21 SILENT SYSTEM LEVÝ</v>
      </c>
      <c r="BF33" s="24">
        <f>VLOOKUP(BD33,CENY!$B$11:$G$1034,3,FALSE)</f>
        <v>10</v>
      </c>
      <c r="BG33" s="24"/>
      <c r="BH33" s="25">
        <f>AY21</f>
        <v>0</v>
      </c>
      <c r="BI33" s="451">
        <f t="shared" si="2"/>
        <v>0</v>
      </c>
      <c r="BJ33" s="107">
        <f>VLOOKUP(BD33,CENY!$B$11:$M$2005,12,FALSE)</f>
        <v>312.18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/>
      <c r="AV34" s="23"/>
      <c r="AW34" s="24"/>
      <c r="AX34" s="24"/>
      <c r="AY34" s="25"/>
      <c r="AZ34" s="451" t="str">
        <f t="shared" si="1"/>
        <v/>
      </c>
      <c r="BA34" s="107"/>
      <c r="BB34" s="107" t="str">
        <f t="shared" si="0"/>
        <v/>
      </c>
      <c r="BD34" s="441">
        <f>OBJ!B269</f>
        <v>9257018</v>
      </c>
      <c r="BE34" s="23" t="str">
        <f>VLOOKUP(BD34,CENY!$B$11:$G$1034,2,FALSE)</f>
        <v>ACTRO YOU 70KG PLNOVÝSUV 500 MM EB21 SILENT SYSTEM PRAVÝ</v>
      </c>
      <c r="BF34" s="24">
        <f>VLOOKUP(BD34,CENY!$B$11:$G$1034,3,FALSE)</f>
        <v>10</v>
      </c>
      <c r="BG34" s="24"/>
      <c r="BH34" s="25">
        <f>AY21</f>
        <v>0</v>
      </c>
      <c r="BI34" s="451">
        <f t="shared" si="2"/>
        <v>0</v>
      </c>
      <c r="BJ34" s="107">
        <f>VLOOKUP(BD34,CENY!$B$11:$M$2005,12,FALSE)</f>
        <v>312.18</v>
      </c>
      <c r="BK34" s="107">
        <f t="shared" si="3"/>
        <v>0</v>
      </c>
    </row>
    <row r="35" spans="2:63" ht="14.4" customHeight="1">
      <c r="AU35" s="441">
        <f>OBJ!B322</f>
        <v>9257894</v>
      </c>
      <c r="AV35" s="23" t="str">
        <f>VLOOKUP(AU35,CENY!$B$11:$G$1034,2,FALSE)</f>
        <v>PUSH TO OPEN SILENT QUADRO YOU 10 KG</v>
      </c>
      <c r="AW35" s="24">
        <f>VLOOKUP(AU35,CENY!$B$11:$G$1034,3,FALSE)</f>
        <v>1</v>
      </c>
      <c r="AX35" s="24"/>
      <c r="AY35" s="25">
        <f>AN27</f>
        <v>0</v>
      </c>
      <c r="AZ35" s="451">
        <f t="shared" si="1"/>
        <v>0</v>
      </c>
      <c r="BA35" s="107">
        <f>VLOOKUP(AU35,CENY!$B$11:$M$2005,12,FALSE)</f>
        <v>544.37</v>
      </c>
      <c r="BB35" s="107">
        <f t="shared" si="0"/>
        <v>0</v>
      </c>
      <c r="BD35" s="441">
        <f>OBJ!B270</f>
        <v>9257021</v>
      </c>
      <c r="BE35" s="23" t="str">
        <f>VLOOKUP(BD35,CENY!$B$11:$G$1034,2,FALSE)</f>
        <v>ACTRO YOU 70KG PLNOVÝSUV 550 MM EB21 SILENT SYSTEM LEVÝ</v>
      </c>
      <c r="BF35" s="24">
        <f>VLOOKUP(BD35,CENY!$B$11:$G$1034,3,FALSE)</f>
        <v>10</v>
      </c>
      <c r="BG35" s="24"/>
      <c r="BH35" s="25">
        <f>AY22</f>
        <v>0</v>
      </c>
      <c r="BI35" s="451">
        <f t="shared" si="2"/>
        <v>0</v>
      </c>
      <c r="BJ35" s="107">
        <f>VLOOKUP(BD35,CENY!$B$11:$M$2005,12,FALSE)</f>
        <v>328.77</v>
      </c>
      <c r="BK35" s="107">
        <f t="shared" si="3"/>
        <v>0</v>
      </c>
    </row>
    <row r="36" spans="2:63" ht="14.4" customHeight="1">
      <c r="AU36" s="441">
        <f>OBJ!B323</f>
        <v>9257895</v>
      </c>
      <c r="AV36" s="23" t="str">
        <f>VLOOKUP(AU36,CENY!$B$11:$G$1034,2,FALSE)</f>
        <v>PUSH TO OPEN SILENT QUADRO YOU 20 KG</v>
      </c>
      <c r="AW36" s="24">
        <f>VLOOKUP(AU36,CENY!$B$11:$G$1034,3,FALSE)</f>
        <v>1</v>
      </c>
      <c r="AX36" s="24"/>
      <c r="AY36" s="25">
        <f>AN28</f>
        <v>0</v>
      </c>
      <c r="AZ36" s="451">
        <f t="shared" si="1"/>
        <v>0</v>
      </c>
      <c r="BA36" s="107">
        <f>VLOOKUP(AU36,CENY!$B$11:$M$2005,12,FALSE)</f>
        <v>544.37</v>
      </c>
      <c r="BB36" s="107">
        <f t="shared" si="0"/>
        <v>0</v>
      </c>
      <c r="BD36" s="441">
        <f>OBJ!B271</f>
        <v>9257022</v>
      </c>
      <c r="BE36" s="23" t="str">
        <f>VLOOKUP(BD36,CENY!$B$11:$G$1034,2,FALSE)</f>
        <v>ACTRO YOU 70KG PLNOVÝSUV 550 MM EB21 SILENT SYSTEM PRAVÝ</v>
      </c>
      <c r="BF36" s="24">
        <f>VLOOKUP(BD36,CENY!$B$11:$G$1034,3,FALSE)</f>
        <v>10</v>
      </c>
      <c r="BG36" s="24"/>
      <c r="BH36" s="25">
        <f>AY22</f>
        <v>0</v>
      </c>
      <c r="BI36" s="451">
        <f t="shared" si="2"/>
        <v>0</v>
      </c>
      <c r="BJ36" s="107">
        <f>VLOOKUP(BD36,CENY!$B$11:$M$2005,12,FALSE)</f>
        <v>328.77</v>
      </c>
      <c r="BK36" s="107">
        <f t="shared" si="3"/>
        <v>0</v>
      </c>
    </row>
    <row r="37" spans="2:63" ht="14.4" customHeight="1">
      <c r="AU37" s="441">
        <f>OBJ!B324</f>
        <v>9257896</v>
      </c>
      <c r="AV37" s="23" t="str">
        <f>VLOOKUP(AU37,CENY!$B$11:$G$1034,2,FALSE)</f>
        <v>PUSH TO OPEN SILENT QUADRO YOU 30 KG</v>
      </c>
      <c r="AW37" s="24">
        <f>VLOOKUP(AU37,CENY!$B$11:$G$1034,3,FALSE)</f>
        <v>1</v>
      </c>
      <c r="AX37" s="24"/>
      <c r="AY37" s="25">
        <f>AN29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/>
      <c r="BE37" s="23"/>
      <c r="BF37" s="24"/>
      <c r="BG37" s="24"/>
      <c r="BH37" s="25"/>
      <c r="BI37" s="451" t="str">
        <f t="shared" si="2"/>
        <v/>
      </c>
      <c r="BJ37" s="107"/>
      <c r="BK37" s="107" t="str">
        <f t="shared" ref="BK37:BK76" si="4">IF(BJ37="","",BJ37*BH37)</f>
        <v/>
      </c>
    </row>
    <row r="38" spans="2:63" ht="14.4" customHeight="1">
      <c r="AU38" s="441"/>
      <c r="AV38" s="23"/>
      <c r="AW38" s="24"/>
      <c r="AX38" s="24"/>
      <c r="AY38" s="25"/>
      <c r="AZ38" s="451" t="str">
        <f t="shared" si="1"/>
        <v/>
      </c>
      <c r="BA38" s="107"/>
      <c r="BB38" s="107" t="str">
        <f t="shared" ref="BB38:BB77" si="5">IF(BA38="","",BA38*AY38)</f>
        <v/>
      </c>
      <c r="BD38" s="441">
        <f>OBJ!B277</f>
        <v>9257890</v>
      </c>
      <c r="BE38" s="23" t="str">
        <f>VLOOKUP(BD38,CENY!$B$11:$G$1034,2,FALSE)</f>
        <v>PUSH TO OPEN SILENT ACTRO YOU / ACTRO 5D 10 KG</v>
      </c>
      <c r="BF38" s="24">
        <f>VLOOKUP(BD38,CENY!$B$11:$G$1034,3,FALSE)</f>
        <v>1</v>
      </c>
      <c r="BG38" s="24"/>
      <c r="BH38" s="25">
        <f>AY24</f>
        <v>0</v>
      </c>
      <c r="BI38" s="451">
        <f t="shared" si="2"/>
        <v>0</v>
      </c>
      <c r="BJ38" s="107">
        <f>VLOOKUP(BD38,CENY!$B$11:$M$2005,12,FALSE)</f>
        <v>544.37</v>
      </c>
      <c r="BK38" s="107">
        <f t="shared" si="4"/>
        <v>0</v>
      </c>
    </row>
    <row r="39" spans="2:63" ht="14.4" customHeight="1">
      <c r="AU39" s="441">
        <f>OBJ!B329</f>
        <v>9256933</v>
      </c>
      <c r="AV39" s="23" t="str">
        <f>VLOOKUP(AU39,CENY!$B$11:$G$1034,2,FALSE)</f>
        <v>QUADRO YOU PLNOVÝSUV 400 MM EB21 PUSH TO OPEN SADA</v>
      </c>
      <c r="AW39" s="24">
        <f>VLOOKUP(AU39,CENY!$B$11:$G$1034,3,FALSE)</f>
        <v>1</v>
      </c>
      <c r="AX39" s="499">
        <v>8</v>
      </c>
      <c r="AY39" s="25">
        <f>U30</f>
        <v>0</v>
      </c>
      <c r="AZ39" s="451">
        <f t="shared" si="1"/>
        <v>0</v>
      </c>
      <c r="BA39" s="107">
        <f>VLOOKUP(AU39,CENY!$B$11:$M$2005,12,FALSE)</f>
        <v>429.08</v>
      </c>
      <c r="BB39" s="107">
        <f t="shared" si="5"/>
        <v>0</v>
      </c>
      <c r="BD39" s="441">
        <f>OBJ!B278</f>
        <v>9257891</v>
      </c>
      <c r="BE39" s="23" t="str">
        <f>VLOOKUP(BD39,CENY!$B$11:$G$1034,2,FALSE)</f>
        <v>PUSH TO OPEN SILENT ACTRO YOU / ACTRO 5D 20 KG</v>
      </c>
      <c r="BF39" s="24">
        <f>VLOOKUP(BD39,CENY!$B$11:$G$1034,3,FALSE)</f>
        <v>1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544.37</v>
      </c>
      <c r="BK39" s="107">
        <f t="shared" si="4"/>
        <v>0</v>
      </c>
    </row>
    <row r="40" spans="2:63" ht="14.4" customHeight="1">
      <c r="AU40" s="441">
        <f>OBJ!B330</f>
        <v>9256935</v>
      </c>
      <c r="AV40" s="23" t="str">
        <f>VLOOKUP(AU40,CENY!$B$11:$G$1034,2,FALSE)</f>
        <v>QUADRO YOU PLNOVÝSUV 450 MM EB21 PUSH TO OPEN SADA</v>
      </c>
      <c r="AW40" s="24">
        <f>VLOOKUP(AU40,CENY!$B$11:$G$1034,3,FALSE)</f>
        <v>1</v>
      </c>
      <c r="AX40" s="499">
        <v>8</v>
      </c>
      <c r="AY40" s="25">
        <f>W30</f>
        <v>0</v>
      </c>
      <c r="AZ40" s="451">
        <f t="shared" si="1"/>
        <v>0</v>
      </c>
      <c r="BA40" s="107">
        <f>VLOOKUP(AU40,CENY!$B$11:$M$2005,12,FALSE)</f>
        <v>436.55</v>
      </c>
      <c r="BB40" s="107">
        <f t="shared" si="5"/>
        <v>0</v>
      </c>
      <c r="BD40" s="441">
        <f>OBJ!B279</f>
        <v>9257892</v>
      </c>
      <c r="BE40" s="23" t="str">
        <f>VLOOKUP(BD40,CENY!$B$11:$G$1034,2,FALSE)</f>
        <v>PUSH TO OPEN SILENT ACTRO YOU / ACTRO 5D 40 KG</v>
      </c>
      <c r="BF40" s="24">
        <f>VLOOKUP(BD40,CENY!$B$11:$G$1034,3,FALSE)</f>
        <v>1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544.37</v>
      </c>
      <c r="BK40" s="107">
        <f t="shared" si="4"/>
        <v>0</v>
      </c>
    </row>
    <row r="41" spans="2:63" ht="14.4" customHeight="1">
      <c r="AU41" s="441">
        <f>OBJ!B331</f>
        <v>9256937</v>
      </c>
      <c r="AV41" s="23" t="str">
        <f>VLOOKUP(AU41,CENY!$B$11:$G$1034,2,FALSE)</f>
        <v>QUADRO YOU PLNOVÝSUV 500 MM EB21 PUSH TO OPEN SADA</v>
      </c>
      <c r="AW41" s="24">
        <f>VLOOKUP(AU41,CENY!$B$11:$G$1034,3,FALSE)</f>
        <v>1</v>
      </c>
      <c r="AX41" s="499">
        <v>8</v>
      </c>
      <c r="AY41" s="25">
        <f>Y30</f>
        <v>0</v>
      </c>
      <c r="AZ41" s="451">
        <f t="shared" si="1"/>
        <v>0</v>
      </c>
      <c r="BA41" s="107">
        <f>VLOOKUP(AU41,CENY!$B$11:$M$2005,12,FALSE)</f>
        <v>444.02</v>
      </c>
      <c r="BB41" s="107">
        <f t="shared" si="5"/>
        <v>0</v>
      </c>
      <c r="BD41" s="441">
        <f>OBJ!B280</f>
        <v>9257893</v>
      </c>
      <c r="BE41" s="23" t="str">
        <f>VLOOKUP(BD41,CENY!$B$11:$G$1034,2,FALSE)</f>
        <v>PUSH TO OPEN SILENT ACTRO YOU / ACTRO 5D 70 KG</v>
      </c>
      <c r="BF41" s="24">
        <f>VLOOKUP(BD41,CENY!$B$11:$G$1034,3,FALSE)</f>
        <v>1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544.37</v>
      </c>
      <c r="BK41" s="107">
        <f t="shared" si="4"/>
        <v>0</v>
      </c>
    </row>
    <row r="42" spans="2:63" ht="14.4" customHeight="1">
      <c r="AU42" s="441">
        <f>OBJ!B332</f>
        <v>9256939</v>
      </c>
      <c r="AV42" s="23" t="str">
        <f>VLOOKUP(AU42,CENY!$B$11:$G$1034,2,FALSE)</f>
        <v>QUADRO YOU PLNOVÝSUV 550 MM EB21 PUSH TO OPEN SADA</v>
      </c>
      <c r="AW42" s="24">
        <f>VLOOKUP(AU42,CENY!$B$11:$G$1034,3,FALSE)</f>
        <v>1</v>
      </c>
      <c r="AX42" s="499">
        <v>8</v>
      </c>
      <c r="AY42" s="25">
        <f>AA30</f>
        <v>0</v>
      </c>
      <c r="AZ42" s="451">
        <f t="shared" si="1"/>
        <v>0</v>
      </c>
      <c r="BA42" s="107">
        <f>VLOOKUP(AU42,CENY!$B$11:$M$2005,12,FALSE)</f>
        <v>457.48</v>
      </c>
      <c r="BB42" s="107">
        <f t="shared" si="5"/>
        <v>0</v>
      </c>
      <c r="BD42" s="441">
        <f>OBJ!B281</f>
        <v>9236718</v>
      </c>
      <c r="BE42" s="23" t="str">
        <f>VLOOKUP(BD42,CENY!$B$11:$G$1034,2,FALSE)</f>
        <v>PUSH TO OPEN SYNCHRONIZAČNÍ TYČ 2000 MM</v>
      </c>
      <c r="BF42" s="24">
        <f>VLOOKUP(BD42,CENY!$B$11:$G$1034,3,FALSE)</f>
        <v>100</v>
      </c>
      <c r="BG42" s="24"/>
      <c r="BH42" s="25">
        <f>AY28</f>
        <v>0</v>
      </c>
      <c r="BI42" s="451">
        <f t="shared" si="2"/>
        <v>0</v>
      </c>
      <c r="BJ42" s="107">
        <f>VLOOKUP(BD42,CENY!$B$11:$M$2005,12,FALSE)</f>
        <v>144.30000000000001</v>
      </c>
      <c r="BK42" s="107">
        <f t="shared" si="4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5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4"/>
        <v/>
      </c>
    </row>
    <row r="44" spans="2:63" ht="14.4" customHeight="1">
      <c r="AU44" s="441">
        <f>OBJ!B351</f>
        <v>9219966</v>
      </c>
      <c r="AV44" s="23" t="str">
        <f>VLOOKUP(AU44,CENY!$B$11:$G$1034,2,FALSE)</f>
        <v>PUSH TO OPEN SYNCHRO ADAPTÉR TYP A</v>
      </c>
      <c r="AW44" s="24">
        <f>VLOOKUP(AU44,CENY!$B$11:$G$1034,3,FALSE)</f>
        <v>200</v>
      </c>
      <c r="AX44" s="24"/>
      <c r="AY44" s="25">
        <f>2*SUM(O30:AD30)</f>
        <v>0</v>
      </c>
      <c r="AZ44" s="451">
        <f t="shared" si="1"/>
        <v>0</v>
      </c>
      <c r="BA44" s="107">
        <f>VLOOKUP(AU44,CENY!$B$11:$M$2005,12,FALSE)</f>
        <v>13.07</v>
      </c>
      <c r="BB44" s="107">
        <f t="shared" si="5"/>
        <v>0</v>
      </c>
      <c r="BD44" s="441">
        <f>OBJ!B311</f>
        <v>9256864</v>
      </c>
      <c r="BE44" s="23" t="str">
        <f>VLOOKUP(BD44,CENY!$B$11:$G$1034,2,FALSE)</f>
        <v>QUADRO YOU PLNOVÝSUV 400 MM EB21 SILENT SYSTEM LEVÝ</v>
      </c>
      <c r="BF44" s="24">
        <f>VLOOKUP(BD44,CENY!$B$11:$G$1034,3,FALSE)</f>
        <v>20</v>
      </c>
      <c r="BG44" s="24"/>
      <c r="BH44" s="25">
        <f>AY30</f>
        <v>0</v>
      </c>
      <c r="BI44" s="451">
        <f t="shared" si="2"/>
        <v>0</v>
      </c>
      <c r="BJ44" s="107">
        <f>VLOOKUP(BD44,CENY!$B$11:$M$2005,12,FALSE)</f>
        <v>180.17</v>
      </c>
      <c r="BK44" s="107">
        <f t="shared" si="4"/>
        <v>0</v>
      </c>
    </row>
    <row r="45" spans="2:63" ht="14.4" customHeight="1">
      <c r="AU45" s="441"/>
      <c r="AV45" s="23"/>
      <c r="AW45" s="24"/>
      <c r="AX45" s="24"/>
      <c r="AY45" s="25"/>
      <c r="AZ45" s="451" t="str">
        <f t="shared" si="1"/>
        <v/>
      </c>
      <c r="BA45" s="107"/>
      <c r="BB45" s="107" t="str">
        <f t="shared" si="5"/>
        <v/>
      </c>
      <c r="BD45" s="441">
        <f>OBJ!B312</f>
        <v>9256865</v>
      </c>
      <c r="BE45" s="23" t="str">
        <f>VLOOKUP(BD45,CENY!$B$11:$G$1034,2,FALSE)</f>
        <v>QUADRO YOU PLNOVÝSUV 400 MM EB21 SILENT SYSTEM PRAVÝ</v>
      </c>
      <c r="BF45" s="24">
        <f>VLOOKUP(BD45,CENY!$B$11:$G$1034,3,FALSE)</f>
        <v>20</v>
      </c>
      <c r="BG45" s="24"/>
      <c r="BH45" s="25">
        <f>AY30</f>
        <v>0</v>
      </c>
      <c r="BI45" s="451">
        <f t="shared" si="2"/>
        <v>0</v>
      </c>
      <c r="BJ45" s="107">
        <f>VLOOKUP(BD45,CENY!$B$11:$M$2005,12,FALSE)</f>
        <v>180.17</v>
      </c>
      <c r="BK45" s="107">
        <f t="shared" si="4"/>
        <v>0</v>
      </c>
    </row>
    <row r="46" spans="2:63" ht="14.4" customHeight="1">
      <c r="AU46" s="442">
        <v>9255833</v>
      </c>
      <c r="AV46" s="443" t="str">
        <f>VLOOKUP(AU46,CENY!$B$11:$G$1034,2,FALSE)</f>
        <v>AVANTECH YOU PŘÍCHYTKA ČELA V77 MM K ZALISOVÁNÍ</v>
      </c>
      <c r="AW46" s="24">
        <f>VLOOKUP(AU46,CENY!$B$11:$G$1034,3,FALSE)</f>
        <v>100</v>
      </c>
      <c r="AX46" s="24"/>
      <c r="AY46" s="77">
        <f>IF(FORM!AM8=FORM!AU11,(2*(+SUM(O19:T19)+SUM(O20:AD20)+SUM(W22:AF22)+SUM(O27:T27)+SUM(O28:AD28)+SUM(O30:AD30))),0)</f>
        <v>0</v>
      </c>
      <c r="AZ46" s="451">
        <f t="shared" si="1"/>
        <v>0</v>
      </c>
      <c r="BA46" s="107">
        <f>VLOOKUP(AU46,CENY!$B$11:$M$2005,12,FALSE)</f>
        <v>18.37</v>
      </c>
      <c r="BB46" s="107">
        <f t="shared" si="5"/>
        <v>0</v>
      </c>
      <c r="BD46" s="441">
        <f>OBJ!B313</f>
        <v>9256868</v>
      </c>
      <c r="BE46" s="23" t="str">
        <f>VLOOKUP(BD46,CENY!$B$11:$G$1034,2,FALSE)</f>
        <v>QUADRO YOU PLNOVÝSUV 450 MM EB21 SILENT SYSTEM LEVÝ</v>
      </c>
      <c r="BF46" s="24">
        <f>VLOOKUP(BD46,CENY!$B$11:$G$1034,3,FALSE)</f>
        <v>20</v>
      </c>
      <c r="BG46" s="24"/>
      <c r="BH46" s="25">
        <f>AY31</f>
        <v>0</v>
      </c>
      <c r="BI46" s="451">
        <f t="shared" si="2"/>
        <v>0</v>
      </c>
      <c r="BJ46" s="107">
        <f>VLOOKUP(BD46,CENY!$B$11:$M$2005,12,FALSE)</f>
        <v>183.9</v>
      </c>
      <c r="BK46" s="107">
        <f t="shared" si="4"/>
        <v>0</v>
      </c>
    </row>
    <row r="47" spans="2:63" ht="14.4" customHeight="1">
      <c r="AU47" s="441"/>
      <c r="AV47" s="23"/>
      <c r="AW47" s="24"/>
      <c r="AX47" s="24"/>
      <c r="AY47" s="25"/>
      <c r="AZ47" s="451" t="str">
        <f t="shared" si="1"/>
        <v/>
      </c>
      <c r="BA47" s="107"/>
      <c r="BB47" s="107" t="str">
        <f t="shared" si="5"/>
        <v/>
      </c>
      <c r="BD47" s="441">
        <f>OBJ!B314</f>
        <v>9256869</v>
      </c>
      <c r="BE47" s="23" t="str">
        <f>VLOOKUP(BD47,CENY!$B$11:$G$1034,2,FALSE)</f>
        <v>QUADRO YOU PLNOVÝSUV 450 MM EB21 SILENT SYSTEM PRAVÝ</v>
      </c>
      <c r="BF47" s="24">
        <f>VLOOKUP(BD47,CENY!$B$11:$G$1034,3,FALSE)</f>
        <v>20</v>
      </c>
      <c r="BG47" s="24"/>
      <c r="BH47" s="25">
        <f>AY31</f>
        <v>0</v>
      </c>
      <c r="BI47" s="451">
        <f t="shared" si="2"/>
        <v>0</v>
      </c>
      <c r="BJ47" s="107">
        <f>VLOOKUP(BD47,CENY!$B$11:$M$2005,12,FALSE)</f>
        <v>183.9</v>
      </c>
      <c r="BK47" s="107">
        <f t="shared" si="4"/>
        <v>0</v>
      </c>
    </row>
    <row r="48" spans="2:63" ht="14.4" customHeight="1">
      <c r="AU48" s="441">
        <f>OBJ!B207</f>
        <v>0</v>
      </c>
      <c r="AV48" s="23" t="e">
        <f>VLOOKUP(AU48,CENY!$B$11:$G$1034,2,FALSE)</f>
        <v>#N/A</v>
      </c>
      <c r="AW48" s="24" t="e">
        <f>VLOOKUP(AU48,CENY!$B$11:$G$1034,3,FALSE)</f>
        <v>#N/A</v>
      </c>
      <c r="AX48" s="24"/>
      <c r="AY48" s="77">
        <f>IF(FORM!AM21&lt;&gt;FORM!AW16,(2*(+SUM(O19:T19)+SUM(O20:AD20)+SUM(W22:AF22)+SUM(O27:T27)+SUM(O28:AD28)+SUM(O30:AD30))),0)</f>
        <v>0</v>
      </c>
      <c r="AZ48" s="451">
        <f t="shared" si="1"/>
        <v>0</v>
      </c>
      <c r="BA48" s="449" t="str">
        <f>IF(AU48=0,"",VLOOKUP(AU48,CENY!$B$11:$M$2005,12,FALSE))</f>
        <v/>
      </c>
      <c r="BB48" s="107" t="str">
        <f>IF(BA48="","",BA48*AY48)</f>
        <v/>
      </c>
      <c r="BD48" s="441">
        <f>OBJ!B315</f>
        <v>9256872</v>
      </c>
      <c r="BE48" s="23" t="str">
        <f>VLOOKUP(BD48,CENY!$B$11:$G$1034,2,FALSE)</f>
        <v>QUADRO YOU PLNOVÝSUV 500 MM EB21 SILENT SYSTEM LEVÝ</v>
      </c>
      <c r="BF48" s="24">
        <f>VLOOKUP(BD48,CENY!$B$11:$G$1034,3,FALSE)</f>
        <v>20</v>
      </c>
      <c r="BG48" s="24"/>
      <c r="BH48" s="25">
        <f>AY32</f>
        <v>0</v>
      </c>
      <c r="BI48" s="451">
        <f t="shared" si="2"/>
        <v>0</v>
      </c>
      <c r="BJ48" s="107">
        <f>VLOOKUP(BD48,CENY!$B$11:$M$2005,12,FALSE)</f>
        <v>187.64</v>
      </c>
      <c r="BK48" s="107">
        <f t="shared" si="4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5"/>
        <v/>
      </c>
      <c r="BD49" s="441">
        <f>OBJ!B316</f>
        <v>9256873</v>
      </c>
      <c r="BE49" s="23" t="str">
        <f>VLOOKUP(BD49,CENY!$B$11:$G$1034,2,FALSE)</f>
        <v>QUADRO YOU PLNOVÝSUV 500 MM EB21 SILENT SYSTEM PRAVÝ</v>
      </c>
      <c r="BF49" s="24">
        <f>VLOOKUP(BD49,CENY!$B$11:$G$1034,3,FALSE)</f>
        <v>20</v>
      </c>
      <c r="BG49" s="24"/>
      <c r="BH49" s="25">
        <f>AY32</f>
        <v>0</v>
      </c>
      <c r="BI49" s="451">
        <f t="shared" si="2"/>
        <v>0</v>
      </c>
      <c r="BJ49" s="107">
        <f>VLOOKUP(BD49,CENY!$B$11:$M$2005,12,FALSE)</f>
        <v>187.64</v>
      </c>
      <c r="BK49" s="107">
        <f t="shared" si="4"/>
        <v>0</v>
      </c>
    </row>
    <row r="50" spans="47:63" ht="14.4" customHeight="1">
      <c r="AU50" s="441"/>
      <c r="AV50" s="23"/>
      <c r="AW50" s="24"/>
      <c r="AX50" s="24"/>
      <c r="AY50" s="25"/>
      <c r="AZ50" s="451" t="str">
        <f t="shared" si="1"/>
        <v/>
      </c>
      <c r="BA50" s="107"/>
      <c r="BB50" s="107" t="str">
        <f t="shared" si="5"/>
        <v/>
      </c>
      <c r="BD50" s="441">
        <f>OBJ!B317</f>
        <v>9256876</v>
      </c>
      <c r="BE50" s="23" t="str">
        <f>VLOOKUP(BD50,CENY!$B$11:$G$1034,2,FALSE)</f>
        <v>QUADRO YOU PLNOVÝSUV 550 MM EB21 SILENT SYSTEM LEVÝ</v>
      </c>
      <c r="BF50" s="24">
        <f>VLOOKUP(BD50,CENY!$B$11:$G$1034,3,FALSE)</f>
        <v>20</v>
      </c>
      <c r="BG50" s="24"/>
      <c r="BH50" s="25">
        <f>AY33</f>
        <v>0</v>
      </c>
      <c r="BI50" s="451">
        <f t="shared" si="2"/>
        <v>0</v>
      </c>
      <c r="BJ50" s="107">
        <f>VLOOKUP(BD50,CENY!$B$11:$M$2005,12,FALSE)</f>
        <v>194.36</v>
      </c>
      <c r="BK50" s="107">
        <f t="shared" si="4"/>
        <v>0</v>
      </c>
    </row>
    <row r="51" spans="47:63" ht="14.4" customHeight="1">
      <c r="AU51" s="441"/>
      <c r="AV51" s="23"/>
      <c r="AW51" s="24"/>
      <c r="AX51" s="24"/>
      <c r="AY51" s="25"/>
      <c r="AZ51" s="451" t="str">
        <f t="shared" si="1"/>
        <v/>
      </c>
      <c r="BA51" s="107"/>
      <c r="BB51" s="107" t="str">
        <f t="shared" si="5"/>
        <v/>
      </c>
      <c r="BD51" s="441">
        <f>OBJ!B318</f>
        <v>9256877</v>
      </c>
      <c r="BE51" s="23" t="str">
        <f>VLOOKUP(BD51,CENY!$B$11:$G$1034,2,FALSE)</f>
        <v>QUADRO YOU PLNOVÝSUV 550 MM EB21 SILENT SYSTEM PRAVÝ</v>
      </c>
      <c r="BF51" s="24">
        <f>VLOOKUP(BD51,CENY!$B$11:$G$1034,3,FALSE)</f>
        <v>20</v>
      </c>
      <c r="BG51" s="24"/>
      <c r="BH51" s="25">
        <f>AY33</f>
        <v>0</v>
      </c>
      <c r="BI51" s="451">
        <f t="shared" si="2"/>
        <v>0</v>
      </c>
      <c r="BJ51" s="107">
        <f>VLOOKUP(BD51,CENY!$B$11:$M$2005,12,FALSE)</f>
        <v>194.36</v>
      </c>
      <c r="BK51" s="107">
        <f t="shared" si="4"/>
        <v>0</v>
      </c>
    </row>
    <row r="52" spans="47:63" ht="14.4" customHeight="1">
      <c r="AU52" s="441"/>
      <c r="AV52" s="23"/>
      <c r="AW52" s="24"/>
      <c r="AX52" s="24"/>
      <c r="AY52" s="25"/>
      <c r="AZ52" s="451" t="str">
        <f t="shared" si="1"/>
        <v/>
      </c>
      <c r="BA52" s="107"/>
      <c r="BB52" s="107" t="str">
        <f t="shared" si="5"/>
        <v/>
      </c>
      <c r="BD52" s="441"/>
      <c r="BE52" s="23"/>
      <c r="BF52" s="24"/>
      <c r="BG52" s="24"/>
      <c r="BH52" s="25"/>
      <c r="BI52" s="451" t="str">
        <f t="shared" si="2"/>
        <v/>
      </c>
      <c r="BJ52" s="107"/>
      <c r="BK52" s="107" t="str">
        <f t="shared" si="4"/>
        <v/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5"/>
        <v/>
      </c>
      <c r="BD53" s="441">
        <f>OBJ!B322</f>
        <v>9257894</v>
      </c>
      <c r="BE53" s="23" t="str">
        <f>VLOOKUP(BD53,CENY!$B$11:$G$1034,2,FALSE)</f>
        <v>PUSH TO OPEN SILENT QUADRO YOU 10 KG</v>
      </c>
      <c r="BF53" s="24">
        <f>VLOOKUP(BD53,CENY!$B$11:$G$1034,3,FALSE)</f>
        <v>1</v>
      </c>
      <c r="BG53" s="24"/>
      <c r="BH53" s="25">
        <f>AY35</f>
        <v>0</v>
      </c>
      <c r="BI53" s="451">
        <f t="shared" si="2"/>
        <v>0</v>
      </c>
      <c r="BJ53" s="107">
        <f>VLOOKUP(BD53,CENY!$B$11:$M$2005,12,FALSE)</f>
        <v>544.37</v>
      </c>
      <c r="BK53" s="107">
        <f t="shared" si="4"/>
        <v>0</v>
      </c>
    </row>
    <row r="54" spans="47:63" ht="14.4" customHeight="1">
      <c r="AU54" s="441"/>
      <c r="AV54" s="23"/>
      <c r="AW54" s="24"/>
      <c r="AX54" s="24"/>
      <c r="AY54" s="25"/>
      <c r="AZ54" s="451" t="str">
        <f t="shared" si="1"/>
        <v/>
      </c>
      <c r="BA54" s="107"/>
      <c r="BB54" s="107" t="str">
        <f t="shared" si="5"/>
        <v/>
      </c>
      <c r="BD54" s="441">
        <f>OBJ!B323</f>
        <v>9257895</v>
      </c>
      <c r="BE54" s="23" t="str">
        <f>VLOOKUP(BD54,CENY!$B$11:$G$1034,2,FALSE)</f>
        <v>PUSH TO OPEN SILENT QUADRO YOU 20 KG</v>
      </c>
      <c r="BF54" s="24">
        <f>VLOOKUP(BD54,CENY!$B$11:$G$1034,3,FALSE)</f>
        <v>1</v>
      </c>
      <c r="BG54" s="24"/>
      <c r="BH54" s="25">
        <f>AY36</f>
        <v>0</v>
      </c>
      <c r="BI54" s="451">
        <f t="shared" si="2"/>
        <v>0</v>
      </c>
      <c r="BJ54" s="107">
        <f>VLOOKUP(BD54,CENY!$B$11:$M$2005,12,FALSE)</f>
        <v>544.37</v>
      </c>
      <c r="BK54" s="107">
        <f t="shared" si="4"/>
        <v>0</v>
      </c>
    </row>
    <row r="55" spans="47:63" ht="14.4" customHeight="1">
      <c r="AU55" s="441"/>
      <c r="AV55" s="23"/>
      <c r="AW55" s="24"/>
      <c r="AX55" s="24"/>
      <c r="AY55" s="25"/>
      <c r="AZ55" s="451" t="str">
        <f t="shared" si="1"/>
        <v/>
      </c>
      <c r="BA55" s="107"/>
      <c r="BB55" s="107" t="str">
        <f t="shared" si="5"/>
        <v/>
      </c>
      <c r="BD55" s="441">
        <f>OBJ!B324</f>
        <v>9257896</v>
      </c>
      <c r="BE55" s="23" t="str">
        <f>VLOOKUP(BD55,CENY!$B$11:$G$1034,2,FALSE)</f>
        <v>PUSH TO OPEN SILENT QUADRO YOU 30 KG</v>
      </c>
      <c r="BF55" s="24">
        <f>VLOOKUP(BD55,CENY!$B$11:$G$1034,3,FALSE)</f>
        <v>1</v>
      </c>
      <c r="BG55" s="24"/>
      <c r="BH55" s="25">
        <f>AY37</f>
        <v>0</v>
      </c>
      <c r="BI55" s="451">
        <f t="shared" si="2"/>
        <v>0</v>
      </c>
      <c r="BJ55" s="107">
        <f>VLOOKUP(BD55,CENY!$B$11:$M$2005,12,FALSE)</f>
        <v>544.37</v>
      </c>
      <c r="BK55" s="107">
        <f t="shared" si="4"/>
        <v>0</v>
      </c>
    </row>
    <row r="56" spans="47:63" ht="14.4" customHeight="1">
      <c r="AU56" s="22"/>
      <c r="AV56" s="23"/>
      <c r="AW56" s="24"/>
      <c r="AX56" s="24"/>
      <c r="AY56" s="25"/>
      <c r="AZ56" s="451" t="str">
        <f t="shared" si="1"/>
        <v/>
      </c>
      <c r="BA56" s="107"/>
      <c r="BB56" s="107" t="str">
        <f t="shared" si="5"/>
        <v/>
      </c>
      <c r="BD56" s="441"/>
      <c r="BE56" s="23"/>
      <c r="BF56" s="24"/>
      <c r="BG56" s="24"/>
      <c r="BH56" s="25"/>
      <c r="BI56" s="451" t="str">
        <f t="shared" si="2"/>
        <v/>
      </c>
      <c r="BJ56" s="107"/>
      <c r="BK56" s="107" t="str">
        <f t="shared" si="4"/>
        <v/>
      </c>
    </row>
    <row r="57" spans="47:63" ht="14.4" customHeight="1">
      <c r="AU57" s="22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5"/>
        <v/>
      </c>
      <c r="BD57" s="441">
        <f>OBJ!B340</f>
        <v>9256909</v>
      </c>
      <c r="BE57" s="23" t="str">
        <f>VLOOKUP(BD57,CENY!$B$11:$G$1034,2,FALSE)</f>
        <v>QUADRO YOU PLNOVÝSUV 400 MM EB21 PUSH TO OPEN LEVÝ</v>
      </c>
      <c r="BF57" s="24">
        <f>VLOOKUP(BD57,CENY!$B$11:$G$1034,3,FALSE)</f>
        <v>20</v>
      </c>
      <c r="BG57" s="24"/>
      <c r="BH57" s="25">
        <f>AY39</f>
        <v>0</v>
      </c>
      <c r="BI57" s="451">
        <f t="shared" si="2"/>
        <v>0</v>
      </c>
      <c r="BJ57" s="107">
        <f>VLOOKUP(BD57,CENY!$B$11:$M$2005,12,FALSE)</f>
        <v>202.58</v>
      </c>
      <c r="BK57" s="107">
        <f t="shared" si="4"/>
        <v>0</v>
      </c>
    </row>
    <row r="58" spans="47:63" ht="14.4" customHeight="1">
      <c r="AU58" s="22"/>
      <c r="AV58" s="23"/>
      <c r="AW58" s="24"/>
      <c r="AX58" s="24"/>
      <c r="AY58" s="25"/>
      <c r="AZ58" s="451" t="str">
        <f t="shared" si="1"/>
        <v/>
      </c>
      <c r="BA58" s="107"/>
      <c r="BB58" s="107" t="str">
        <f t="shared" si="5"/>
        <v/>
      </c>
      <c r="BD58" s="441">
        <f>OBJ!B341</f>
        <v>9256910</v>
      </c>
      <c r="BE58" s="23" t="str">
        <f>VLOOKUP(BD58,CENY!$B$11:$G$1034,2,FALSE)</f>
        <v>QUADRO YOU PLNOVÝSUV 400 MM EB21 PUSH TO OPEN PRAVÝ</v>
      </c>
      <c r="BF58" s="24">
        <f>VLOOKUP(BD58,CENY!$B$11:$G$1034,3,FALSE)</f>
        <v>20</v>
      </c>
      <c r="BG58" s="24"/>
      <c r="BH58" s="25">
        <f>AY39</f>
        <v>0</v>
      </c>
      <c r="BI58" s="451">
        <f t="shared" si="2"/>
        <v>0</v>
      </c>
      <c r="BJ58" s="107">
        <f>VLOOKUP(BD58,CENY!$B$11:$M$2005,12,FALSE)</f>
        <v>202.58</v>
      </c>
      <c r="BK58" s="107">
        <f t="shared" si="4"/>
        <v>0</v>
      </c>
    </row>
    <row r="59" spans="47:63" ht="14.4" customHeight="1">
      <c r="AU59" s="22"/>
      <c r="AV59" s="23"/>
      <c r="AW59" s="24"/>
      <c r="AX59" s="24"/>
      <c r="AY59" s="25"/>
      <c r="AZ59" s="451" t="str">
        <f t="shared" si="1"/>
        <v/>
      </c>
      <c r="BA59" s="107"/>
      <c r="BB59" s="107" t="str">
        <f t="shared" si="5"/>
        <v/>
      </c>
      <c r="BD59" s="441">
        <f>OBJ!B342</f>
        <v>9256913</v>
      </c>
      <c r="BE59" s="23" t="str">
        <f>VLOOKUP(BD59,CENY!$B$11:$G$1034,2,FALSE)</f>
        <v>QUADRO YOU PLNOVÝSUV 450 MM EB21 PUSH TO OPEN LEVÝ</v>
      </c>
      <c r="BF59" s="24">
        <f>VLOOKUP(BD59,CENY!$B$11:$G$1034,3,FALSE)</f>
        <v>20</v>
      </c>
      <c r="BG59" s="24"/>
      <c r="BH59" s="25">
        <f>AY40</f>
        <v>0</v>
      </c>
      <c r="BI59" s="451">
        <f t="shared" si="2"/>
        <v>0</v>
      </c>
      <c r="BJ59" s="107">
        <f>VLOOKUP(BD59,CENY!$B$11:$M$2005,12,FALSE)</f>
        <v>206.32</v>
      </c>
      <c r="BK59" s="107">
        <f t="shared" si="4"/>
        <v>0</v>
      </c>
    </row>
    <row r="60" spans="47:63" ht="14.4" customHeight="1">
      <c r="AU60" s="22"/>
      <c r="AV60" s="23"/>
      <c r="AW60" s="24"/>
      <c r="AX60" s="24"/>
      <c r="AY60" s="25"/>
      <c r="AZ60" s="451" t="str">
        <f t="shared" si="1"/>
        <v/>
      </c>
      <c r="BA60" s="107"/>
      <c r="BB60" s="107" t="str">
        <f t="shared" si="5"/>
        <v/>
      </c>
      <c r="BD60" s="441">
        <f>OBJ!B343</f>
        <v>9256914</v>
      </c>
      <c r="BE60" s="23" t="str">
        <f>VLOOKUP(BD60,CENY!$B$11:$G$1034,2,FALSE)</f>
        <v>QUADRO YOU PLNOVÝSUV 450 MM EB21 PUSH TO OPEN PRAVÝ</v>
      </c>
      <c r="BF60" s="24">
        <f>VLOOKUP(BD60,CENY!$B$11:$G$1034,3,FALSE)</f>
        <v>20</v>
      </c>
      <c r="BG60" s="24"/>
      <c r="BH60" s="25">
        <f>AY40</f>
        <v>0</v>
      </c>
      <c r="BI60" s="451">
        <f t="shared" si="2"/>
        <v>0</v>
      </c>
      <c r="BJ60" s="107">
        <f>VLOOKUP(BD60,CENY!$B$11:$M$2005,12,FALSE)</f>
        <v>206.32</v>
      </c>
      <c r="BK60" s="107">
        <f t="shared" si="4"/>
        <v>0</v>
      </c>
    </row>
    <row r="61" spans="47:63" ht="14.4" customHeight="1">
      <c r="AU61" s="22"/>
      <c r="AV61" s="23"/>
      <c r="AW61" s="24"/>
      <c r="AX61" s="24"/>
      <c r="AY61" s="25"/>
      <c r="AZ61" s="451" t="str">
        <f t="shared" si="1"/>
        <v/>
      </c>
      <c r="BA61" s="107"/>
      <c r="BB61" s="107" t="str">
        <f t="shared" si="5"/>
        <v/>
      </c>
      <c r="BD61" s="441">
        <f>OBJ!B344</f>
        <v>9256917</v>
      </c>
      <c r="BE61" s="23" t="str">
        <f>VLOOKUP(BD61,CENY!$B$11:$G$1034,2,FALSE)</f>
        <v>QUADRO YOU PLNOVÝSUV 500 MM EB21 PUSH TO OPEN LEVÝ</v>
      </c>
      <c r="BF61" s="24">
        <f>VLOOKUP(BD61,CENY!$B$11:$G$1034,3,FALSE)</f>
        <v>20</v>
      </c>
      <c r="BG61" s="24"/>
      <c r="BH61" s="25">
        <f>AY41</f>
        <v>0</v>
      </c>
      <c r="BI61" s="451">
        <f t="shared" si="2"/>
        <v>0</v>
      </c>
      <c r="BJ61" s="107">
        <f>VLOOKUP(BD61,CENY!$B$11:$M$2005,12,FALSE)</f>
        <v>210.06</v>
      </c>
      <c r="BK61" s="107">
        <f t="shared" si="4"/>
        <v>0</v>
      </c>
    </row>
    <row r="62" spans="47:63" ht="14.4" customHeight="1">
      <c r="AU62" s="22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5"/>
        <v/>
      </c>
      <c r="BD62" s="441">
        <f>OBJ!B345</f>
        <v>9256918</v>
      </c>
      <c r="BE62" s="23" t="str">
        <f>VLOOKUP(BD62,CENY!$B$11:$G$1034,2,FALSE)</f>
        <v>QUADRO YOU PLNOVÝSUV 500 MM EB21 PUSH TO OPEN PRAVÝ</v>
      </c>
      <c r="BF62" s="24">
        <f>VLOOKUP(BD62,CENY!$B$11:$G$1034,3,FALSE)</f>
        <v>20</v>
      </c>
      <c r="BG62" s="24"/>
      <c r="BH62" s="25">
        <f>AY41</f>
        <v>0</v>
      </c>
      <c r="BI62" s="451">
        <f t="shared" si="2"/>
        <v>0</v>
      </c>
      <c r="BJ62" s="107">
        <f>VLOOKUP(BD62,CENY!$B$11:$M$2005,12,FALSE)</f>
        <v>210.06</v>
      </c>
      <c r="BK62" s="107">
        <f t="shared" si="4"/>
        <v>0</v>
      </c>
    </row>
    <row r="63" spans="47:63" ht="14.4" customHeight="1">
      <c r="AU63" s="22"/>
      <c r="AV63" s="23"/>
      <c r="AW63" s="24"/>
      <c r="AX63" s="24"/>
      <c r="AY63" s="25"/>
      <c r="AZ63" s="451" t="str">
        <f t="shared" si="1"/>
        <v/>
      </c>
      <c r="BA63" s="107"/>
      <c r="BB63" s="107" t="str">
        <f t="shared" si="5"/>
        <v/>
      </c>
      <c r="BD63" s="441">
        <f>OBJ!B346</f>
        <v>9256921</v>
      </c>
      <c r="BE63" s="23" t="str">
        <f>VLOOKUP(BD63,CENY!$B$11:$G$1034,2,FALSE)</f>
        <v>QUADRO YOU PLNOVÝSUV 550 MM EB21 PUSH TO OPEN LEVÝ</v>
      </c>
      <c r="BF63" s="24">
        <f>VLOOKUP(BD63,CENY!$B$11:$G$1034,3,FALSE)</f>
        <v>20</v>
      </c>
      <c r="BG63" s="24"/>
      <c r="BH63" s="25">
        <f>AY42</f>
        <v>0</v>
      </c>
      <c r="BI63" s="451">
        <f t="shared" si="2"/>
        <v>0</v>
      </c>
      <c r="BJ63" s="107">
        <f>VLOOKUP(BD63,CENY!$B$11:$M$2005,12,FALSE)</f>
        <v>216.78</v>
      </c>
      <c r="BK63" s="107">
        <f t="shared" si="4"/>
        <v>0</v>
      </c>
    </row>
    <row r="64" spans="47:63" ht="14.4" customHeight="1">
      <c r="AU64" s="22"/>
      <c r="AV64" s="23"/>
      <c r="AW64" s="24"/>
      <c r="AX64" s="24"/>
      <c r="AY64" s="25"/>
      <c r="AZ64" s="451" t="str">
        <f t="shared" si="1"/>
        <v/>
      </c>
      <c r="BA64" s="107"/>
      <c r="BB64" s="107" t="str">
        <f t="shared" si="5"/>
        <v/>
      </c>
      <c r="BD64" s="441">
        <f>OBJ!B347</f>
        <v>9256922</v>
      </c>
      <c r="BE64" s="23" t="str">
        <f>VLOOKUP(BD64,CENY!$B$11:$G$1034,2,FALSE)</f>
        <v>QUADRO YOU PLNOVÝSUV 550 MM EB21 PUSH TO OPEN PRAVÝ</v>
      </c>
      <c r="BF64" s="24">
        <f>VLOOKUP(BD64,CENY!$B$11:$G$1034,3,FALSE)</f>
        <v>20</v>
      </c>
      <c r="BG64" s="24"/>
      <c r="BH64" s="25">
        <f>AY42</f>
        <v>0</v>
      </c>
      <c r="BI64" s="451">
        <f t="shared" si="2"/>
        <v>0</v>
      </c>
      <c r="BJ64" s="107">
        <f>VLOOKUP(BD64,CENY!$B$11:$M$2005,12,FALSE)</f>
        <v>216.78</v>
      </c>
      <c r="BK64" s="107">
        <f t="shared" si="4"/>
        <v>0</v>
      </c>
    </row>
    <row r="65" spans="47:63" ht="14.4" customHeight="1">
      <c r="AU65" s="22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5"/>
        <v/>
      </c>
      <c r="BD65" s="441"/>
      <c r="BE65" s="23"/>
      <c r="BF65" s="24"/>
      <c r="BG65" s="24"/>
      <c r="BH65" s="25"/>
      <c r="BI65" s="451" t="str">
        <f t="shared" si="2"/>
        <v/>
      </c>
      <c r="BJ65" s="107"/>
      <c r="BK65" s="107" t="str">
        <f t="shared" si="4"/>
        <v/>
      </c>
    </row>
    <row r="66" spans="47:63" ht="14.4" customHeight="1">
      <c r="AU66" s="22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5"/>
        <v/>
      </c>
      <c r="BD66" s="441">
        <f>OBJ!B351</f>
        <v>9219966</v>
      </c>
      <c r="BE66" s="23" t="str">
        <f>VLOOKUP(BD66,CENY!$B$11:$G$1034,2,FALSE)</f>
        <v>PUSH TO OPEN SYNCHRO ADAPTÉR TYP A</v>
      </c>
      <c r="BF66" s="24">
        <f>VLOOKUP(BD66,CENY!$B$11:$G$1034,3,FALSE)</f>
        <v>200</v>
      </c>
      <c r="BG66" s="24"/>
      <c r="BH66" s="25">
        <f>AY44</f>
        <v>0</v>
      </c>
      <c r="BI66" s="451">
        <f t="shared" si="2"/>
        <v>0</v>
      </c>
      <c r="BJ66" s="107">
        <f>VLOOKUP(BD66,CENY!$B$11:$M$2005,12,FALSE)</f>
        <v>13.07</v>
      </c>
      <c r="BK66" s="107">
        <f t="shared" si="4"/>
        <v>0</v>
      </c>
    </row>
    <row r="67" spans="47:63" ht="14.4" customHeight="1">
      <c r="AU67" s="22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si="5"/>
        <v/>
      </c>
      <c r="BD67" s="441"/>
      <c r="BE67" s="23"/>
      <c r="BF67" s="24"/>
      <c r="BG67" s="24"/>
      <c r="BH67" s="25"/>
      <c r="BI67" s="451" t="str">
        <f t="shared" si="2"/>
        <v/>
      </c>
      <c r="BJ67" s="107"/>
      <c r="BK67" s="107" t="str">
        <f t="shared" si="4"/>
        <v/>
      </c>
    </row>
    <row r="68" spans="47:63" ht="14.4" customHeight="1">
      <c r="AU68" s="22"/>
      <c r="AV68" s="23"/>
      <c r="AW68" s="24"/>
      <c r="AX68" s="24"/>
      <c r="AY68" s="25"/>
      <c r="AZ68" s="451" t="str">
        <f t="shared" si="1"/>
        <v/>
      </c>
      <c r="BA68" s="107"/>
      <c r="BB68" s="107" t="str">
        <f t="shared" si="5"/>
        <v/>
      </c>
      <c r="BD68" s="441">
        <f>OBJ!B207</f>
        <v>0</v>
      </c>
      <c r="BE68" s="23" t="e">
        <f>VLOOKUP(BD68,CENY!$B$11:$G$1034,2,FALSE)</f>
        <v>#N/A</v>
      </c>
      <c r="BF68" s="24" t="e">
        <f>VLOOKUP(BD68,CENY!$B$11:$G$1034,3,FALSE)</f>
        <v>#N/A</v>
      </c>
      <c r="BG68" s="24"/>
      <c r="BH68" s="25">
        <f>AY48</f>
        <v>0</v>
      </c>
      <c r="BI68" s="451">
        <f t="shared" si="2"/>
        <v>0</v>
      </c>
      <c r="BJ68" s="449" t="str">
        <f>IF(BD68=0,"",VLOOKUP(BD68,CENY!$B$11:$M$2005,12,FALSE))</f>
        <v/>
      </c>
      <c r="BK68" s="107" t="str">
        <f>IF(BJ68="","",BJ68*BH68)</f>
        <v/>
      </c>
    </row>
    <row r="69" spans="47:63" ht="14.4" customHeight="1">
      <c r="AU69" s="22"/>
      <c r="AV69" s="23"/>
      <c r="AW69" s="24"/>
      <c r="AX69" s="24"/>
      <c r="AY69" s="25"/>
      <c r="AZ69" s="451" t="str">
        <f t="shared" si="1"/>
        <v/>
      </c>
      <c r="BA69" s="107"/>
      <c r="BB69" s="107" t="str">
        <f t="shared" si="5"/>
        <v/>
      </c>
      <c r="BD69" s="441"/>
      <c r="BE69" s="23"/>
      <c r="BF69" s="24"/>
      <c r="BG69" s="24"/>
      <c r="BH69" s="25"/>
      <c r="BI69" s="451" t="str">
        <f t="shared" si="2"/>
        <v/>
      </c>
      <c r="BJ69" s="107"/>
      <c r="BK69" s="107" t="str">
        <f t="shared" si="4"/>
        <v/>
      </c>
    </row>
    <row r="70" spans="47:63" ht="14.4" customHeight="1">
      <c r="AU70" s="441">
        <f>OBJ!B353</f>
        <v>9278225</v>
      </c>
      <c r="AV70" s="23" t="str">
        <f>VLOOKUP(AU70,CENY!$B$11:$G$1034,2,FALSE)</f>
        <v>AVANTECH YOU VRUT 3,5X6,5 PANHEAD POZINK.</v>
      </c>
      <c r="AW70" s="24">
        <f>VLOOKUP(AU70,CENY!$B$11:$G$1034,3,FALSE)</f>
        <v>200</v>
      </c>
      <c r="AX70" s="24"/>
      <c r="AY70" s="25">
        <f>SUMPRODUCT(AX5:AX8,AY5:AY8)</f>
        <v>0</v>
      </c>
      <c r="AZ70" s="451">
        <f t="shared" ref="AZ70:AZ75" si="6">IF(AY70="","",IF($AW$4=1,AY70,0))</f>
        <v>0</v>
      </c>
      <c r="BA70" s="107">
        <f>VLOOKUP(AU70,CENY!$B$11:$M$2005,12,FALSE)</f>
        <v>0.73</v>
      </c>
      <c r="BB70" s="107">
        <f t="shared" si="5"/>
        <v>0</v>
      </c>
      <c r="BC70" s="97" t="s">
        <v>512</v>
      </c>
      <c r="BD70" s="441">
        <f>OBJ!B353</f>
        <v>9278225</v>
      </c>
      <c r="BE70" s="23" t="str">
        <f>VLOOKUP(BD70,CENY!$B$11:$G$1034,2,FALSE)</f>
        <v>AVANTECH YOU VRUT 3,5X6,5 PANHEAD POZINK.</v>
      </c>
      <c r="BF70" s="24">
        <f>VLOOKUP(BD70,CENY!$B$11:$G$1034,3,FALSE)</f>
        <v>200</v>
      </c>
      <c r="BG70" s="24"/>
      <c r="BH70" s="25">
        <f>AY70+BH15*1</f>
        <v>0</v>
      </c>
      <c r="BI70" s="451">
        <f t="shared" ref="BI70:BI78" si="7">IF(BH70="","",IF($AW$4=0,BH70,0))</f>
        <v>0</v>
      </c>
      <c r="BJ70" s="107">
        <f>VLOOKUP(BD70,CENY!$B$11:$M$2005,12,FALSE)</f>
        <v>0.73</v>
      </c>
      <c r="BK70" s="107">
        <f t="shared" ref="BK70:BK75" si="8">IF(BJ70="","",BJ70*BH70)</f>
        <v>0</v>
      </c>
    </row>
    <row r="71" spans="47:63" ht="14.4" customHeight="1">
      <c r="AU71" s="441">
        <f>OBJ!B354</f>
        <v>45167</v>
      </c>
      <c r="AV71" s="23" t="str">
        <f>VLOOKUP(AU71,CENY!$B$11:$G$1034,2,FALSE)</f>
        <v>VRUT PANHEAD 35X12</v>
      </c>
      <c r="AW71" s="24">
        <f>VLOOKUP(AU71,CENY!$B$11:$G$1034,3,FALSE)</f>
        <v>200</v>
      </c>
      <c r="AX71" s="24"/>
      <c r="AY71" s="25">
        <v>0</v>
      </c>
      <c r="AZ71" s="451">
        <f t="shared" si="6"/>
        <v>0</v>
      </c>
      <c r="BA71" s="107">
        <f>VLOOKUP(AU71,CENY!$B$11:$M$2005,12,FALSE)</f>
        <v>0.54</v>
      </c>
      <c r="BB71" s="107">
        <f>IF(BA71="","",BA71*AY71)</f>
        <v>0</v>
      </c>
      <c r="BC71" s="97" t="s">
        <v>511</v>
      </c>
      <c r="BD71" s="441">
        <f>OBJ!B354</f>
        <v>45167</v>
      </c>
      <c r="BE71" s="23" t="str">
        <f>VLOOKUP(BD71,CENY!$B$11:$G$1034,2,FALSE)</f>
        <v>VRUT PANHEAD 35X12</v>
      </c>
      <c r="BF71" s="24">
        <f>VLOOKUP(BD71,CENY!$B$11:$G$1034,3,FALSE)</f>
        <v>200</v>
      </c>
      <c r="BG71" s="24"/>
      <c r="BH71" s="25">
        <f>BH15*1</f>
        <v>0</v>
      </c>
      <c r="BI71" s="451">
        <f t="shared" si="7"/>
        <v>0</v>
      </c>
      <c r="BJ71" s="107">
        <f>VLOOKUP(BD71,CENY!$B$11:$M$2005,12,FALSE)</f>
        <v>0.54</v>
      </c>
      <c r="BK71" s="107">
        <f t="shared" si="8"/>
        <v>0</v>
      </c>
    </row>
    <row r="72" spans="47:63" ht="14.4" customHeight="1">
      <c r="AU72" s="441">
        <f>OBJ!B355</f>
        <v>45168</v>
      </c>
      <c r="AV72" s="23" t="str">
        <f>VLOOKUP(AU72,CENY!$B$11:$G$1034,2,FALSE)</f>
        <v>VRUT PANHEAD 35X20</v>
      </c>
      <c r="AW72" s="24">
        <f>VLOOKUP(AU72,CENY!$B$11:$G$1034,3,FALSE)</f>
        <v>200</v>
      </c>
      <c r="AX72" s="24"/>
      <c r="AY72" s="497">
        <v>0</v>
      </c>
      <c r="AZ72" s="451">
        <f t="shared" si="6"/>
        <v>0</v>
      </c>
      <c r="BA72" s="107">
        <f>VLOOKUP(AU72,CENY!$B$11:$M$2005,12,FALSE)</f>
        <v>0.78</v>
      </c>
      <c r="BB72" s="107">
        <f>IF(BA72="","",BA72*AY72)</f>
        <v>0</v>
      </c>
      <c r="BC72" s="97" t="s">
        <v>507</v>
      </c>
      <c r="BD72" s="441">
        <f>OBJ!B355</f>
        <v>45168</v>
      </c>
      <c r="BE72" s="23" t="str">
        <f>VLOOKUP(BD72,CENY!$B$11:$G$1034,2,FALSE)</f>
        <v>VRUT PANHEAD 35X20</v>
      </c>
      <c r="BF72" s="24">
        <f>VLOOKUP(BD72,CENY!$B$11:$G$1034,3,FALSE)</f>
        <v>200</v>
      </c>
      <c r="BG72" s="24"/>
      <c r="BH72" s="497">
        <f>IF(FORM!$AM$8=FORM!$AU$10,BH14*2,0)</f>
        <v>0</v>
      </c>
      <c r="BI72" s="451">
        <f t="shared" si="7"/>
        <v>0</v>
      </c>
      <c r="BJ72" s="107">
        <f>VLOOKUP(BD72,CENY!$B$11:$M$2005,12,FALSE)</f>
        <v>0.78</v>
      </c>
      <c r="BK72" s="107">
        <f t="shared" si="8"/>
        <v>0</v>
      </c>
    </row>
    <row r="73" spans="47:63" ht="14.4" customHeight="1">
      <c r="AU73" s="441">
        <f>OBJ!B356</f>
        <v>9278224</v>
      </c>
      <c r="AV73" s="23" t="str">
        <f>VLOOKUP(AU73,CENY!$B$11:$G$1034,2,FALSE)</f>
        <v>AVANTECH YOU VRUT 3,5X30 PANHEAD POZINK.</v>
      </c>
      <c r="AW73" s="24">
        <f>VLOOKUP(AU73,CENY!$B$11:$G$1034,3,FALSE)</f>
        <v>200</v>
      </c>
      <c r="AX73" s="24"/>
      <c r="AY73" s="497">
        <v>0</v>
      </c>
      <c r="AZ73" s="451">
        <f t="shared" si="6"/>
        <v>0</v>
      </c>
      <c r="BA73" s="107">
        <f>VLOOKUP(AU73,CENY!$B$11:$M$2005,12,FALSE)</f>
        <v>0.73</v>
      </c>
      <c r="BB73" s="107">
        <f>IF(BA73="","",BA73*AY73)</f>
        <v>0</v>
      </c>
      <c r="BC73" s="97" t="s">
        <v>508</v>
      </c>
      <c r="BD73" s="441">
        <f>OBJ!B356</f>
        <v>9278224</v>
      </c>
      <c r="BE73" s="23" t="str">
        <f>VLOOKUP(BD73,CENY!$B$11:$G$1034,2,FALSE)</f>
        <v>AVANTECH YOU VRUT 3,5X30 PANHEAD POZINK.</v>
      </c>
      <c r="BF73" s="24">
        <f>VLOOKUP(BD73,CENY!$B$11:$G$1034,3,FALSE)</f>
        <v>200</v>
      </c>
      <c r="BG73" s="24"/>
      <c r="BH73" s="497">
        <f>SUM(BH5:BH12)</f>
        <v>0</v>
      </c>
      <c r="BI73" s="451">
        <f t="shared" si="7"/>
        <v>0</v>
      </c>
      <c r="BJ73" s="107">
        <f>VLOOKUP(BD73,CENY!$B$11:$M$2005,12,FALSE)</f>
        <v>0.73</v>
      </c>
      <c r="BK73" s="107">
        <f t="shared" si="8"/>
        <v>0</v>
      </c>
    </row>
    <row r="74" spans="47:63" ht="14.4" customHeight="1">
      <c r="AU74" s="441">
        <f>OBJ!B357</f>
        <v>9279197</v>
      </c>
      <c r="AV74" s="23" t="str">
        <f>VLOOKUP(AU74,CENY!$B$11:$G$1034,2,FALSE)</f>
        <v>SAMOŘEZNÝ ŠROUB 3,5X12 PANHEAD POZINK.</v>
      </c>
      <c r="AW74" s="24">
        <f>VLOOKUP(AU74,CENY!$B$11:$G$1034,3,FALSE)</f>
        <v>1000</v>
      </c>
      <c r="AX74" s="24"/>
      <c r="AY74" s="77">
        <v>0</v>
      </c>
      <c r="AZ74" s="451">
        <f t="shared" si="6"/>
        <v>0</v>
      </c>
      <c r="BA74" s="107">
        <f>VLOOKUP(AU74,CENY!$B$11:$M$2005,12,FALSE)</f>
        <v>1.51</v>
      </c>
      <c r="BB74" s="107">
        <f>IF(BA74="","",BA74*AY74)</f>
        <v>0</v>
      </c>
      <c r="BC74" s="97" t="s">
        <v>509</v>
      </c>
      <c r="BD74" s="441">
        <f>OBJ!B357</f>
        <v>9279197</v>
      </c>
      <c r="BE74" s="23" t="str">
        <f>VLOOKUP(BD74,CENY!$B$11:$G$1034,2,FALSE)</f>
        <v>SAMOŘEZNÝ ŠROUB 3,5X12 PANHEAD POZINK.</v>
      </c>
      <c r="BF74" s="24">
        <f>VLOOKUP(BD74,CENY!$B$11:$G$1034,3,FALSE)</f>
        <v>1000</v>
      </c>
      <c r="BG74" s="24"/>
      <c r="BH74" s="77">
        <f>AY74</f>
        <v>0</v>
      </c>
      <c r="BI74" s="451">
        <f t="shared" si="7"/>
        <v>0</v>
      </c>
      <c r="BJ74" s="107">
        <f>VLOOKUP(BD74,CENY!$B$11:$M$2005,12,FALSE)</f>
        <v>1.51</v>
      </c>
      <c r="BK74" s="107">
        <f t="shared" si="8"/>
        <v>0</v>
      </c>
    </row>
    <row r="75" spans="47:63" ht="14.4" customHeight="1">
      <c r="AU75" s="441">
        <f>OBJ!B358</f>
        <v>9137114</v>
      </c>
      <c r="AV75" s="23" t="str">
        <f>VLOOKUP(AU75,CENY!$B$11:$G$1034,2,FALSE)</f>
        <v>EUROŠROUB DBS 60 X 14</v>
      </c>
      <c r="AW75" s="24">
        <f>VLOOKUP(AU75,CENY!$B$11:$G$1034,3,FALSE)</f>
        <v>200</v>
      </c>
      <c r="AX75" s="24"/>
      <c r="AY75" s="25">
        <f>SUMPRODUCT(AX15:AX42,AY15:AY42)</f>
        <v>0</v>
      </c>
      <c r="AZ75" s="451">
        <f t="shared" si="6"/>
        <v>0</v>
      </c>
      <c r="BA75" s="107">
        <f>VLOOKUP(AU75,CENY!$B$11:$M$2005,12,FALSE)</f>
        <v>1.2</v>
      </c>
      <c r="BB75" s="107">
        <f>IF(BA75="","",BA75*AY75)</f>
        <v>0</v>
      </c>
      <c r="BC75" s="97" t="s">
        <v>510</v>
      </c>
      <c r="BD75" s="441">
        <f>OBJ!B358</f>
        <v>9137114</v>
      </c>
      <c r="BE75" s="23" t="str">
        <f>VLOOKUP(BD75,CENY!$B$11:$G$1034,2,FALSE)</f>
        <v>EUROŠROUB DBS 60 X 14</v>
      </c>
      <c r="BF75" s="24">
        <f>VLOOKUP(BD75,CENY!$B$11:$G$1034,3,FALSE)</f>
        <v>200</v>
      </c>
      <c r="BG75" s="24"/>
      <c r="BH75" s="25">
        <f>AY75</f>
        <v>0</v>
      </c>
      <c r="BI75" s="451">
        <f t="shared" si="7"/>
        <v>0</v>
      </c>
      <c r="BJ75" s="107">
        <f>VLOOKUP(BD75,CENY!$B$11:$M$2005,12,FALSE)</f>
        <v>1.2</v>
      </c>
      <c r="BK75" s="107">
        <f t="shared" si="8"/>
        <v>0</v>
      </c>
    </row>
    <row r="76" spans="47:63" ht="14.4" customHeight="1">
      <c r="AU76" s="22"/>
      <c r="AV76" s="23"/>
      <c r="AW76" s="24"/>
      <c r="AX76" s="24"/>
      <c r="AY76" s="25"/>
      <c r="AZ76" s="451" t="str">
        <f>IF(AY76="","",IF($AW$4=1,AY76,0))</f>
        <v/>
      </c>
      <c r="BA76" s="107"/>
      <c r="BB76" s="107" t="str">
        <f t="shared" si="5"/>
        <v/>
      </c>
      <c r="BD76" s="441"/>
      <c r="BE76" s="23"/>
      <c r="BF76" s="24"/>
      <c r="BG76" s="24"/>
      <c r="BH76" s="25"/>
      <c r="BI76" s="451" t="str">
        <f t="shared" si="7"/>
        <v/>
      </c>
      <c r="BJ76" s="107"/>
      <c r="BK76" s="107" t="str">
        <f t="shared" si="4"/>
        <v/>
      </c>
    </row>
    <row r="77" spans="47:63" ht="14.4" customHeight="1">
      <c r="AU77" s="22"/>
      <c r="AV77" s="23"/>
      <c r="AW77" s="24"/>
      <c r="AX77" s="24"/>
      <c r="AY77" s="25"/>
      <c r="AZ77" s="451" t="str">
        <f>IF(AY77="","",IF($AW$4=1,AY77,0))</f>
        <v/>
      </c>
      <c r="BA77" s="107"/>
      <c r="BB77" s="107" t="str">
        <f t="shared" si="5"/>
        <v/>
      </c>
      <c r="BD77" s="441"/>
      <c r="BE77" s="23"/>
      <c r="BF77" s="24"/>
      <c r="BG77" s="24"/>
      <c r="BH77" s="25"/>
      <c r="BI77" s="451" t="str">
        <f t="shared" si="7"/>
        <v/>
      </c>
      <c r="BJ77" s="107"/>
      <c r="BK77" s="107" t="str">
        <f>IF(BJ77="","",BJ77*BH77)</f>
        <v/>
      </c>
    </row>
    <row r="78" spans="47:63" ht="14.4" customHeight="1">
      <c r="AU78" s="22"/>
      <c r="AV78" s="23"/>
      <c r="AW78" s="24"/>
      <c r="AX78" s="24"/>
      <c r="AY78" s="25"/>
      <c r="AZ78" s="451" t="str">
        <f>IF(AY78="","",IF($AW$4=1,AY78,0))</f>
        <v/>
      </c>
      <c r="BA78" s="107"/>
      <c r="BB78" s="107" t="str">
        <f>IF(BA78="","",BA78*AY78)</f>
        <v/>
      </c>
      <c r="BD78" s="441"/>
      <c r="BE78" s="23"/>
      <c r="BF78" s="24"/>
      <c r="BG78" s="24"/>
      <c r="BH78" s="25"/>
      <c r="BI78" s="451" t="str">
        <f t="shared" si="7"/>
        <v/>
      </c>
      <c r="BJ78" s="107"/>
      <c r="BK78" s="107" t="str">
        <f>IF(BJ78="","",BJ78*BH78)</f>
        <v/>
      </c>
    </row>
    <row r="79" spans="47:63" ht="14.4" customHeight="1"/>
    <row r="80" spans="47:63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</sheetData>
  <sheetProtection password="DD97" sheet="1"/>
  <mergeCells count="106">
    <mergeCell ref="U28:V28"/>
    <mergeCell ref="W28:X28"/>
    <mergeCell ref="Y28:Z28"/>
    <mergeCell ref="AA28:AB28"/>
    <mergeCell ref="AA30:AB30"/>
    <mergeCell ref="AC28:AD28"/>
    <mergeCell ref="AN28:AO28"/>
    <mergeCell ref="B28:G28"/>
    <mergeCell ref="H28:L28"/>
    <mergeCell ref="M28:N28"/>
    <mergeCell ref="O28:P28"/>
    <mergeCell ref="Q28:R28"/>
    <mergeCell ref="S28:T28"/>
    <mergeCell ref="AC30:AD30"/>
    <mergeCell ref="AN29:AO29"/>
    <mergeCell ref="B30:G30"/>
    <mergeCell ref="H30:L30"/>
    <mergeCell ref="M30:N30"/>
    <mergeCell ref="O30:P30"/>
    <mergeCell ref="Q30:R30"/>
    <mergeCell ref="S30:T30"/>
    <mergeCell ref="U30:V30"/>
    <mergeCell ref="W30:X30"/>
    <mergeCell ref="Y30:Z30"/>
    <mergeCell ref="B27:G27"/>
    <mergeCell ref="H27:L27"/>
    <mergeCell ref="M27:N27"/>
    <mergeCell ref="AN27:AO27"/>
    <mergeCell ref="O26:P26"/>
    <mergeCell ref="Q26:R26"/>
    <mergeCell ref="S26:T26"/>
    <mergeCell ref="U26:V26"/>
    <mergeCell ref="W26:X26"/>
    <mergeCell ref="Y26:Z26"/>
    <mergeCell ref="Y22:Z22"/>
    <mergeCell ref="AA22:AB22"/>
    <mergeCell ref="AC22:AD22"/>
    <mergeCell ref="AA26:AB26"/>
    <mergeCell ref="AC26:AD26"/>
    <mergeCell ref="AE22:AF22"/>
    <mergeCell ref="AN22:AO22"/>
    <mergeCell ref="AI25:AO25"/>
    <mergeCell ref="AN20:AO20"/>
    <mergeCell ref="AN21:AO21"/>
    <mergeCell ref="Y20:Z20"/>
    <mergeCell ref="AA20:AB20"/>
    <mergeCell ref="AC20:AD20"/>
    <mergeCell ref="AE20:AF20"/>
    <mergeCell ref="AI26:AO26"/>
    <mergeCell ref="B22:G22"/>
    <mergeCell ref="H22:L22"/>
    <mergeCell ref="M22:N22"/>
    <mergeCell ref="O22:P22"/>
    <mergeCell ref="Q22:R22"/>
    <mergeCell ref="S22:T22"/>
    <mergeCell ref="U22:V22"/>
    <mergeCell ref="W22:X22"/>
    <mergeCell ref="U20:V20"/>
    <mergeCell ref="W20:X20"/>
    <mergeCell ref="B20:G20"/>
    <mergeCell ref="H20:L20"/>
    <mergeCell ref="M20:N20"/>
    <mergeCell ref="O20:P20"/>
    <mergeCell ref="Q20:R20"/>
    <mergeCell ref="S20:T20"/>
    <mergeCell ref="AE18:AF18"/>
    <mergeCell ref="AI18:AO18"/>
    <mergeCell ref="B19:G19"/>
    <mergeCell ref="H19:L19"/>
    <mergeCell ref="M19:N19"/>
    <mergeCell ref="AN19:AO19"/>
    <mergeCell ref="O17:AF17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B12:E12"/>
    <mergeCell ref="F12:I12"/>
    <mergeCell ref="J12:K12"/>
    <mergeCell ref="B13:E13"/>
    <mergeCell ref="F13:I13"/>
    <mergeCell ref="J13:K13"/>
    <mergeCell ref="B9:E9"/>
    <mergeCell ref="F9:K9"/>
    <mergeCell ref="B10:E10"/>
    <mergeCell ref="F10:K10"/>
    <mergeCell ref="B11:E11"/>
    <mergeCell ref="F11:K11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U2:Y2"/>
    <mergeCell ref="AA2:AE2"/>
    <mergeCell ref="AI2:AM2"/>
  </mergeCells>
  <conditionalFormatting sqref="BH5:BI5 AY5:AZ8 AY10:AY35 AY38 BH6:BH14 BH16:BH51 BH56:BH64 AY66:AY69 AZ10:AZ69 BI6:BI69 AY76:AZ78 BH76:BI78">
    <cfRule type="cellIs" dxfId="717" priority="35" stopIfTrue="1" operator="equal">
      <formula>0</formula>
    </cfRule>
  </conditionalFormatting>
  <conditionalFormatting sqref="O17:AF17 U20:AB20 W22:AB22 U28:AB28 U30:AB30 AI25:AO25 AI17:AO17">
    <cfRule type="expression" dxfId="716" priority="34" stopIfTrue="1">
      <formula>$AW$4=0</formula>
    </cfRule>
  </conditionalFormatting>
  <conditionalFormatting sqref="AY44:AY45 AY47 AY49:AY51">
    <cfRule type="cellIs" dxfId="715" priority="32" stopIfTrue="1" operator="equal">
      <formula>0</formula>
    </cfRule>
  </conditionalFormatting>
  <conditionalFormatting sqref="AY52">
    <cfRule type="cellIs" dxfId="714" priority="31" stopIfTrue="1" operator="equal">
      <formula>0</formula>
    </cfRule>
  </conditionalFormatting>
  <conditionalFormatting sqref="AY56:AY65">
    <cfRule type="cellIs" dxfId="713" priority="30" stopIfTrue="1" operator="equal">
      <formula>0</formula>
    </cfRule>
  </conditionalFormatting>
  <conditionalFormatting sqref="BH15">
    <cfRule type="cellIs" dxfId="712" priority="29" stopIfTrue="1" operator="equal">
      <formula>0</formula>
    </cfRule>
  </conditionalFormatting>
  <conditionalFormatting sqref="AY39:AY42">
    <cfRule type="cellIs" dxfId="711" priority="26" stopIfTrue="1" operator="equal">
      <formula>0</formula>
    </cfRule>
  </conditionalFormatting>
  <conditionalFormatting sqref="AY43">
    <cfRule type="cellIs" dxfId="710" priority="24" stopIfTrue="1" operator="equal">
      <formula>0</formula>
    </cfRule>
  </conditionalFormatting>
  <conditionalFormatting sqref="AY46">
    <cfRule type="cellIs" dxfId="709" priority="23" stopIfTrue="1" operator="equal">
      <formula>0</formula>
    </cfRule>
  </conditionalFormatting>
  <conditionalFormatting sqref="AY53:AY55">
    <cfRule type="cellIs" dxfId="708" priority="22" stopIfTrue="1" operator="equal">
      <formula>0</formula>
    </cfRule>
  </conditionalFormatting>
  <conditionalFormatting sqref="BH52:BH55">
    <cfRule type="cellIs" dxfId="707" priority="21" stopIfTrue="1" operator="equal">
      <formula>0</formula>
    </cfRule>
  </conditionalFormatting>
  <conditionalFormatting sqref="BH65:BH67 BH69">
    <cfRule type="cellIs" dxfId="706" priority="20" stopIfTrue="1" operator="equal">
      <formula>0</formula>
    </cfRule>
  </conditionalFormatting>
  <conditionalFormatting sqref="AY36:AY37">
    <cfRule type="cellIs" dxfId="705" priority="18" stopIfTrue="1" operator="equal">
      <formula>0</formula>
    </cfRule>
  </conditionalFormatting>
  <conditionalFormatting sqref="AY48">
    <cfRule type="cellIs" dxfId="704" priority="15" stopIfTrue="1" operator="equal">
      <formula>0</formula>
    </cfRule>
  </conditionalFormatting>
  <conditionalFormatting sqref="BH68">
    <cfRule type="cellIs" dxfId="703" priority="14" stopIfTrue="1" operator="equal">
      <formula>0</formula>
    </cfRule>
  </conditionalFormatting>
  <conditionalFormatting sqref="F13:K13">
    <cfRule type="expression" dxfId="702" priority="13" stopIfTrue="1">
      <formula>$AW$4=1</formula>
    </cfRule>
  </conditionalFormatting>
  <conditionalFormatting sqref="AY9">
    <cfRule type="cellIs" dxfId="701" priority="11" stopIfTrue="1" operator="equal">
      <formula>0</formula>
    </cfRule>
  </conditionalFormatting>
  <conditionalFormatting sqref="AZ9">
    <cfRule type="cellIs" dxfId="700" priority="10" stopIfTrue="1" operator="equal">
      <formula>0</formula>
    </cfRule>
  </conditionalFormatting>
  <conditionalFormatting sqref="AZ71:AZ75">
    <cfRule type="cellIs" dxfId="699" priority="9" stopIfTrue="1" operator="equal">
      <formula>0</formula>
    </cfRule>
  </conditionalFormatting>
  <conditionalFormatting sqref="AY71:AY75">
    <cfRule type="cellIs" dxfId="698" priority="8" stopIfTrue="1" operator="equal">
      <formula>0</formula>
    </cfRule>
  </conditionalFormatting>
  <conditionalFormatting sqref="BH71 BH74:BH75">
    <cfRule type="cellIs" dxfId="697" priority="7" stopIfTrue="1" operator="equal">
      <formula>0</formula>
    </cfRule>
  </conditionalFormatting>
  <conditionalFormatting sqref="BI71:BI75">
    <cfRule type="cellIs" dxfId="696" priority="6" stopIfTrue="1" operator="equal">
      <formula>0</formula>
    </cfRule>
  </conditionalFormatting>
  <conditionalFormatting sqref="BH72:BH73">
    <cfRule type="cellIs" dxfId="695" priority="5" stopIfTrue="1" operator="equal">
      <formula>0</formula>
    </cfRule>
  </conditionalFormatting>
  <conditionalFormatting sqref="AZ70">
    <cfRule type="cellIs" dxfId="694" priority="4" stopIfTrue="1" operator="equal">
      <formula>0</formula>
    </cfRule>
  </conditionalFormatting>
  <conditionalFormatting sqref="AY70">
    <cfRule type="cellIs" dxfId="693" priority="3" stopIfTrue="1" operator="equal">
      <formula>0</formula>
    </cfRule>
  </conditionalFormatting>
  <conditionalFormatting sqref="BH70">
    <cfRule type="cellIs" dxfId="692" priority="2" stopIfTrue="1" operator="equal">
      <formula>0</formula>
    </cfRule>
  </conditionalFormatting>
  <conditionalFormatting sqref="BI70">
    <cfRule type="cellIs" dxfId="691" priority="1" stopIfTrue="1" operator="equal">
      <formula>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rgb="FF92D050"/>
  </sheetPr>
  <dimension ref="A1:BI160"/>
  <sheetViews>
    <sheetView showGridLines="0" showRowColHeaders="0" zoomScaleNormal="100" workbookViewId="0"/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>
        <f>AP9</f>
        <v>0</v>
      </c>
    </row>
    <row r="2" spans="1:61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257" t="s">
        <v>239</v>
      </c>
      <c r="AY2" s="256">
        <f>AP6</f>
        <v>2</v>
      </c>
    </row>
    <row r="3" spans="1:61" ht="12.9" customHeight="1">
      <c r="AV3" s="255"/>
      <c r="AW3" s="257" t="s">
        <v>240</v>
      </c>
      <c r="AY3" s="256">
        <f>AP15</f>
        <v>2</v>
      </c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AP12</f>
        <v>0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 thickBot="1">
      <c r="AU5" s="22">
        <f>OBJ!B25</f>
        <v>9255242</v>
      </c>
      <c r="AV5" s="23" t="str">
        <f>VLOOKUP(AU5,CENY!$B$11:$G$1034,2,FALSE)</f>
        <v>AVANTECH YOU BOKY V SADĚ V77 MM NL500 MM STŘÍBRNÁ</v>
      </c>
      <c r="AW5" s="24">
        <f>VLOOKUP(AU5,CENY!$B$11:$G$1034,3,FALSE)</f>
        <v>1</v>
      </c>
      <c r="AX5" s="24"/>
      <c r="AY5" s="77"/>
      <c r="AZ5" s="107">
        <f>VLOOKUP(AU5,CENY!$B$11:$M$2005,12,FALSE)</f>
        <v>576.28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AVANTECH YOU BOK V101 MM NL550 MM STŘÍBRNÝ LEVÝ</v>
      </c>
      <c r="BE5" s="24">
        <f>VLOOKUP(BC5,CENY!$B$11:$G$1034,3,FALSE)</f>
        <v>20</v>
      </c>
      <c r="BF5" s="24"/>
      <c r="BG5" s="77"/>
      <c r="BH5" s="107">
        <f>VLOOKUP(BC5,CENY!$B$11:$M$2005,12,FALSE)</f>
        <v>196.37</v>
      </c>
      <c r="BI5" s="107">
        <f t="shared" ref="BI5:BI91" si="1">IF(BH5="","",BH5*BG5)</f>
        <v>0</v>
      </c>
    </row>
    <row r="6" spans="1:61" ht="14.4" customHeight="1" thickBot="1">
      <c r="B6" s="553" t="str">
        <f>" "&amp;verze!E90</f>
        <v xml:space="preserve"> bočnice: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 t="s">
        <v>299</v>
      </c>
      <c r="AP6" s="602">
        <v>2</v>
      </c>
      <c r="AQ6" s="603"/>
      <c r="AU6" s="22">
        <f>OBJ!B26</f>
        <v>9255243</v>
      </c>
      <c r="AV6" s="23" t="str">
        <f>VLOOKUP(AU6,CENY!$B$11:$G$1034,2,FALSE)</f>
        <v>AVANTECH YOU BOKY V SADĚ V77 MM NL550 MM STŘÍBRNÁ</v>
      </c>
      <c r="AW6" s="24">
        <f>VLOOKUP(AU6,CENY!$B$11:$G$1034,3,FALSE)</f>
        <v>1</v>
      </c>
      <c r="AX6" s="24"/>
      <c r="AY6" s="77"/>
      <c r="AZ6" s="107">
        <f>VLOOKUP(AU6,CENY!$B$11:$M$2005,12,FALSE)</f>
        <v>583.24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AVANTECH YOU BOK V101 MM NL550 MM STŘÍBRNÝ PRAVÝ</v>
      </c>
      <c r="BE6" s="24">
        <f>VLOOKUP(BC6,CENY!$B$11:$G$1034,3,FALSE)</f>
        <v>20</v>
      </c>
      <c r="BF6" s="24"/>
      <c r="BG6" s="77"/>
      <c r="BH6" s="107">
        <f>VLOOKUP(BC6,CENY!$B$11:$M$2005,12,FALSE)</f>
        <v>196.37</v>
      </c>
      <c r="BI6" s="107">
        <f t="shared" si="1"/>
        <v>0</v>
      </c>
    </row>
    <row r="7" spans="1:61" ht="14.4" customHeight="1">
      <c r="B7" s="553" t="str">
        <f>" "&amp;verze!E91</f>
        <v xml:space="preserve"> záda: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SPOJOVACI ÚHELNÍK 31X31 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5.96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AVANTECH YOU BOK V101 MM NL600 MM STŘÍBRNÝ LEVÝ</v>
      </c>
      <c r="BE7" s="24">
        <f>VLOOKUP(BC7,CENY!$B$11:$G$1034,3,FALSE)</f>
        <v>20</v>
      </c>
      <c r="BF7" s="24"/>
      <c r="BG7" s="77"/>
      <c r="BH7" s="107">
        <f>VLOOKUP(BC7,CENY!$B$11:$M$2005,12,FALSE)</f>
        <v>201.36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barva:</v>
      </c>
      <c r="C8" s="553"/>
      <c r="D8" s="553"/>
      <c r="E8" s="553"/>
      <c r="F8" s="554" t="str">
        <f>" "&amp;FORM!U8</f>
        <v xml:space="preserve"> stříbrná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AVANTECH YOU BOK V101 MM NL600 MM STŘÍBRNÝ PRAVÝ</v>
      </c>
      <c r="BE8" s="24">
        <f>VLOOKUP(BC8,CENY!$B$11:$G$1034,3,FALSE)</f>
        <v>20</v>
      </c>
      <c r="BF8" s="24"/>
      <c r="BG8" s="77"/>
      <c r="BH8" s="107">
        <f>VLOOKUP(BC8,CENY!$B$11:$M$2005,12,FALSE)</f>
        <v>201.36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0</v>
      </c>
      <c r="AQ9" s="603"/>
      <c r="AU9" s="22">
        <f>OBJ!B29</f>
        <v>9255000</v>
      </c>
      <c r="AV9" s="23" t="str">
        <f>VLOOKUP(AU9,CENY!$B$11:$G$1034,2,FALSE)</f>
        <v>AVANTECH YOU BOK V77 MM NL400 MM STŘÍBRNÝ LEVÝ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186.44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AVANTECH YOU BOK V101 MM NL650 MM STŘÍBRNÝ LEVÝ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208.15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čelní kování:</v>
      </c>
      <c r="C10" s="553"/>
      <c r="D10" s="553"/>
      <c r="E10" s="553"/>
      <c r="F10" s="554" t="str">
        <f>" "&amp;FORM!AM8</f>
        <v xml:space="preserve"> na vruty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AVANTECH YOU BOK V77 MM NL400 MM STŘÍBRNÝ PRAVÝ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186.44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AVANTECH YOU BOK V101 MM NL650 MM STŘÍBRNÝ PRAVÝ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208.15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kování: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CZK</v>
      </c>
      <c r="K11" s="609"/>
      <c r="AU11" s="22">
        <f>OBJ!B31</f>
        <v>9255002</v>
      </c>
      <c r="AV11" s="23" t="str">
        <f>VLOOKUP(AU11,CENY!$B$11:$G$1034,2,FALSE)</f>
        <v>AVANTECH YOU BOK V77 MM NL450 MM STŘÍBRNÝ LEVÝ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189.75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CZK</v>
      </c>
      <c r="K12" s="605"/>
      <c r="AO12" s="287" t="s">
        <v>299</v>
      </c>
      <c r="AP12" s="602">
        <v>0</v>
      </c>
      <c r="AQ12" s="603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AVANTECH YOU DEKORATIVNÍ PROFIL NL270 MM STŘÍBRNÝ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9.18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 t="e">
        <f>SUM(BA77:BA100)</f>
        <v>#N/A</v>
      </c>
      <c r="G13" s="606"/>
      <c r="H13" s="606"/>
      <c r="I13" s="606"/>
      <c r="J13" s="607" t="str">
        <f>IF(verze!E1="CZK","CZK","EUR")</f>
        <v>CZK</v>
      </c>
      <c r="K13" s="607"/>
      <c r="AU13" s="22">
        <f>OBJ!B34</f>
        <v>9255005</v>
      </c>
      <c r="AV13" s="23" t="str">
        <f>VLOOKUP(AU13,CENY!$B$11:$G$1034,2,FALSE)</f>
        <v>AVANTECH YOU BOK V77 MM NL500 MM STŘÍBRNÝ PRAVÝ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193.06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AVANTECH YOU DEKORATIVNÍ PROFIL NL300 MM STŘÍBRNÝ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9.2799999999999994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AVANTECH YOU BOK V77 MM NL550 MM STŘÍBRNÝ LEVÝ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196.37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AVANTECH YOU DEKORATIVNÍ PROFIL NL350 MM STŘÍBRNÝ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9.4499999999999993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AVANTECH YOU DEKORATIVNÍ PROFIL NL400 MM STŘÍBRNÝ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9.6199999999999992</v>
      </c>
      <c r="BI15" s="107">
        <f t="shared" si="1"/>
        <v>0</v>
      </c>
    </row>
    <row r="16" spans="1:61" ht="14.4" customHeight="1">
      <c r="AU16" s="22">
        <f>OBJ!B39</f>
        <v>9255244</v>
      </c>
      <c r="AV16" s="23" t="str">
        <f>VLOOKUP(AU16,CENY!$B$11:$G$1034,2,FALSE)</f>
        <v>AVANTECH YOU BOKY V SADĚ V101 MM NL270 MM STŘÍBRNÁ</v>
      </c>
      <c r="AW16" s="24">
        <f>VLOOKUP(AU16,CENY!$B$11:$G$1034,3,FALSE)</f>
        <v>1</v>
      </c>
      <c r="AX16" s="24"/>
      <c r="AY16" s="25">
        <f>(AY3)*(S19+S20+S21+S26+S27)</f>
        <v>0</v>
      </c>
      <c r="AZ16" s="107">
        <f>VLOOKUP(AU16,CENY!$B$11:$M$2005,12,FALSE)</f>
        <v>561.98</v>
      </c>
      <c r="BA16" s="107">
        <f t="shared" si="0"/>
        <v>0</v>
      </c>
      <c r="BC16" s="22">
        <f>OBJ!B75</f>
        <v>9255808</v>
      </c>
      <c r="BD16" s="23" t="str">
        <f>VLOOKUP(BC16,CENY!$B$11:$G$1034,2,FALSE)</f>
        <v>AVANTECH YOU DEKORATIVNÍ PROFIL NL450 MM STŘÍBRNÝ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9.8000000000000007</v>
      </c>
      <c r="BI16" s="107">
        <f t="shared" si="1"/>
        <v>0</v>
      </c>
    </row>
    <row r="17" spans="2:61" ht="14.4" customHeight="1" thickBot="1">
      <c r="B17" s="1" t="str">
        <f>verze!E23</f>
        <v>SILENT SYSTEM - s tlumením</v>
      </c>
      <c r="O17" s="577" t="str">
        <f>verze!$E$26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velkobalení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>
        <f>OBJ!B40</f>
        <v>9255245</v>
      </c>
      <c r="AV17" s="23" t="str">
        <f>VLOOKUP(AU17,CENY!$B$11:$G$1034,2,FALSE)</f>
        <v>AVANTECH YOU BOKY V SADĚ V101 MM NL300 MM STŘÍBRNÁ</v>
      </c>
      <c r="AW17" s="24">
        <f>VLOOKUP(AU17,CENY!$B$11:$G$1034,3,FALSE)</f>
        <v>1</v>
      </c>
      <c r="AX17" s="24"/>
      <c r="AY17" s="25">
        <f>(AY3)*(U19+U20+U21+U26+U27)</f>
        <v>0</v>
      </c>
      <c r="AZ17" s="107">
        <f>VLOOKUP(AU17,CENY!$B$11:$M$2005,12,FALSE)</f>
        <v>566.15</v>
      </c>
      <c r="BA17" s="107">
        <f t="shared" si="0"/>
        <v>0</v>
      </c>
      <c r="BC17" s="22">
        <f>OBJ!B76</f>
        <v>9255809</v>
      </c>
      <c r="BD17" s="23" t="str">
        <f>VLOOKUP(BC17,CENY!$B$11:$G$1034,2,FALSE)</f>
        <v>AVANTECH YOU DEKORATIVNÍ PROFIL NL500 MM STŘÍBRNÝ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9.9700000000000006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22">
        <f>OBJ!B41</f>
        <v>9255246</v>
      </c>
      <c r="AV18" s="23" t="str">
        <f>VLOOKUP(AU18,CENY!$B$11:$G$1034,2,FALSE)</f>
        <v>AVANTECH YOU BOKY V SADĚ V101 MM NL350 MM STŘÍBRNÁ</v>
      </c>
      <c r="AW18" s="24">
        <f>VLOOKUP(AU18,CENY!$B$11:$G$1034,3,FALSE)</f>
        <v>1</v>
      </c>
      <c r="AX18" s="24"/>
      <c r="AY18" s="25">
        <f>(AY3)*(W19+W20+W21+W26+W27)</f>
        <v>0</v>
      </c>
      <c r="AZ18" s="107">
        <f>VLOOKUP(AU18,CENY!$B$11:$M$2005,12,FALSE)</f>
        <v>573.11</v>
      </c>
      <c r="BA18" s="107">
        <f t="shared" si="0"/>
        <v>0</v>
      </c>
      <c r="BC18" s="22">
        <f>OBJ!B77</f>
        <v>9255810</v>
      </c>
      <c r="BD18" s="23" t="str">
        <f>VLOOKUP(BC18,CENY!$B$11:$G$1034,2,FALSE)</f>
        <v>AVANTECH YOU DEKORATIVNÍ PROFIL NL550 MM STŘÍBRNÝ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10.14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částečný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22">
        <f>OBJ!B42</f>
        <v>9255247</v>
      </c>
      <c r="AV19" s="23" t="str">
        <f>VLOOKUP(AU19,CENY!$B$11:$G$1034,2,FALSE)</f>
        <v>AVANTECH YOU BOKY V SADĚ V101 MM NL400 MM STŘÍBRNÁ</v>
      </c>
      <c r="AW19" s="24">
        <f>VLOOKUP(AU19,CENY!$B$11:$G$1034,3,FALSE)</f>
        <v>1</v>
      </c>
      <c r="AX19" s="24"/>
      <c r="AY19" s="25">
        <f>(AY3)*(Y19+Y20+Y21+Y26+Y27)</f>
        <v>0</v>
      </c>
      <c r="AZ19" s="107">
        <f>VLOOKUP(AU19,CENY!$B$11:$M$2005,12,FALSE)</f>
        <v>580.07000000000005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22">
        <f>OBJ!B43</f>
        <v>9255248</v>
      </c>
      <c r="AV20" s="23" t="str">
        <f>VLOOKUP(AU20,CENY!$B$11:$G$1034,2,FALSE)</f>
        <v>AVANTECH YOU BOKY V SADĚ V101 MM NL450 MM STŘÍBRNÁ</v>
      </c>
      <c r="AW20" s="24">
        <f>VLOOKUP(AU20,CENY!$B$11:$G$1034,3,FALSE)</f>
        <v>1</v>
      </c>
      <c r="AX20" s="24"/>
      <c r="AY20" s="25">
        <f>(AY3)*(AA21+AA27)</f>
        <v>0</v>
      </c>
      <c r="AZ20" s="107">
        <f>VLOOKUP(AU20,CENY!$B$11:$M$2005,12,FALSE)</f>
        <v>587.04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22"/>
      <c r="AV21" s="23"/>
      <c r="AW21" s="24"/>
      <c r="AX21" s="24"/>
      <c r="AY21" s="25"/>
      <c r="AZ21" s="107"/>
      <c r="BA21" s="107" t="str">
        <f t="shared" si="0"/>
        <v/>
      </c>
      <c r="BC21" s="22">
        <f>OBJ!B89</f>
        <v>9255028</v>
      </c>
      <c r="BD21" s="23" t="str">
        <f>VLOOKUP(BC21,CENY!$B$11:$G$1034,2,FALSE)</f>
        <v>AVANTECH YOU BOK V139 MM NL300 MM STŘÍBRNÝ LEVÝ</v>
      </c>
      <c r="BE21" s="24">
        <f>VLOOKUP(BC21,CENY!$B$11:$G$1034,3,FALSE)</f>
        <v>20</v>
      </c>
      <c r="BF21" s="24"/>
      <c r="BG21" s="25">
        <f>((2*AY3)*(SUM(AE19:AP20)+SUM(AG21:AR21)+SUM(AE26:AP26)+SUM(AG27:AR27)))</f>
        <v>0</v>
      </c>
      <c r="BH21" s="107">
        <f>VLOOKUP(BC21,CENY!$B$11:$M$2005,12,FALSE)</f>
        <v>229.12</v>
      </c>
      <c r="BI21" s="107">
        <f t="shared" si="1"/>
        <v>0</v>
      </c>
    </row>
    <row r="22" spans="2:61" ht="14.4" customHeight="1">
      <c r="O22" s="4"/>
      <c r="P22" s="4"/>
      <c r="AU22" s="258">
        <f>OBJ!B53</f>
        <v>9255011</v>
      </c>
      <c r="AV22" s="259" t="str">
        <f>VLOOKUP(AU22,CENY!$B$11:$G$1034,2,FALSE)</f>
        <v>AVANTECH YOU BOK V101 MM NL300 MM STŘÍBRNÝ PRAVÝ</v>
      </c>
      <c r="AW22" s="24">
        <f>VLOOKUP(AU22,CENY!$B$11:$G$1034,3,FALSE)</f>
        <v>20</v>
      </c>
      <c r="AX22" s="24"/>
      <c r="AY22" s="25">
        <f>(AY4)*(S19+S20+S21+S26+S27)</f>
        <v>0</v>
      </c>
      <c r="AZ22" s="107">
        <f>VLOOKUP(AU22,CENY!$B$11:$M$2005,12,FALSE)</f>
        <v>179.82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AVANTECH YOU BOK V139 MM NL350 MM STŘÍBRNÝ LEVÝ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233.33</v>
      </c>
      <c r="BI22" s="107">
        <f t="shared" si="1"/>
        <v>0</v>
      </c>
    </row>
    <row r="23" spans="2:61" ht="14.4" customHeight="1" thickBot="1">
      <c r="AU23" s="258">
        <f>OBJ!B54</f>
        <v>9255012</v>
      </c>
      <c r="AV23" s="259" t="str">
        <f>VLOOKUP(AU23,CENY!$B$11:$G$1034,2,FALSE)</f>
        <v>AVANTECH YOU BOK V101 MM NL350 MM STŘÍBRNÝ LEVÝ</v>
      </c>
      <c r="AW23" s="24">
        <f>VLOOKUP(AU23,CENY!$B$11:$G$1034,3,FALSE)</f>
        <v>20</v>
      </c>
      <c r="AX23" s="24"/>
      <c r="AY23" s="25">
        <f>(AY4)*(U19+U20+U21+U26+U27)</f>
        <v>0</v>
      </c>
      <c r="AZ23" s="107">
        <f>VLOOKUP(AU23,CENY!$B$11:$M$2005,12,FALSE)</f>
        <v>183.13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>
      <c r="O24" s="625" t="str">
        <f>verze!E160</f>
        <v>Je nutné natypovat šířky čel ?</v>
      </c>
      <c r="P24" s="626"/>
      <c r="Q24" s="626"/>
      <c r="R24" s="626"/>
      <c r="S24" s="627"/>
      <c r="V24" s="112" t="str">
        <f>verze!E156</f>
        <v>Ke každé zásuvce je uvažované jedno přední 2m hliníkové čelo a příčny reling.</v>
      </c>
      <c r="AU24" s="258">
        <f>OBJ!B55</f>
        <v>9255013</v>
      </c>
      <c r="AV24" s="259" t="str">
        <f>VLOOKUP(AU24,CENY!$B$11:$G$1034,2,FALSE)</f>
        <v>AVANTECH YOU BOK V101 MM NL350 MM STŘÍBRNÝ PRAVÝ</v>
      </c>
      <c r="AW24" s="24">
        <f>VLOOKUP(AU24,CENY!$B$11:$G$1034,3,FALSE)</f>
        <v>20</v>
      </c>
      <c r="AX24" s="24"/>
      <c r="AY24" s="25">
        <f>(AY4)*(W19+W20+W21+W26+W27)</f>
        <v>0</v>
      </c>
      <c r="AZ24" s="107">
        <f>VLOOKUP(AU24,CENY!$B$11:$M$2005,12,FALSE)</f>
        <v>183.13</v>
      </c>
      <c r="BA24" s="107">
        <f t="shared" si="0"/>
        <v>0</v>
      </c>
      <c r="BC24" s="22">
        <f>OBJ!B100</f>
        <v>9255039</v>
      </c>
      <c r="BD24" s="23" t="str">
        <f>VLOOKUP(BC24,CENY!$B$11:$G$1034,2,FALSE)</f>
        <v>AVANTECH YOU BOK V139 MM NL550 MM STŘÍBRNÝ PRAVÝ</v>
      </c>
      <c r="BE24" s="24">
        <f>VLOOKUP(BC24,CENY!$B$11:$G$1034,3,FALSE)</f>
        <v>20</v>
      </c>
      <c r="BF24" s="24"/>
      <c r="BG24" s="25">
        <f>(AY3)*(AI$19+AI$20+AI$21+AI$26+AI$27)</f>
        <v>0</v>
      </c>
      <c r="BH24" s="107">
        <f>VLOOKUP(BC24,CENY!$B$11:$M$2005,12,FALSE)</f>
        <v>250.2</v>
      </c>
      <c r="BI24" s="107">
        <f t="shared" ref="BI24:BI30" si="2">IF(BH24="","",BH24*BG24)</f>
        <v>0</v>
      </c>
    </row>
    <row r="25" spans="2:61" ht="14.4" customHeight="1" thickBot="1">
      <c r="O25" s="628"/>
      <c r="P25" s="629"/>
      <c r="Q25" s="629"/>
      <c r="R25" s="629"/>
      <c r="S25" s="630"/>
      <c r="V25" s="112" t="str">
        <f>verze!E158</f>
        <v>Případnou úpravu počtu hliníkových čel (profilů) a příčných relingů vykonej v objednávce.</v>
      </c>
      <c r="AU25" s="258">
        <f>OBJ!B56</f>
        <v>9255014</v>
      </c>
      <c r="AV25" s="259" t="str">
        <f>VLOOKUP(AU25,CENY!$B$11:$G$1034,2,FALSE)</f>
        <v>AVANTECH YOU BOK V101 MM NL400 MM STŘÍBRNÝ LEVÝ</v>
      </c>
      <c r="AW25" s="24">
        <f>VLOOKUP(AU25,CENY!$B$11:$G$1034,3,FALSE)</f>
        <v>20</v>
      </c>
      <c r="AX25" s="24"/>
      <c r="AY25" s="25">
        <f>(AY4)*(Y19+Y20+Y21+Y26+Y27)</f>
        <v>0</v>
      </c>
      <c r="AZ25" s="107">
        <f>VLOOKUP(AU25,CENY!$B$11:$M$2005,12,FALSE)</f>
        <v>186.44</v>
      </c>
      <c r="BA25" s="107">
        <f t="shared" ref="BA25:BA41" si="3">IF(AZ25="","",AZ25*AY25)</f>
        <v>0</v>
      </c>
      <c r="BC25" s="22">
        <f>OBJ!B101</f>
        <v>9255040</v>
      </c>
      <c r="BD25" s="23" t="str">
        <f>VLOOKUP(BC25,CENY!$B$11:$G$1034,2,FALSE)</f>
        <v>AVANTECH YOU BOK V139 MM NL600 MM STŘÍBRNÝ LEVÝ</v>
      </c>
      <c r="BE25" s="24">
        <f>VLOOKUP(BC25,CENY!$B$11:$G$1034,3,FALSE)</f>
        <v>20</v>
      </c>
      <c r="BF25" s="24"/>
      <c r="BG25" s="25">
        <f>(AY3)*(AI$19+AI$20+AI$21+AI$26+AI$27)</f>
        <v>0</v>
      </c>
      <c r="BH25" s="107">
        <f>VLOOKUP(BC25,CENY!$B$11:$M$2005,12,FALSE)</f>
        <v>256.56</v>
      </c>
      <c r="BI25" s="107">
        <f t="shared" si="2"/>
        <v>0</v>
      </c>
    </row>
    <row r="26" spans="2:61" ht="14.4" customHeight="1">
      <c r="AU26" s="258">
        <f>OBJ!B57</f>
        <v>9255015</v>
      </c>
      <c r="AV26" s="259" t="str">
        <f>VLOOKUP(AU26,CENY!$B$11:$G$1034,2,FALSE)</f>
        <v>AVANTECH YOU BOK V101 MM NL400 MM STŘÍBRNÝ PRAVÝ</v>
      </c>
      <c r="AW26" s="24">
        <f>VLOOKUP(AU26,CENY!$B$11:$G$1034,3,FALSE)</f>
        <v>20</v>
      </c>
      <c r="AX26" s="24"/>
      <c r="AY26" s="25">
        <f>(AY4)*(AA21+AA27)</f>
        <v>0</v>
      </c>
      <c r="AZ26" s="107">
        <f>VLOOKUP(AU26,CENY!$B$11:$M$2005,12,FALSE)</f>
        <v>186.44</v>
      </c>
      <c r="BA26" s="107">
        <f t="shared" si="3"/>
        <v>0</v>
      </c>
      <c r="BC26" s="22">
        <f>OBJ!B102</f>
        <v>9255041</v>
      </c>
      <c r="BD26" s="23" t="str">
        <f>VLOOKUP(BC26,CENY!$B$11:$G$1034,2,FALSE)</f>
        <v>AVANTECH YOU BOK V139 MM NL600 MM STŘÍBRNÝ PRAVÝ</v>
      </c>
      <c r="BE26" s="24">
        <f>VLOOKUP(BC26,CENY!$B$11:$G$1034,3,FALSE)</f>
        <v>20</v>
      </c>
      <c r="BF26" s="24"/>
      <c r="BG26" s="25">
        <f>(AY3)*(AK$19+AK$20+AK$21+AK$26+AK$27)</f>
        <v>0</v>
      </c>
      <c r="BH26" s="107">
        <f>VLOOKUP(BC26,CENY!$B$11:$M$2005,12,FALSE)</f>
        <v>256.56</v>
      </c>
      <c r="BI26" s="107">
        <f t="shared" si="2"/>
        <v>0</v>
      </c>
    </row>
    <row r="27" spans="2:61" ht="14.4" customHeight="1">
      <c r="AU27" s="22"/>
      <c r="AV27" s="23"/>
      <c r="AW27" s="24"/>
      <c r="AX27" s="24"/>
      <c r="AY27" s="25"/>
      <c r="AZ27" s="107"/>
      <c r="BA27" s="107" t="str">
        <f t="shared" si="3"/>
        <v/>
      </c>
      <c r="BC27" s="22">
        <f>OBJ!B104</f>
        <v>9257884</v>
      </c>
      <c r="BD27" s="23" t="str">
        <f>VLOOKUP(BC27,CENY!$B$11:$G$1034,2,FALSE)</f>
        <v>AVANTECH YOU PŘÍCHYTKA ČELA V139 MM K NAŠROUBOVÁNÍ</v>
      </c>
      <c r="BE27" s="24">
        <f>VLOOKUP(BC27,CENY!$B$11:$G$1034,3,FALSE)</f>
        <v>200</v>
      </c>
      <c r="BF27" s="24"/>
      <c r="BG27" s="25">
        <f>(AY3)*(AK$19+AK$20+AK$21+AK$26+AK$27)</f>
        <v>0</v>
      </c>
      <c r="BH27" s="107">
        <f>VLOOKUP(BC27,CENY!$B$11:$M$2005,12,FALSE)</f>
        <v>35.43</v>
      </c>
      <c r="BI27" s="107">
        <f t="shared" si="2"/>
        <v>0</v>
      </c>
    </row>
    <row r="28" spans="2:61" ht="14.4" customHeight="1">
      <c r="AU28" s="260">
        <f>OBJ!B137</f>
        <v>9255273</v>
      </c>
      <c r="AV28" s="261" t="str">
        <f>VLOOKUP(AU28,CENY!$B$11:$G$1034,2,FALSE)</f>
        <v>AVANTECH YOU BOKY V SADĚ V251 MM NL350 MM STŘÍBRNÁ</v>
      </c>
      <c r="AW28" s="24">
        <f>VLOOKUP(AU28,CENY!$B$11:$G$1034,3,FALSE)</f>
        <v>1</v>
      </c>
      <c r="AX28" s="24"/>
      <c r="AY28" s="77"/>
      <c r="AZ28" s="107">
        <f>VLOOKUP(AU28,CENY!$B$11:$M$2005,12,FALSE)</f>
        <v>1230.56</v>
      </c>
      <c r="BA28" s="107">
        <f t="shared" si="3"/>
        <v>0</v>
      </c>
      <c r="BC28" s="22" t="e">
        <f>OBJ!#REF!</f>
        <v>#REF!</v>
      </c>
      <c r="BD28" s="23" t="e">
        <f>VLOOKUP(BC28,CENY!$B$11:$G$1034,2,FALSE)</f>
        <v>#REF!</v>
      </c>
      <c r="BE28" s="24" t="e">
        <f>VLOOKUP(BC28,CENY!$B$11:$G$1034,3,FALSE)</f>
        <v>#REF!</v>
      </c>
      <c r="BF28" s="24"/>
      <c r="BG28" s="25">
        <f>(AY3)*(AM$19+AM$20+AM$21+AM$26+AM$27)</f>
        <v>0</v>
      </c>
      <c r="BH28" s="107" t="e">
        <f>VLOOKUP(BC28,CENY!$B$11:$M$2005,12,FALSE)</f>
        <v>#REF!</v>
      </c>
      <c r="BI28" s="107" t="e">
        <f t="shared" si="2"/>
        <v>#REF!</v>
      </c>
    </row>
    <row r="29" spans="2:61" ht="14.4" customHeight="1">
      <c r="AU29" s="260">
        <f>OBJ!B140</f>
        <v>9255276</v>
      </c>
      <c r="AV29" s="261" t="str">
        <f>VLOOKUP(AU29,CENY!$B$11:$G$1034,2,FALSE)</f>
        <v>AVANTECH YOU BOKY V SADĚ V251 MM NL500 MM STŘÍBRNÁ</v>
      </c>
      <c r="AW29" s="24">
        <f>VLOOKUP(AU29,CENY!$B$11:$G$1034,3,FALSE)</f>
        <v>1</v>
      </c>
      <c r="AX29" s="24"/>
      <c r="AY29" s="77"/>
      <c r="AZ29" s="107">
        <f>VLOOKUP(AU29,CENY!$B$11:$M$2005,12,FALSE)</f>
        <v>1283.24</v>
      </c>
      <c r="BA29" s="107">
        <f t="shared" si="3"/>
        <v>0</v>
      </c>
      <c r="BC29" s="22">
        <f>OBJ!B105</f>
        <v>0</v>
      </c>
      <c r="BD29" s="23" t="e">
        <f>VLOOKUP(BC29,CENY!$B$11:$G$1034,2,FALSE)</f>
        <v>#N/A</v>
      </c>
      <c r="BE29" s="24" t="e">
        <f>VLOOKUP(BC29,CENY!$B$11:$G$1034,3,FALSE)</f>
        <v>#N/A</v>
      </c>
      <c r="BF29" s="24"/>
      <c r="BG29" s="25">
        <f>(AY3)*(AM$19+AM$20+AM$21+AM$26+AM$27)</f>
        <v>0</v>
      </c>
      <c r="BH29" s="107" t="e">
        <f>VLOOKUP(BC29,CENY!$B$11:$M$2005,12,FALSE)</f>
        <v>#N/A</v>
      </c>
      <c r="BI29" s="107" t="e">
        <f t="shared" si="2"/>
        <v>#N/A</v>
      </c>
    </row>
    <row r="30" spans="2:61" ht="14.4" customHeight="1">
      <c r="V30" s="112"/>
      <c r="AU30" s="260">
        <f>OBJ!B141</f>
        <v>9255277</v>
      </c>
      <c r="AV30" s="261" t="str">
        <f>VLOOKUP(AU30,CENY!$B$11:$G$1034,2,FALSE)</f>
        <v>AVANTECH YOU BOKY V SADĚ V251 MM NL550 MM STŘÍBRNÁ</v>
      </c>
      <c r="AW30" s="24">
        <f>VLOOKUP(AU30,CENY!$B$11:$G$1034,3,FALSE)</f>
        <v>1</v>
      </c>
      <c r="AX30" s="24"/>
      <c r="AY30" s="77"/>
      <c r="AZ30" s="107">
        <f>VLOOKUP(AU30,CENY!$B$11:$M$2005,12,FALSE)</f>
        <v>1300.81</v>
      </c>
      <c r="BA30" s="107">
        <f t="shared" si="3"/>
        <v>0</v>
      </c>
      <c r="BC30" s="22">
        <f>OBJ!B106</f>
        <v>9255262</v>
      </c>
      <c r="BD30" s="23" t="str">
        <f>VLOOKUP(BC30,CENY!$B$11:$G$1034,2,FALSE)</f>
        <v>AVANTECH YOU BOKY V SADĚ V187 MM NL270 MM STŘÍBRNÁ</v>
      </c>
      <c r="BE30" s="24">
        <f>VLOOKUP(BC30,CENY!$B$11:$G$1034,3,FALSE)</f>
        <v>1</v>
      </c>
      <c r="BF30" s="24"/>
      <c r="BG30" s="25">
        <f>(AY3)*(AO$19+AO$20+AO$21+AO$26+AO$27)</f>
        <v>0</v>
      </c>
      <c r="BH30" s="107">
        <f>VLOOKUP(BC30,CENY!$B$11:$M$2005,12,FALSE)</f>
        <v>847.2</v>
      </c>
      <c r="BI30" s="107">
        <f t="shared" si="2"/>
        <v>0</v>
      </c>
    </row>
    <row r="31" spans="2:61" ht="14.4" customHeight="1">
      <c r="V31" s="112"/>
      <c r="AU31" s="260">
        <f>OBJ!B142</f>
        <v>9255278</v>
      </c>
      <c r="AV31" s="261" t="str">
        <f>VLOOKUP(AU31,CENY!$B$11:$G$1034,2,FALSE)</f>
        <v>AVANTECH YOU BOKY V SADĚ V251 MM NL600 MM STŘÍBRNÁ</v>
      </c>
      <c r="AW31" s="24">
        <f>VLOOKUP(AU31,CENY!$B$11:$G$1034,3,FALSE)</f>
        <v>1</v>
      </c>
      <c r="AX31" s="24"/>
      <c r="AY31" s="77"/>
      <c r="AZ31" s="107">
        <f>VLOOKUP(AU31,CENY!$B$11:$M$2005,12,FALSE)</f>
        <v>1327.3</v>
      </c>
      <c r="BA31" s="107">
        <f t="shared" si="3"/>
        <v>0</v>
      </c>
      <c r="BC31" s="22">
        <f>OBJ!B107</f>
        <v>9255263</v>
      </c>
      <c r="BD31" s="23" t="str">
        <f>VLOOKUP(BC31,CENY!$B$11:$G$1034,2,FALSE)</f>
        <v>AVANTECH YOU BOKY V SADĚ V187 MM NL300 MM STŘÍBRNÁ</v>
      </c>
      <c r="BE31" s="24">
        <f>VLOOKUP(BC31,CENY!$B$11:$G$1034,3,FALSE)</f>
        <v>1</v>
      </c>
      <c r="BF31" s="24"/>
      <c r="BG31" s="25">
        <f>(AY3)*(AO$19+AO$20+AO$21+AO$26+AO$27)</f>
        <v>0</v>
      </c>
      <c r="BH31" s="107">
        <f>VLOOKUP(BC31,CENY!$B$11:$M$2005,12,FALSE)</f>
        <v>853.97</v>
      </c>
      <c r="BI31" s="107">
        <f>IF(BH31="","",BH31*BG31)</f>
        <v>0</v>
      </c>
    </row>
    <row r="32" spans="2:61" ht="14.4" customHeight="1">
      <c r="AU32" s="260">
        <f>OBJ!B143</f>
        <v>9255279</v>
      </c>
      <c r="AV32" s="261" t="str">
        <f>VLOOKUP(AU32,CENY!$B$11:$G$1034,2,FALSE)</f>
        <v>AVANTECH YOU BOKY V SADĚ V251 MM NL650 MM STŘÍBRNÁ</v>
      </c>
      <c r="AW32" s="24">
        <f>VLOOKUP(AU32,CENY!$B$11:$G$1034,3,FALSE)</f>
        <v>1</v>
      </c>
      <c r="AX32" s="24"/>
      <c r="AY32" s="77"/>
      <c r="AZ32" s="107">
        <f>VLOOKUP(AU32,CENY!$B$11:$M$2005,12,FALSE)</f>
        <v>1363.32</v>
      </c>
      <c r="BA32" s="107">
        <f t="shared" si="3"/>
        <v>0</v>
      </c>
      <c r="BC32" s="22">
        <f>OBJ!B108</f>
        <v>9255264</v>
      </c>
      <c r="BD32" s="23" t="str">
        <f>VLOOKUP(BC32,CENY!$B$11:$G$1034,2,FALSE)</f>
        <v>AVANTECH YOU BOKY V SADĚ V187 MM NL350 MM STŘÍBRNÁ</v>
      </c>
      <c r="BE32" s="24">
        <f>VLOOKUP(BC32,CENY!$B$11:$G$1034,3,FALSE)</f>
        <v>1</v>
      </c>
      <c r="BF32" s="24"/>
      <c r="BG32" s="25">
        <f>(AY3)*(AQ$21+AQ$27)</f>
        <v>0</v>
      </c>
      <c r="BH32" s="107">
        <f>VLOOKUP(BC32,CENY!$B$11:$M$2005,12,FALSE)</f>
        <v>865.25</v>
      </c>
      <c r="BI32" s="107">
        <f>IF(BH32="","",BH32*BG32)</f>
        <v>0</v>
      </c>
    </row>
    <row r="33" spans="47:61" ht="14.4" customHeight="1">
      <c r="AU33" s="260">
        <f>OBJ!B144</f>
        <v>0</v>
      </c>
      <c r="AV33" s="261" t="e">
        <f>VLOOKUP(AU33,CENY!$B$11:$G$1034,2,FALSE)</f>
        <v>#N/A</v>
      </c>
      <c r="AW33" s="24" t="e">
        <f>VLOOKUP(AU33,CENY!$B$11:$G$1034,3,FALSE)</f>
        <v>#N/A</v>
      </c>
      <c r="AX33" s="24"/>
      <c r="AY33" s="77"/>
      <c r="AZ33" s="107" t="e">
        <f>VLOOKUP(AU33,CENY!$B$11:$M$2005,12,FALSE)</f>
        <v>#N/A</v>
      </c>
      <c r="BA33" s="107" t="e">
        <f t="shared" si="3"/>
        <v>#N/A</v>
      </c>
      <c r="BC33" s="22">
        <f>OBJ!B109</f>
        <v>9255265</v>
      </c>
      <c r="BD33" s="23" t="str">
        <f>VLOOKUP(BC33,CENY!$B$11:$G$1034,2,FALSE)</f>
        <v>AVANTECH YOU BOKY V SADĚ V187 MM NL400 MM STŘÍBRNÁ</v>
      </c>
      <c r="BE33" s="24">
        <f>VLOOKUP(BC33,CENY!$B$11:$G$1034,3,FALSE)</f>
        <v>1</v>
      </c>
      <c r="BF33" s="24"/>
      <c r="BG33" s="25">
        <f>(AY3)*(AQ$21+AQ$27)</f>
        <v>0</v>
      </c>
      <c r="BH33" s="107">
        <f>VLOOKUP(BC33,CENY!$B$11:$M$2005,12,FALSE)</f>
        <v>876.53</v>
      </c>
      <c r="BI33" s="107">
        <f>IF(BH33="","",BH33*BG33)</f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3"/>
        <v/>
      </c>
      <c r="BC34" s="22"/>
      <c r="BD34" s="23"/>
      <c r="BE34" s="24"/>
      <c r="BF34" s="24"/>
      <c r="BG34" s="25"/>
      <c r="BH34" s="107"/>
      <c r="BI34" s="107" t="str">
        <f>IF(BH34="","",BH34*BG34)</f>
        <v/>
      </c>
    </row>
    <row r="35" spans="47:61" ht="14.4" customHeight="1">
      <c r="AU35" s="260">
        <f>OBJ!B137</f>
        <v>9255273</v>
      </c>
      <c r="AV35" s="261" t="str">
        <f>VLOOKUP(AU35,CENY!$B$11:$G$1034,2,FALSE)</f>
        <v>AVANTECH YOU BOKY V SADĚ V251 MM NL350 MM STŘÍBRNÁ</v>
      </c>
      <c r="AW35" s="24">
        <f>VLOOKUP(AU35,CENY!$B$11:$G$1034,3,FALSE)</f>
        <v>1</v>
      </c>
      <c r="AX35" s="24"/>
      <c r="AY35" s="77"/>
      <c r="AZ35" s="107">
        <f>VLOOKUP(AU35,CENY!$B$11:$M$2005,12,FALSE)</f>
        <v>1230.56</v>
      </c>
      <c r="BA35" s="107">
        <f t="shared" si="3"/>
        <v>0</v>
      </c>
      <c r="BC35" s="258">
        <f>OBJ!B126</f>
        <v>9255054</v>
      </c>
      <c r="BD35" s="259" t="str">
        <f>VLOOKUP(BC35,CENY!$B$11:$G$1034,2,FALSE)</f>
        <v>AVANTECH YOU BOK V187 MM NL500 MM STŘÍBRNÝ LEVÝ</v>
      </c>
      <c r="BE35" s="24">
        <f>VLOOKUP(BC35,CENY!$B$11:$G$1034,3,FALSE)</f>
        <v>10</v>
      </c>
      <c r="BF35" s="24"/>
      <c r="BG35" s="25">
        <f>(AY4)*(AI$19+AI$20+AI$21+AI$26+AI$27)</f>
        <v>0</v>
      </c>
      <c r="BH35" s="107">
        <f>VLOOKUP(BC35,CENY!$B$11:$M$2005,12,FALSE)</f>
        <v>319.02999999999997</v>
      </c>
      <c r="BI35" s="107">
        <f t="shared" si="1"/>
        <v>0</v>
      </c>
    </row>
    <row r="36" spans="47:61" ht="14.4" customHeight="1">
      <c r="AU36" s="260">
        <f>OBJ!B221</f>
        <v>9283233</v>
      </c>
      <c r="AV36" s="259" t="str">
        <f>VLOOKUP(AU36,CENY!$B$11:$G$1034,2,FALSE)</f>
        <v>AVANTECH YOU SKLENĚNÁ VÝPLŇ 10 MM K ČELU INLAY V130 MM Š450 MM KD18 MM</v>
      </c>
      <c r="AW36" s="24">
        <f>VLOOKUP(AU36,CENY!$B$11:$G$1034,3,FALSE)</f>
        <v>1</v>
      </c>
      <c r="AX36" s="24"/>
      <c r="AY36" s="77"/>
      <c r="AZ36" s="107">
        <f>VLOOKUP(AU36,CENY!$B$11:$M$2005,12,FALSE)</f>
        <v>458.09</v>
      </c>
      <c r="BA36" s="107">
        <f t="shared" si="3"/>
        <v>0</v>
      </c>
      <c r="BC36" s="258">
        <f>OBJ!B127</f>
        <v>9255055</v>
      </c>
      <c r="BD36" s="259" t="str">
        <f>VLOOKUP(BC36,CENY!$B$11:$G$1034,2,FALSE)</f>
        <v>AVANTECH YOU BOK V187 MM NL500 MM STŘÍBRNÝ PRAVÝ</v>
      </c>
      <c r="BE36" s="24">
        <f>VLOOKUP(BC36,CENY!$B$11:$G$1034,3,FALSE)</f>
        <v>10</v>
      </c>
      <c r="BF36" s="24"/>
      <c r="BG36" s="25">
        <f>(AY4)*(AI$19+AI$20+AI$21+AI$26+AI$27)</f>
        <v>0</v>
      </c>
      <c r="BH36" s="107">
        <f>VLOOKUP(BC36,CENY!$B$11:$M$2005,12,FALSE)</f>
        <v>319.02999999999997</v>
      </c>
      <c r="BI36" s="107">
        <f t="shared" si="1"/>
        <v>0</v>
      </c>
    </row>
    <row r="37" spans="47:61" ht="14.4" customHeight="1">
      <c r="AU37" s="260">
        <f>OBJ!B222</f>
        <v>9283235</v>
      </c>
      <c r="AV37" s="259" t="str">
        <f>VLOOKUP(AU37,CENY!$B$11:$G$1034,2,FALSE)</f>
        <v>AVANTECH YOU SKLENĚNÁ VÝPLŇ 10 MM K ČELU INLAY V130 MM Š600 MM KD18 MM</v>
      </c>
      <c r="AW37" s="24">
        <f>VLOOKUP(AU37,CENY!$B$11:$G$1034,3,FALSE)</f>
        <v>1</v>
      </c>
      <c r="AX37" s="24"/>
      <c r="AY37" s="77"/>
      <c r="AZ37" s="107">
        <f>VLOOKUP(AU37,CENY!$B$11:$M$2005,12,FALSE)</f>
        <v>520.58000000000004</v>
      </c>
      <c r="BA37" s="107">
        <f t="shared" si="3"/>
        <v>0</v>
      </c>
      <c r="BC37" s="258">
        <f>OBJ!B128</f>
        <v>9255056</v>
      </c>
      <c r="BD37" s="259" t="str">
        <f>VLOOKUP(BC37,CENY!$B$11:$G$1034,2,FALSE)</f>
        <v>AVANTECH YOU BOK V187 MM NL550 MM STŘÍBRNÝ LEVÝ</v>
      </c>
      <c r="BE37" s="24">
        <f>VLOOKUP(BC37,CENY!$B$11:$G$1034,3,FALSE)</f>
        <v>10</v>
      </c>
      <c r="BF37" s="24"/>
      <c r="BG37" s="25">
        <f>(AY4)*(AK$19+AK$20+AK$21+AK$26+AK$27)</f>
        <v>0</v>
      </c>
      <c r="BH37" s="107">
        <f>VLOOKUP(BC37,CENY!$B$11:$M$2005,12,FALSE)</f>
        <v>324.5</v>
      </c>
      <c r="BI37" s="107">
        <f t="shared" si="1"/>
        <v>0</v>
      </c>
    </row>
    <row r="38" spans="47:61" ht="14.4" customHeight="1">
      <c r="AU38" s="260">
        <f>OBJ!B223</f>
        <v>9283237</v>
      </c>
      <c r="AV38" s="259" t="str">
        <f>VLOOKUP(AU38,CENY!$B$11:$G$1034,2,FALSE)</f>
        <v>AVANTECH YOU SKLENĚNÁ VÝPLŇ 10 MM K ČELU INLAY V130 MM Š900 MM KD18 MM</v>
      </c>
      <c r="AW38" s="24">
        <f>VLOOKUP(AU38,CENY!$B$11:$G$1034,3,FALSE)</f>
        <v>1</v>
      </c>
      <c r="AX38" s="24"/>
      <c r="AY38" s="77"/>
      <c r="AZ38" s="107">
        <f>VLOOKUP(AU38,CENY!$B$11:$M$2005,12,FALSE)</f>
        <v>867.64</v>
      </c>
      <c r="BA38" s="107">
        <f t="shared" si="3"/>
        <v>0</v>
      </c>
      <c r="BC38" s="258">
        <f>OBJ!B129</f>
        <v>9255057</v>
      </c>
      <c r="BD38" s="259" t="str">
        <f>VLOOKUP(BC38,CENY!$B$11:$G$1034,2,FALSE)</f>
        <v>AVANTECH YOU BOK V187 MM NL550 MM STŘÍBRNÝ PRAVÝ</v>
      </c>
      <c r="BE38" s="24">
        <f>VLOOKUP(BC38,CENY!$B$11:$G$1034,3,FALSE)</f>
        <v>10</v>
      </c>
      <c r="BF38" s="24"/>
      <c r="BG38" s="25">
        <f>(AY4)*(AK$19+AK$20+AK$21+AK$26+AK$27)</f>
        <v>0</v>
      </c>
      <c r="BH38" s="107">
        <f>VLOOKUP(BC38,CENY!$B$11:$M$2005,12,FALSE)</f>
        <v>324.5</v>
      </c>
      <c r="BI38" s="107">
        <f t="shared" si="1"/>
        <v>0</v>
      </c>
    </row>
    <row r="39" spans="47:61" ht="14.4" customHeight="1">
      <c r="AU39" s="260">
        <f>OBJ!B224</f>
        <v>9283238</v>
      </c>
      <c r="AV39" s="259" t="str">
        <f>VLOOKUP(AU39,CENY!$B$11:$G$1034,2,FALSE)</f>
        <v>AVANTECH YOU SKLENĚNÁ VÝPLŇ 10 MM K ČELU INLAY V130 MM Š1200 MM KD18 MM</v>
      </c>
      <c r="AW39" s="24">
        <f>VLOOKUP(AU39,CENY!$B$11:$G$1034,3,FALSE)</f>
        <v>1</v>
      </c>
      <c r="AX39" s="24"/>
      <c r="AY39" s="77"/>
      <c r="AZ39" s="107">
        <f>VLOOKUP(AU39,CENY!$B$11:$M$2005,12,FALSE)</f>
        <v>1117.52</v>
      </c>
      <c r="BA39" s="107">
        <f t="shared" si="3"/>
        <v>0</v>
      </c>
      <c r="BC39" s="258">
        <f>OBJ!B130</f>
        <v>9255058</v>
      </c>
      <c r="BD39" s="259" t="str">
        <f>VLOOKUP(BC39,CENY!$B$11:$G$1034,2,FALSE)</f>
        <v>AVANTECH YOU BOK V187 MM NL600 MM STŘÍBRNÝ LEVÝ</v>
      </c>
      <c r="BE39" s="24">
        <f>VLOOKUP(BC39,CENY!$B$11:$G$1034,3,FALSE)</f>
        <v>10</v>
      </c>
      <c r="BF39" s="24"/>
      <c r="BG39" s="25">
        <f>(AY4)*(AM$19+AM$20+AM$21+AM$26+AM$27)</f>
        <v>0</v>
      </c>
      <c r="BH39" s="107">
        <f>VLOOKUP(BC39,CENY!$B$11:$M$2005,12,FALSE)</f>
        <v>332.75</v>
      </c>
      <c r="BI39" s="107">
        <f t="shared" si="1"/>
        <v>0</v>
      </c>
    </row>
    <row r="40" spans="47:61" ht="14.4" customHeight="1">
      <c r="AU40" s="260" t="e">
        <f>OBJ!#REF!</f>
        <v>#REF!</v>
      </c>
      <c r="AV40" s="259" t="e">
        <f>VLOOKUP(AU40,CENY!$B$11:$G$1034,2,FALSE)</f>
        <v>#REF!</v>
      </c>
      <c r="AW40" s="24" t="e">
        <f>VLOOKUP(AU40,CENY!$B$11:$G$1034,3,FALSE)</f>
        <v>#REF!</v>
      </c>
      <c r="AX40" s="24"/>
      <c r="AY40" s="77"/>
      <c r="AZ40" s="107" t="e">
        <f>VLOOKUP(AU40,CENY!$B$11:$M$2005,12,FALSE)</f>
        <v>#REF!</v>
      </c>
      <c r="BA40" s="107" t="e">
        <f t="shared" si="3"/>
        <v>#REF!</v>
      </c>
      <c r="BC40" s="258">
        <f>OBJ!B131</f>
        <v>9255059</v>
      </c>
      <c r="BD40" s="259" t="str">
        <f>VLOOKUP(BC40,CENY!$B$11:$G$1034,2,FALSE)</f>
        <v>AVANTECH YOU BOK V187 MM NL600 MM STŘÍBRNÝ PRAVÝ</v>
      </c>
      <c r="BE40" s="24">
        <f>VLOOKUP(BC40,CENY!$B$11:$G$1034,3,FALSE)</f>
        <v>10</v>
      </c>
      <c r="BF40" s="24"/>
      <c r="BG40" s="25">
        <f>(AY4)*(AM$19+AM$20+AM$21+AM$26+AM$27)</f>
        <v>0</v>
      </c>
      <c r="BH40" s="107">
        <f>VLOOKUP(BC40,CENY!$B$11:$M$2005,12,FALSE)</f>
        <v>332.75</v>
      </c>
      <c r="BI40" s="107">
        <f t="shared" si="1"/>
        <v>0</v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3"/>
        <v/>
      </c>
      <c r="BC41" s="258">
        <f>OBJ!B132</f>
        <v>9255060</v>
      </c>
      <c r="BD41" s="259" t="str">
        <f>VLOOKUP(BC41,CENY!$B$11:$G$1034,2,FALSE)</f>
        <v>AVANTECH YOU BOK V187 MM NL650 MM STŘÍBRNÝ LEVÝ</v>
      </c>
      <c r="BE41" s="24">
        <f>VLOOKUP(BC41,CENY!$B$11:$G$1034,3,FALSE)</f>
        <v>10</v>
      </c>
      <c r="BF41" s="24"/>
      <c r="BG41" s="25">
        <f>(AY4)*(AO$19+AO$20+AO$21+AO$26+AO$27)</f>
        <v>0</v>
      </c>
      <c r="BH41" s="107">
        <f>VLOOKUP(BC41,CENY!$B$11:$M$2005,12,FALSE)</f>
        <v>343.97</v>
      </c>
      <c r="BI41" s="107">
        <f t="shared" si="1"/>
        <v>0</v>
      </c>
    </row>
    <row r="42" spans="47:61" ht="14.4" customHeight="1">
      <c r="AU42" s="22">
        <f>OBJ!B258</f>
        <v>9268679</v>
      </c>
      <c r="AV42" s="23" t="str">
        <f>VLOOKUP(AU42,CENY!$B$11:$G$1034,2,FALSE)</f>
        <v>ACTRO YOU 40KG PLNOVÝSUV 600 MM EB21 SILENT SYSTÉM LEVÝ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273.51</v>
      </c>
      <c r="BA42" s="107">
        <f t="shared" si="0"/>
        <v>0</v>
      </c>
      <c r="BC42" s="258">
        <f>OBJ!B133</f>
        <v>9255061</v>
      </c>
      <c r="BD42" s="259" t="str">
        <f>VLOOKUP(BC42,CENY!$B$11:$G$1034,2,FALSE)</f>
        <v>AVANTECH YOU BOK V187 MM NL650 MM STŘÍBRNÝ PRAVÝ</v>
      </c>
      <c r="BE42" s="24">
        <f>VLOOKUP(BC42,CENY!$B$11:$G$1034,3,FALSE)</f>
        <v>10</v>
      </c>
      <c r="BF42" s="24"/>
      <c r="BG42" s="25">
        <f>(AY4)*(AO$19+AO$20+AO$21+AO$26+AO$27)</f>
        <v>0</v>
      </c>
      <c r="BH42" s="107">
        <f>VLOOKUP(BC42,CENY!$B$11:$M$2005,12,FALSE)</f>
        <v>343.97</v>
      </c>
      <c r="BI42" s="107">
        <f t="shared" si="1"/>
        <v>0</v>
      </c>
    </row>
    <row r="43" spans="47:61" ht="14.4" customHeight="1">
      <c r="AU43" s="22">
        <f>OBJ!B259</f>
        <v>9268680</v>
      </c>
      <c r="AV43" s="23" t="str">
        <f>VLOOKUP(AU43,CENY!$B$11:$G$1034,2,FALSE)</f>
        <v>ACTRO YOU 40KG PLNOVÝSUV 600 MM EB21 SILENT SYSTÉM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273.51</v>
      </c>
      <c r="BA43" s="107">
        <f t="shared" si="0"/>
        <v>0</v>
      </c>
      <c r="BC43" s="258">
        <f>OBJ!B135</f>
        <v>9255838</v>
      </c>
      <c r="BD43" s="259" t="str">
        <f>VLOOKUP(BC43,CENY!$B$11:$G$1034,2,FALSE)</f>
        <v>AVANTECH YOU PŘÍCHYTKA ČELA V187 / 251 MM K NAŠROUBOVÁNÍ</v>
      </c>
      <c r="BE43" s="24">
        <f>VLOOKUP(BC43,CENY!$B$11:$G$1034,3,FALSE)</f>
        <v>200</v>
      </c>
      <c r="BF43" s="24"/>
      <c r="BG43" s="25">
        <f>(AY4)*(AQ$21+AQ$27)</f>
        <v>0</v>
      </c>
      <c r="BH43" s="107">
        <f>VLOOKUP(BC43,CENY!$B$11:$M$2005,12,FALSE)</f>
        <v>53.15</v>
      </c>
      <c r="BI43" s="107">
        <f t="shared" si="1"/>
        <v>0</v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58" t="e">
        <f>OBJ!#REF!</f>
        <v>#REF!</v>
      </c>
      <c r="BD44" s="259" t="e">
        <f>VLOOKUP(BC44,CENY!$B$11:$G$1034,2,FALSE)</f>
        <v>#REF!</v>
      </c>
      <c r="BE44" s="24" t="e">
        <f>VLOOKUP(BC44,CENY!$B$11:$G$1034,3,FALSE)</f>
        <v>#REF!</v>
      </c>
      <c r="BF44" s="24"/>
      <c r="BG44" s="25">
        <f>(AY4)*(AQ$21+AQ$27)</f>
        <v>0</v>
      </c>
      <c r="BH44" s="107" t="e">
        <f>VLOOKUP(BC44,CENY!$B$11:$M$2005,12,FALSE)</f>
        <v>#REF!</v>
      </c>
      <c r="BI44" s="107" t="e">
        <f t="shared" si="1"/>
        <v>#REF!</v>
      </c>
    </row>
    <row r="45" spans="47:61" ht="14.4" customHeight="1">
      <c r="AU45" s="22">
        <f>OBJ!B261</f>
        <v>9257034</v>
      </c>
      <c r="AV45" s="23" t="str">
        <f>VLOOKUP(AU45,CENY!$B$11:$G$1034,2,FALSE)</f>
        <v>ACTRO YOU 70KG PLNOVÝSUV 450 MM EB21 SILENT SYSTEM SADA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691.9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 70KG PLNOVÝSUV 500 MM EB21 SILENT SYSTEM SADA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698.13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AVANTECH YOU BOKY V SADĚ V139 MM NL300 MM STŘÍBRNÁ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682.46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 70KG PLNOVÝSUV 550 MM EB21 SILENT SYSTEM SADA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731.3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AVANTECH YOU BOKY V SADĚ V139 MM NL350 MM STŘÍBRNÁ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691.23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 70KG PLNOVÝSUV 600 MM EB21 SILENT SYSTEM SADA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798.31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AVANTECH YOU BOKY V SADĚ V139 MM NL400 MM STŘÍBRNÁ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700.01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 70KG PLNOVÝSUV 650 MM EB21 SILENT SYSTEM SADA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828.55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AVANTECH YOU BOKY V SADĚ V139 MM NL450 MM STŘÍBRNÁ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708.78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 70KG PLNOVÝSUV 450 MM EB21 SILENT SYSTEM LEVÝ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309.07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 70KG PLNOVÝSUV 450 MM EB21 SILENT SYSTEM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309.07</v>
      </c>
      <c r="BA51" s="107">
        <f t="shared" si="0"/>
        <v>0</v>
      </c>
      <c r="BC51" s="260">
        <f>OBJ!B137</f>
        <v>9255273</v>
      </c>
      <c r="BD51" s="261" t="str">
        <f>VLOOKUP(BC51,CENY!$B$11:$G$1034,2,FALSE)</f>
        <v>AVANTECH YOU BOKY V SADĚ V251 MM NL350 MM STŘÍBRNÁ</v>
      </c>
      <c r="BE51" s="24">
        <f>VLOOKUP(BC51,CENY!$B$11:$G$1034,3,FALSE)</f>
        <v>1</v>
      </c>
      <c r="BF51" s="24"/>
      <c r="BG51" s="77"/>
      <c r="BH51" s="107">
        <f>VLOOKUP(BC51,CENY!$B$11:$M$2005,12,FALSE)</f>
        <v>1230.56</v>
      </c>
      <c r="BI51" s="107">
        <f t="shared" ref="BI51:BI63" si="4">IF(BH51="","",BH51*BG51)</f>
        <v>0</v>
      </c>
    </row>
    <row r="52" spans="47:61" ht="14.4" customHeight="1">
      <c r="AU52" s="22">
        <f>OBJ!B268</f>
        <v>9257017</v>
      </c>
      <c r="AV52" s="23" t="str">
        <f>VLOOKUP(AU52,CENY!$B$11:$G$1034,2,FALSE)</f>
        <v>ACTRO YOU 70KG PLNOVÝSUV 500 MM EB21 SILENT SYSTEM LEVÝ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312.18</v>
      </c>
      <c r="BA52" s="107">
        <f t="shared" si="0"/>
        <v>0</v>
      </c>
      <c r="BC52" s="260">
        <f>OBJ!B140</f>
        <v>9255276</v>
      </c>
      <c r="BD52" s="261" t="str">
        <f>VLOOKUP(BC52,CENY!$B$11:$G$1034,2,FALSE)</f>
        <v>AVANTECH YOU BOKY V SADĚ V251 MM NL500 MM STŘÍBRNÁ</v>
      </c>
      <c r="BE52" s="24">
        <f>VLOOKUP(BC52,CENY!$B$11:$G$1034,3,FALSE)</f>
        <v>1</v>
      </c>
      <c r="BF52" s="24"/>
      <c r="BG52" s="77"/>
      <c r="BH52" s="107">
        <f>VLOOKUP(BC52,CENY!$B$11:$M$2005,12,FALSE)</f>
        <v>1283.24</v>
      </c>
      <c r="BI52" s="107">
        <f t="shared" si="4"/>
        <v>0</v>
      </c>
    </row>
    <row r="53" spans="47:61" ht="14.4" customHeight="1">
      <c r="AU53" s="22">
        <f>OBJ!B269</f>
        <v>9257018</v>
      </c>
      <c r="AV53" s="23" t="str">
        <f>VLOOKUP(AU53,CENY!$B$11:$G$1034,2,FALSE)</f>
        <v>ACTRO YOU 70KG PLNOVÝSUV 500 MM EB21 SILENT SYSTEM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312.18</v>
      </c>
      <c r="BA53" s="107">
        <f t="shared" si="0"/>
        <v>0</v>
      </c>
      <c r="BC53" s="260">
        <f>OBJ!B141</f>
        <v>9255277</v>
      </c>
      <c r="BD53" s="261" t="str">
        <f>VLOOKUP(BC53,CENY!$B$11:$G$1034,2,FALSE)</f>
        <v>AVANTECH YOU BOKY V SADĚ V251 MM NL550 MM STŘÍBRNÁ</v>
      </c>
      <c r="BE53" s="24">
        <f>VLOOKUP(BC53,CENY!$B$11:$G$1034,3,FALSE)</f>
        <v>1</v>
      </c>
      <c r="BF53" s="24"/>
      <c r="BG53" s="77"/>
      <c r="BH53" s="107">
        <f>VLOOKUP(BC53,CENY!$B$11:$M$2005,12,FALSE)</f>
        <v>1300.81</v>
      </c>
      <c r="BI53" s="107">
        <f t="shared" si="4"/>
        <v>0</v>
      </c>
    </row>
    <row r="54" spans="47:61" ht="14.4" customHeight="1">
      <c r="AU54" s="22">
        <f>OBJ!B270</f>
        <v>9257021</v>
      </c>
      <c r="AV54" s="23" t="str">
        <f>VLOOKUP(AU54,CENY!$B$11:$G$1034,2,FALSE)</f>
        <v>ACTRO YOU 70KG PLNOVÝSUV 550 MM EB21 SILENT SYSTEM LEVÝ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328.77</v>
      </c>
      <c r="BA54" s="107">
        <f t="shared" si="0"/>
        <v>0</v>
      </c>
      <c r="BC54" s="260">
        <f>OBJ!B142</f>
        <v>9255278</v>
      </c>
      <c r="BD54" s="261" t="str">
        <f>VLOOKUP(BC54,CENY!$B$11:$G$1034,2,FALSE)</f>
        <v>AVANTECH YOU BOKY V SADĚ V251 MM NL600 MM STŘÍBRNÁ</v>
      </c>
      <c r="BE54" s="24">
        <f>VLOOKUP(BC54,CENY!$B$11:$G$1034,3,FALSE)</f>
        <v>1</v>
      </c>
      <c r="BF54" s="24"/>
      <c r="BG54" s="77"/>
      <c r="BH54" s="107">
        <f>VLOOKUP(BC54,CENY!$B$11:$M$2005,12,FALSE)</f>
        <v>1327.3</v>
      </c>
      <c r="BI54" s="107">
        <f t="shared" si="4"/>
        <v>0</v>
      </c>
    </row>
    <row r="55" spans="47:61" ht="14.4" customHeight="1">
      <c r="AU55" s="22">
        <f>OBJ!B271</f>
        <v>9257022</v>
      </c>
      <c r="AV55" s="23" t="str">
        <f>VLOOKUP(AU55,CENY!$B$11:$G$1034,2,FALSE)</f>
        <v>ACTRO YOU 70KG PLNOVÝSUV 550 MM EB21 SILENT SYSTEM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328.77</v>
      </c>
      <c r="BA55" s="107">
        <f t="shared" si="0"/>
        <v>0</v>
      </c>
      <c r="BC55" s="260">
        <f>OBJ!B143</f>
        <v>9255279</v>
      </c>
      <c r="BD55" s="261" t="str">
        <f>VLOOKUP(BC55,CENY!$B$11:$G$1034,2,FALSE)</f>
        <v>AVANTECH YOU BOKY V SADĚ V251 MM NL650 MM STŘÍBRNÁ</v>
      </c>
      <c r="BE55" s="24">
        <f>VLOOKUP(BC55,CENY!$B$11:$G$1034,3,FALSE)</f>
        <v>1</v>
      </c>
      <c r="BF55" s="24"/>
      <c r="BG55" s="77"/>
      <c r="BH55" s="107">
        <f>VLOOKUP(BC55,CENY!$B$11:$M$2005,12,FALSE)</f>
        <v>1363.32</v>
      </c>
      <c r="BI55" s="107">
        <f t="shared" si="4"/>
        <v>0</v>
      </c>
    </row>
    <row r="56" spans="47:61" ht="14.4" customHeight="1">
      <c r="AU56" s="22">
        <f>OBJ!B272</f>
        <v>9257025</v>
      </c>
      <c r="AV56" s="23" t="str">
        <f>VLOOKUP(AU56,CENY!$B$11:$G$1034,2,FALSE)</f>
        <v>ACTRO YOU 70KG PLNOVÝSUV 600 MM EB21 SILENT SYSTEM LEVÝ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362.28</v>
      </c>
      <c r="BA56" s="107">
        <f t="shared" si="0"/>
        <v>0</v>
      </c>
      <c r="BC56" s="260">
        <f>OBJ!B144</f>
        <v>0</v>
      </c>
      <c r="BD56" s="261" t="e">
        <f>VLOOKUP(BC56,CENY!$B$11:$G$1034,2,FALSE)</f>
        <v>#N/A</v>
      </c>
      <c r="BE56" s="24" t="e">
        <f>VLOOKUP(BC56,CENY!$B$11:$G$1034,3,FALSE)</f>
        <v>#N/A</v>
      </c>
      <c r="BF56" s="24"/>
      <c r="BG56" s="77"/>
      <c r="BH56" s="107" t="e">
        <f>VLOOKUP(BC56,CENY!$B$11:$M$2005,12,FALSE)</f>
        <v>#N/A</v>
      </c>
      <c r="BI56" s="107" t="e">
        <f t="shared" si="4"/>
        <v>#N/A</v>
      </c>
    </row>
    <row r="57" spans="47:61" ht="14.4" customHeight="1">
      <c r="AU57" s="22">
        <f>OBJ!B273</f>
        <v>9257026</v>
      </c>
      <c r="AV57" s="23" t="str">
        <f>VLOOKUP(AU57,CENY!$B$11:$G$1034,2,FALSE)</f>
        <v>ACTRO YOU 70KG PLNOVÝSUV 600 MM EB21 SILENT SYSTEM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362.28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4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 70KG PLNOVÝSUV 650 MM EB21 SILENT SYSTEM LEVÝ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377.39</v>
      </c>
      <c r="BA58" s="107">
        <f t="shared" si="0"/>
        <v>0</v>
      </c>
      <c r="BC58" s="260">
        <f>OBJ!B137</f>
        <v>9255273</v>
      </c>
      <c r="BD58" s="261" t="str">
        <f>VLOOKUP(BC58,CENY!$B$11:$G$1034,2,FALSE)</f>
        <v>AVANTECH YOU BOKY V SADĚ V251 MM NL350 MM STŘÍBRNÁ</v>
      </c>
      <c r="BE58" s="24">
        <f>VLOOKUP(BC58,CENY!$B$11:$G$1034,3,FALSE)</f>
        <v>1</v>
      </c>
      <c r="BF58" s="24"/>
      <c r="BG58" s="77"/>
      <c r="BH58" s="107">
        <f>VLOOKUP(BC58,CENY!$B$11:$M$2005,12,FALSE)</f>
        <v>1230.56</v>
      </c>
      <c r="BI58" s="107">
        <f t="shared" si="4"/>
        <v>0</v>
      </c>
    </row>
    <row r="59" spans="47:61" ht="14.4" customHeight="1">
      <c r="AU59" s="22">
        <f>OBJ!B275</f>
        <v>9257028</v>
      </c>
      <c r="AV59" s="23" t="str">
        <f>VLOOKUP(AU59,CENY!$B$11:$G$1034,2,FALSE)</f>
        <v>ACTRO YOU 70KG PLNOVÝSUV 650 MM EB21 SILENT SYSTEM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377.39</v>
      </c>
      <c r="BA59" s="107">
        <f t="shared" si="0"/>
        <v>0</v>
      </c>
      <c r="BC59" s="260">
        <f>OBJ!B221</f>
        <v>9283233</v>
      </c>
      <c r="BD59" s="259" t="str">
        <f>VLOOKUP(BC59,CENY!$B$11:$G$1034,2,FALSE)</f>
        <v>AVANTECH YOU SKLENĚNÁ VÝPLŇ 10 MM K ČELU INLAY V130 MM Š450 MM KD18 MM</v>
      </c>
      <c r="BE59" s="24">
        <f>VLOOKUP(BC59,CENY!$B$11:$G$1034,3,FALSE)</f>
        <v>1</v>
      </c>
      <c r="BF59" s="24"/>
      <c r="BG59" s="77"/>
      <c r="BH59" s="107">
        <f>VLOOKUP(BC59,CENY!$B$11:$M$2005,12,FALSE)</f>
        <v>458.09</v>
      </c>
      <c r="BI59" s="107">
        <f t="shared" si="4"/>
        <v>0</v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60">
        <f>OBJ!B222</f>
        <v>9283235</v>
      </c>
      <c r="BD60" s="259" t="str">
        <f>VLOOKUP(BC60,CENY!$B$11:$G$1034,2,FALSE)</f>
        <v>AVANTECH YOU SKLENĚNÁ VÝPLŇ 10 MM K ČELU INLAY V130 MM Š600 MM KD18 MM</v>
      </c>
      <c r="BE60" s="24">
        <f>VLOOKUP(BC60,CENY!$B$11:$G$1034,3,FALSE)</f>
        <v>1</v>
      </c>
      <c r="BF60" s="24"/>
      <c r="BG60" s="77"/>
      <c r="BH60" s="107">
        <f>VLOOKUP(BC60,CENY!$B$11:$M$2005,12,FALSE)</f>
        <v>520.58000000000004</v>
      </c>
      <c r="BI60" s="107">
        <f t="shared" si="4"/>
        <v>0</v>
      </c>
    </row>
    <row r="61" spans="47:61" ht="14.4" customHeight="1">
      <c r="AU61" s="22">
        <f>OBJ!B277</f>
        <v>9257890</v>
      </c>
      <c r="AV61" s="23" t="str">
        <f>VLOOKUP(AU61,CENY!$B$11:$G$1034,2,FALSE)</f>
        <v>PUSH TO OPEN SILENT ACTRO YOU / ACTRO 5D 10 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544.37</v>
      </c>
      <c r="BA61" s="107">
        <f t="shared" si="0"/>
        <v>0</v>
      </c>
      <c r="BC61" s="260">
        <f>OBJ!B223</f>
        <v>9283237</v>
      </c>
      <c r="BD61" s="259" t="str">
        <f>VLOOKUP(BC61,CENY!$B$11:$G$1034,2,FALSE)</f>
        <v>AVANTECH YOU SKLENĚNÁ VÝPLŇ 10 MM K ČELU INLAY V130 MM Š900 MM KD18 MM</v>
      </c>
      <c r="BE61" s="24">
        <f>VLOOKUP(BC61,CENY!$B$11:$G$1034,3,FALSE)</f>
        <v>1</v>
      </c>
      <c r="BF61" s="24"/>
      <c r="BG61" s="77"/>
      <c r="BH61" s="107">
        <f>VLOOKUP(BC61,CENY!$B$11:$M$2005,12,FALSE)</f>
        <v>867.64</v>
      </c>
      <c r="BI61" s="107">
        <f t="shared" si="4"/>
        <v>0</v>
      </c>
    </row>
    <row r="62" spans="47:61" ht="14.4" customHeight="1">
      <c r="AU62" s="22">
        <f>OBJ!B278</f>
        <v>9257891</v>
      </c>
      <c r="AV62" s="23" t="str">
        <f>VLOOKUP(AU62,CENY!$B$11:$G$1034,2,FALSE)</f>
        <v>PUSH TO OPEN SILENT ACTRO YOU / ACTRO 5D 20 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544.37</v>
      </c>
      <c r="BA62" s="107">
        <f t="shared" si="0"/>
        <v>0</v>
      </c>
      <c r="BC62" s="260">
        <f>OBJ!B224</f>
        <v>9283238</v>
      </c>
      <c r="BD62" s="259" t="str">
        <f>VLOOKUP(BC62,CENY!$B$11:$G$1034,2,FALSE)</f>
        <v>AVANTECH YOU SKLENĚNÁ VÝPLŇ 10 MM K ČELU INLAY V130 MM Š1200 MM KD18 MM</v>
      </c>
      <c r="BE62" s="24">
        <f>VLOOKUP(BC62,CENY!$B$11:$G$1034,3,FALSE)</f>
        <v>1</v>
      </c>
      <c r="BF62" s="24"/>
      <c r="BG62" s="77"/>
      <c r="BH62" s="107">
        <f>VLOOKUP(BC62,CENY!$B$11:$M$2005,12,FALSE)</f>
        <v>1117.52</v>
      </c>
      <c r="BI62" s="107">
        <f t="shared" si="4"/>
        <v>0</v>
      </c>
    </row>
    <row r="63" spans="47:61" ht="14.4" customHeight="1">
      <c r="AU63" s="22">
        <f>OBJ!B279</f>
        <v>9257892</v>
      </c>
      <c r="AV63" s="23" t="str">
        <f>VLOOKUP(AU63,CENY!$B$11:$G$1034,2,FALSE)</f>
        <v>PUSH TO OPEN SILENT ACTRO YOU / ACTRO 5D 40 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544.37</v>
      </c>
      <c r="BA63" s="107">
        <f t="shared" si="0"/>
        <v>0</v>
      </c>
      <c r="BC63" s="260" t="e">
        <f>OBJ!#REF!</f>
        <v>#REF!</v>
      </c>
      <c r="BD63" s="259" t="e">
        <f>VLOOKUP(BC63,CENY!$B$11:$G$1034,2,FALSE)</f>
        <v>#REF!</v>
      </c>
      <c r="BE63" s="24" t="e">
        <f>VLOOKUP(BC63,CENY!$B$11:$G$1034,3,FALSE)</f>
        <v>#REF!</v>
      </c>
      <c r="BF63" s="24"/>
      <c r="BG63" s="77"/>
      <c r="BH63" s="107" t="e">
        <f>VLOOKUP(BC63,CENY!$B$11:$M$2005,12,FALSE)</f>
        <v>#REF!</v>
      </c>
      <c r="BI63" s="107" t="e">
        <f t="shared" si="4"/>
        <v>#REF!</v>
      </c>
    </row>
    <row r="64" spans="47:61" ht="14.4" customHeight="1">
      <c r="AU64" s="22">
        <f>OBJ!B280</f>
        <v>9257893</v>
      </c>
      <c r="AV64" s="23" t="str">
        <f>VLOOKUP(AU64,CENY!$B$11:$G$1034,2,FALSE)</f>
        <v>PUSH TO OPEN SILENT ACTRO YOU / ACTRO 5D 70 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544.37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>IF(BH64="","",BH64*BG64)</f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SYNCHRONIZAČNÍ TYČ 2000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144.30000000000001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 10 KG PLNOVÝSUV 350 MM EB21 SILENT SYSTEM SADA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421.61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13.07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 10 KG PLNOVÝSUV 270 MM EB21 SILENT SYSTEM LEVÝ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174.19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SILENT ACTRO YOU MULTISYNCHRO - SPOJKA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35.33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 10 KG PLNOVÝSUV 270 MM EB21 SILENT SYSTEM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174.19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SILENT SYNCHRO ADAPTÉR FLEXIBILNÍ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82.35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 10 KG PLNOVÝSUV 300 MM EB21 SILENT SYSTEM LEVÝ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172.7</v>
      </c>
      <c r="BI68" s="107">
        <f t="shared" si="1"/>
        <v>0</v>
      </c>
    </row>
    <row r="69" spans="1:61" ht="23.1" customHeight="1">
      <c r="A69" s="633"/>
      <c r="B69" s="104" t="s">
        <v>139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SILENT ACTRO YOU SYNCHRO POSUNUTÉ NAPOJENÍ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783.93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 10 KG PLNOVÝSUV 300 MM EB21 SILENT SYSTEM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172.7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 10 KG PLNOVÝSUV 350 MM EB21 SILENT SYSTEM LEVÝ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176.43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 10 KG PLNOVÝSUV 270 MM EB21 SILENT SYSTEM SADA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413.4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 10 KG PLNOVÝSUV 350 MM EB21 SILENT SYSTEM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176.43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 PLNOVÝSUV 270 MM EB21 SILENT SYSTEM SADA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372.29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>
        <f>IF(FORM!AM8=FORM!AU10,((2*AY3)*(SUM(O19:Z20)+SUM(Q21:AB21)+SUM(O26:Z26)+SUM(Q27:AB27))),0)</f>
        <v>0</v>
      </c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 PLNOVÝSUV 300 MM EB21 SILENT SYSTEM SADA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369.3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 PLNOVÝSUV 350 MM EB21 SILENT SYSTEM SADA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376.77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 PLNOVÝSUV 400 MM EB21 SILENT SYSTEM SADA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384.24</v>
      </c>
      <c r="BI76" s="107">
        <f t="shared" si="1"/>
        <v>0</v>
      </c>
    </row>
    <row r="77" spans="1:61" ht="14.4" customHeight="1">
      <c r="A77" s="633"/>
      <c r="AU77" s="182">
        <f>OBJ!B186</f>
        <v>0</v>
      </c>
      <c r="AV77" s="23" t="e">
        <f>VLOOKUP(AU77,CENY!$B$11:$G$1034,2,FALSE)</f>
        <v>#N/A</v>
      </c>
      <c r="AW77" s="24" t="e">
        <f>VLOOKUP(AU77,CENY!$B$11:$G$1034,3,FALSE)</f>
        <v>#N/A</v>
      </c>
      <c r="AX77" s="24"/>
      <c r="AY77" s="25">
        <f>((AY2+AY4)*((SUM(O19:Z20)+SUM(Q21:AB21)+SUM(O26:Z26)+SUM(Q27:AB27))+1*(SUM(AE19:AP20)+SUM(AG21:AR21)+SUM(AE26:AP26)+SUM(AG27:AR27))))-(AU106*(AY2+AY4))</f>
        <v>0</v>
      </c>
      <c r="AZ77" s="107" t="e">
        <f>VLOOKUP(AU77,CENY!$B$11:$M$2005,12,FALSE)</f>
        <v>#N/A</v>
      </c>
      <c r="BA77" s="107" t="e">
        <f>IF(AZ77="","",AZ77*AY77)</f>
        <v>#N/A</v>
      </c>
      <c r="BC77" s="22">
        <f>OBJ!B301</f>
        <v>9256890</v>
      </c>
      <c r="BD77" s="23" t="str">
        <f>VLOOKUP(BC77,CENY!$B$11:$G$1034,2,FALSE)</f>
        <v>QUADRO YOU PLNOVÝSUV 450 MM EB21 SILENT SYSTEM SADA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391.72</v>
      </c>
      <c r="BI77" s="107">
        <f t="shared" si="1"/>
        <v>0</v>
      </c>
    </row>
    <row r="78" spans="1:61" ht="14.4" customHeight="1">
      <c r="A78" s="633"/>
      <c r="AU78" s="182">
        <f>OBJ!B187</f>
        <v>9257269</v>
      </c>
      <c r="AV78" s="23" t="str">
        <f>VLOOKUP(AU78,CENY!$B$11:$G$1034,2,FALSE)</f>
        <v>AVANTECH YOU ALU PROFIL VNITŘNÍ ČELO V101 MM L2000 MM STŘÍBRNÁ</v>
      </c>
      <c r="AW78" s="24">
        <f>VLOOKUP(AU78,CENY!$B$11:$G$1034,3,FALSE)</f>
        <v>1</v>
      </c>
      <c r="AX78" s="24"/>
      <c r="AY78" s="25">
        <f>((AY2)*((SUM(O19:Z20)+SUM(Q21:AB21)+SUM(O26:Z26)+SUM(Q27:AB27))+1*(SUM(AE19:AP20)+SUM(AG21:AR21)+SUM(AE26:AP26)+SUM(AG27:AR27))))-(AU106*(AY2))</f>
        <v>0</v>
      </c>
      <c r="AZ78" s="107">
        <f>VLOOKUP(AU78,CENY!$B$11:$M$2005,12,FALSE)</f>
        <v>1421.71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 PLNOVÝSUV 500 MM EB21 SILENT SYSTEM SADA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399.19</v>
      </c>
      <c r="BI78" s="107">
        <f t="shared" si="1"/>
        <v>0</v>
      </c>
    </row>
    <row r="79" spans="1:61" ht="14.4" customHeight="1">
      <c r="A79" s="633"/>
      <c r="AU79" s="22">
        <f>OBJ!B188</f>
        <v>9257270</v>
      </c>
      <c r="AV79" s="23" t="str">
        <f>VLOOKUP(AU79,CENY!$B$11:$G$1034,2,FALSE)</f>
        <v>AVANTECH YOU ALU PROFIL VNITŘNÍ ČELO V139 MM L2000 MM STŘÍBRNÁ</v>
      </c>
      <c r="AW79" s="24">
        <f>VLOOKUP(AU79,CENY!$B$11:$G$1034,3,FALSE)</f>
        <v>1</v>
      </c>
      <c r="AX79" s="24"/>
      <c r="AY79" s="25">
        <f>((AY4)*((SUM(O19:Z20)+SUM(Q21:AB21)+SUM(O26:Z26)+SUM(Q27:AB27))+1*(SUM(AE19:AP20)+SUM(AG21:AR21)+SUM(AE26:AP26)+SUM(AG27:AR27))))-(AU106*(AY4))</f>
        <v>0</v>
      </c>
      <c r="AZ79" s="107">
        <f>VLOOKUP(AU79,CENY!$B$11:$M$2005,12,FALSE)</f>
        <v>1700.74</v>
      </c>
      <c r="BA79" s="107">
        <f>IF(AZ79="","",AZ79*AY79)</f>
        <v>0</v>
      </c>
      <c r="BC79" s="22">
        <f>OBJ!B303</f>
        <v>9256894</v>
      </c>
      <c r="BD79" s="23" t="str">
        <f>VLOOKUP(BC79,CENY!$B$11:$G$1034,2,FALSE)</f>
        <v>QUADRO YOU PLNOVÝSUV 550 MM EB21 SILENT SYSTEM SADA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412.64</v>
      </c>
      <c r="BI79" s="107">
        <f t="shared" si="1"/>
        <v>0</v>
      </c>
    </row>
    <row r="80" spans="1:61" ht="14.4" customHeight="1">
      <c r="A80" s="633"/>
      <c r="AU80" s="182">
        <f>OBJ!B189</f>
        <v>9257271</v>
      </c>
      <c r="AV80" s="23" t="str">
        <f>VLOOKUP(AU80,CENY!$B$11:$G$1034,2,FALSE)</f>
        <v>AVANTECH YOU ALU PROFIL VNITŘNÍ ČELO V187 MM L2000 MM STŘÍBRNÁ</v>
      </c>
      <c r="AW80" s="24">
        <f>VLOOKUP(AU80,CENY!$B$11:$G$1034,3,FALSE)</f>
        <v>1</v>
      </c>
      <c r="AX80" s="24"/>
      <c r="AY80" s="25">
        <f>((AY4)*((SUM(O19:Z20)+SUM(Q21:AB21)+SUM(O26:Z26)+SUM(Q27:AB27))+1*(SUM(AE19:AP20)+SUM(AG21:AR21)+SUM(AE26:AP26)+SUM(AG27:AR27))))-(AU106*(AY4))</f>
        <v>0</v>
      </c>
      <c r="AZ80" s="107">
        <f>VLOOKUP(AU80,CENY!$B$11:$M$2005,12,FALSE)</f>
        <v>2125.92</v>
      </c>
      <c r="BA80" s="107">
        <f>IF(AZ80="","",AZ80*AY80)</f>
        <v>0</v>
      </c>
      <c r="BC80" s="22">
        <f>OBJ!B304</f>
        <v>9256896</v>
      </c>
      <c r="BD80" s="23" t="str">
        <f>VLOOKUP(BC80,CENY!$B$11:$G$1034,2,FALSE)</f>
        <v>QUADRO YOU PLNOVÝSUV 600 MM EB21 SILENT SYSTEM SADA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420.11</v>
      </c>
      <c r="BI80" s="107">
        <f t="shared" si="1"/>
        <v>0</v>
      </c>
    </row>
    <row r="81" spans="1:61" ht="14.4" customHeight="1">
      <c r="A81" s="633"/>
      <c r="AU81" s="22"/>
      <c r="AV81" s="23"/>
      <c r="AW81" s="24"/>
      <c r="AX81" s="24"/>
      <c r="AY81" s="25"/>
      <c r="AZ81" s="107"/>
      <c r="BA81" s="107" t="str">
        <f t="shared" ref="BA81:BA100" si="5">IF(AZ81="","",AZ81*AY81)</f>
        <v/>
      </c>
      <c r="BC81" s="22">
        <f>OBJ!B305</f>
        <v>9256854</v>
      </c>
      <c r="BD81" s="23" t="str">
        <f>VLOOKUP(BC81,CENY!$B$11:$G$1034,2,FALSE)</f>
        <v>QUADRO YOU PLNOVÝSUV 270 MM EB21 SILENT SYSTEM LEVÝ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174.19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U82" s="22">
        <f>OBJ!B191</f>
        <v>9257611</v>
      </c>
      <c r="AV82" s="23" t="str">
        <f>VLOOKUP(AU82,CENY!$B$11:$G$1034,2,FALSE)</f>
        <v>AVANTECH YOU SADA SPOJEK PRO VNITŘNÍ ČELO K BOKŮM V101 MM STŘÍBRNÁ</v>
      </c>
      <c r="AW82" s="24">
        <f>VLOOKUP(AU82,CENY!$B$11:$G$1034,3,FALSE)</f>
        <v>1</v>
      </c>
      <c r="AX82" s="24"/>
      <c r="AY82" s="25">
        <f>AY2*O84</f>
        <v>0</v>
      </c>
      <c r="AZ82" s="107">
        <f>VLOOKUP(AU82,CENY!$B$11:$M$2005,12,FALSE)</f>
        <v>76.28</v>
      </c>
      <c r="BA82" s="107">
        <f t="shared" si="5"/>
        <v>0</v>
      </c>
      <c r="BC82" s="22">
        <f>OBJ!B306</f>
        <v>9256855</v>
      </c>
      <c r="BD82" s="23" t="str">
        <f>VLOOKUP(BC82,CENY!$B$11:$G$1034,2,FALSE)</f>
        <v>QUADRO YOU PLNOVÝSUV 270 MM EB21 SILENT SYSTEM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174.19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600</v>
      </c>
      <c r="X83" s="570"/>
      <c r="Y83" s="569">
        <v>800</v>
      </c>
      <c r="Z83" s="570"/>
      <c r="AA83" s="569">
        <v>900</v>
      </c>
      <c r="AB83" s="570"/>
      <c r="AC83" s="569">
        <v>1000</v>
      </c>
      <c r="AD83" s="570"/>
      <c r="AE83" s="569">
        <v>1200</v>
      </c>
      <c r="AF83" s="570"/>
      <c r="AU83" s="22">
        <f>OBJ!B192</f>
        <v>9257612</v>
      </c>
      <c r="AV83" s="23" t="str">
        <f>VLOOKUP(AU83,CENY!$B$11:$G$1034,2,FALSE)</f>
        <v>AVANTECH YOU SADA SPOJEK PRO VNITŘNÍ ČELO K BOKŮM V139 MM STŘÍBRNÁ</v>
      </c>
      <c r="AW83" s="24">
        <f>VLOOKUP(AU83,CENY!$B$11:$G$1034,3,FALSE)</f>
        <v>1</v>
      </c>
      <c r="AX83" s="24"/>
      <c r="AY83" s="25">
        <f>AY2*Q84</f>
        <v>0</v>
      </c>
      <c r="AZ83" s="107">
        <f>VLOOKUP(AU83,CENY!$B$11:$M$2005,12,FALSE)</f>
        <v>96.7</v>
      </c>
      <c r="BA83" s="107">
        <f t="shared" si="5"/>
        <v>0</v>
      </c>
      <c r="BC83" s="22">
        <f>OBJ!B307</f>
        <v>9256856</v>
      </c>
      <c r="BD83" s="23" t="str">
        <f>VLOOKUP(BC83,CENY!$B$11:$G$1034,2,FALSE)</f>
        <v>QUADRO YOU PLNOVÝSUV 300 MM EB21 SILENT SYSTEM LEVÝ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172.7</v>
      </c>
      <c r="BI83" s="107">
        <f t="shared" si="1"/>
        <v>0</v>
      </c>
    </row>
    <row r="84" spans="1:61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4"/>
      <c r="Z84" s="635"/>
      <c r="AA84" s="638"/>
      <c r="AB84" s="635"/>
      <c r="AC84" s="638"/>
      <c r="AD84" s="635"/>
      <c r="AE84" s="639"/>
      <c r="AF84" s="616"/>
      <c r="AU84" s="22">
        <f>OBJ!B193</f>
        <v>9257613</v>
      </c>
      <c r="AV84" s="23" t="str">
        <f>VLOOKUP(AU84,CENY!$B$11:$G$1034,2,FALSE)</f>
        <v>AVANTECH YOU SADA SPOJEK PRO VNITŘNÍ ČELO K BOKŮM V187 MM STŘÍBRNÁ</v>
      </c>
      <c r="AW84" s="24">
        <f>VLOOKUP(AU84,CENY!$B$11:$G$1034,3,FALSE)</f>
        <v>1</v>
      </c>
      <c r="AX84" s="24"/>
      <c r="AY84" s="25">
        <f>AY2*S84</f>
        <v>0</v>
      </c>
      <c r="AZ84" s="107">
        <f>VLOOKUP(AU84,CENY!$B$11:$M$2005,12,FALSE)</f>
        <v>135.11000000000001</v>
      </c>
      <c r="BA84" s="107">
        <f t="shared" si="5"/>
        <v>0</v>
      </c>
      <c r="BC84" s="22">
        <f>OBJ!B308</f>
        <v>9256857</v>
      </c>
      <c r="BD84" s="23" t="str">
        <f>VLOOKUP(BC84,CENY!$B$11:$G$1034,2,FALSE)</f>
        <v>QUADRO YOU PLNOVÝSUV 300 MM EB21 SILENT SYSTEM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172.7</v>
      </c>
      <c r="BI84" s="107">
        <f t="shared" si="1"/>
        <v>0</v>
      </c>
    </row>
    <row r="85" spans="1:61" ht="14.4" customHeight="1">
      <c r="A85" s="633"/>
      <c r="AU85" s="22" t="e">
        <f>OBJ!#REF!</f>
        <v>#REF!</v>
      </c>
      <c r="AV85" s="23" t="e">
        <f>VLOOKUP(AU85,CENY!$B$11:$G$1034,2,FALSE)</f>
        <v>#REF!</v>
      </c>
      <c r="AW85" s="24" t="e">
        <f>VLOOKUP(AU85,CENY!$B$11:$G$1034,3,FALSE)</f>
        <v>#REF!</v>
      </c>
      <c r="AX85" s="24"/>
      <c r="AY85" s="25">
        <f>AY2*U84</f>
        <v>0</v>
      </c>
      <c r="AZ85" s="107" t="e">
        <f>VLOOKUP(AU85,CENY!$B$11:$M$2005,12,FALSE)</f>
        <v>#REF!</v>
      </c>
      <c r="BA85" s="107" t="e">
        <f t="shared" si="5"/>
        <v>#REF!</v>
      </c>
      <c r="BC85" s="22">
        <f>OBJ!B309</f>
        <v>9256860</v>
      </c>
      <c r="BD85" s="23" t="str">
        <f>VLOOKUP(BC85,CENY!$B$11:$G$1034,2,FALSE)</f>
        <v>QUADRO YOU PLNOVÝSUV 350 MM EB21 SILENT SYSTEM LEVÝ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176.43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potřebné vybrat vnitřní čela na 0 skříň (skříně).</v>
      </c>
      <c r="AU86" s="22">
        <f>OBJ!B194</f>
        <v>9257623</v>
      </c>
      <c r="AV86" s="23" t="str">
        <f>VLOOKUP(AU86,CENY!$B$11:$G$1034,2,FALSE)</f>
        <v>AVANTECH YOU SADA SPOJEK PRO VNITŘNÍ ČELO K BOKŮM INLAY V187 MM STŘÍBRNÁ</v>
      </c>
      <c r="AW86" s="24">
        <f>VLOOKUP(AU86,CENY!$B$11:$G$1034,3,FALSE)</f>
        <v>1</v>
      </c>
      <c r="AX86" s="24"/>
      <c r="AY86" s="25">
        <f>AY2*W84</f>
        <v>0</v>
      </c>
      <c r="AZ86" s="107">
        <f>VLOOKUP(AU86,CENY!$B$11:$M$2005,12,FALSE)</f>
        <v>121.83</v>
      </c>
      <c r="BA86" s="107">
        <f t="shared" si="5"/>
        <v>0</v>
      </c>
      <c r="BC86" s="22">
        <f>OBJ!B310</f>
        <v>9256861</v>
      </c>
      <c r="BD86" s="23" t="str">
        <f>VLOOKUP(BC86,CENY!$B$11:$G$1034,2,FALSE)</f>
        <v>QUADRO YOU PLNOVÝSUV 350 MM EB21 SILENT SYSTEM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176.43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 PLNOVÝSUV 400 MM EB21 SILENT SYSTEM LEVÝ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180.17</v>
      </c>
      <c r="BI87" s="107">
        <f t="shared" si="1"/>
        <v>0</v>
      </c>
    </row>
    <row r="88" spans="1:61" ht="14.4" customHeight="1">
      <c r="A88" s="633"/>
      <c r="AU88" s="22">
        <f>OBJ!B201</f>
        <v>9257734</v>
      </c>
      <c r="AV88" s="23" t="str">
        <f>VLOOKUP(AU88,CENY!$B$11:$G$1034,2,FALSE)</f>
        <v>AVANTECH YOU UNAŠEČ PRO VNITŘNÍ ČELO SADA STŘÍBRNÁ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139.51</v>
      </c>
      <c r="BA88" s="107">
        <f t="shared" si="5"/>
        <v>0</v>
      </c>
      <c r="BC88" s="22">
        <f>OBJ!B312</f>
        <v>9256865</v>
      </c>
      <c r="BD88" s="23" t="str">
        <f>VLOOKUP(BC88,CENY!$B$11:$G$1034,2,FALSE)</f>
        <v>QUADRO YOU PLNOVÝSUV 400 MM EB21 SILENT SYSTEM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180.17</v>
      </c>
      <c r="BI88" s="107">
        <f t="shared" si="1"/>
        <v>0</v>
      </c>
    </row>
    <row r="89" spans="1:61" ht="14.4" customHeight="1">
      <c r="A89" s="633"/>
      <c r="AU89" s="22">
        <f>OBJ!B202</f>
        <v>0</v>
      </c>
      <c r="AV89" s="23" t="e">
        <f>VLOOKUP(AU89,CENY!$B$11:$G$1034,2,FALSE)</f>
        <v>#N/A</v>
      </c>
      <c r="AW89" s="24" t="e">
        <f>VLOOKUP(AU89,CENY!$B$11:$G$1034,3,FALSE)</f>
        <v>#N/A</v>
      </c>
      <c r="AX89" s="24"/>
      <c r="AY89" s="25">
        <f>AY4*Q84</f>
        <v>0</v>
      </c>
      <c r="AZ89" s="107" t="e">
        <f>VLOOKUP(AU89,CENY!$B$11:$M$2005,12,FALSE)</f>
        <v>#N/A</v>
      </c>
      <c r="BA89" s="107" t="e">
        <f t="shared" si="5"/>
        <v>#N/A</v>
      </c>
      <c r="BC89" s="22">
        <f>OBJ!B313</f>
        <v>9256868</v>
      </c>
      <c r="BD89" s="23" t="str">
        <f>VLOOKUP(BC89,CENY!$B$11:$G$1034,2,FALSE)</f>
        <v>QUADRO YOU PLNOVÝSUV 450 MM EB21 SILENT SYSTEM LEVÝ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183.9</v>
      </c>
      <c r="BI89" s="107">
        <f t="shared" si="1"/>
        <v>0</v>
      </c>
    </row>
    <row r="90" spans="1:61" ht="14.4" customHeight="1">
      <c r="A90" s="633"/>
      <c r="AU90" s="22">
        <f>OBJ!B203</f>
        <v>9257663</v>
      </c>
      <c r="AV90" s="23" t="str">
        <f>VLOOKUP(AU90,CENY!$B$11:$G$1034,2,FALSE)</f>
        <v>AVANTECH YOU NOSNÝ PROFIL PRO VNITŘNÍ ČELO INLAY L2000 MM STŘÍBRNÁ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710.85</v>
      </c>
      <c r="BA90" s="107">
        <f t="shared" si="5"/>
        <v>0</v>
      </c>
      <c r="BC90" s="22">
        <f>OBJ!B314</f>
        <v>9256869</v>
      </c>
      <c r="BD90" s="23" t="str">
        <f>VLOOKUP(BC90,CENY!$B$11:$G$1034,2,FALSE)</f>
        <v>QUADRO YOU PLNOVÝSUV 450 MM EB21 SILENT SYSTEM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183.9</v>
      </c>
      <c r="BI90" s="107">
        <f t="shared" si="1"/>
        <v>0</v>
      </c>
    </row>
    <row r="91" spans="1:61" ht="14.4" customHeight="1">
      <c r="A91" s="633"/>
      <c r="AU91" s="22">
        <f>OBJ!B204</f>
        <v>9257651</v>
      </c>
      <c r="AV91" s="23" t="str">
        <f>VLOOKUP(AU91,CENY!$B$11:$G$1034,2,FALSE)</f>
        <v>AVANTECH YOU SADA SPOJEK PRO VNITŘNÍ ČELO INLAY K BOKŮM STANDARD V187 MM STŘÍBRNÁ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492.14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 PLNOVÝSUV 500 MM EB21 SILENT SYSTEM LEVÝ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187.64</v>
      </c>
      <c r="BI91" s="107">
        <f t="shared" si="1"/>
        <v>0</v>
      </c>
    </row>
    <row r="92" spans="1:61" ht="14.4" customHeight="1">
      <c r="A92" s="633"/>
      <c r="AU92" s="22">
        <f>OBJ!B205</f>
        <v>9257657</v>
      </c>
      <c r="AV92" s="23" t="str">
        <f>VLOOKUP(AU92,CENY!$B$11:$G$1034,2,FALSE)</f>
        <v>AVANTECH YOU SADA SPOJEK PRO VNITŘNÍ ČELO INLAY K BOKŮM INLAY V187 MM STŘÍBRNÁ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492.14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 PLNOVÝSUV 500 MM EB21 SILENT SYSTEM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187.64</v>
      </c>
      <c r="BI92" s="107">
        <f t="shared" ref="BI92:BI124" si="6">IF(BH92="","",BH92*BG92)</f>
        <v>0</v>
      </c>
    </row>
    <row r="93" spans="1:61" ht="14.4" customHeight="1">
      <c r="A93" s="633"/>
      <c r="AU93" s="22"/>
      <c r="AV93" s="23"/>
      <c r="AW93" s="24"/>
      <c r="AX93" s="24"/>
      <c r="AY93" s="25"/>
      <c r="AZ93" s="107"/>
      <c r="BA93" s="107" t="str">
        <f t="shared" si="5"/>
        <v/>
      </c>
      <c r="BC93" s="22">
        <f>OBJ!B317</f>
        <v>9256876</v>
      </c>
      <c r="BD93" s="23" t="str">
        <f>VLOOKUP(BC93,CENY!$B$11:$G$1034,2,FALSE)</f>
        <v>QUADRO YOU PLNOVÝSUV 550 MM EB21 SILENT SYSTEM LEVÝ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194.36</v>
      </c>
      <c r="BI93" s="107">
        <f t="shared" si="6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5"/>
        <v/>
      </c>
      <c r="BC94" s="22">
        <f>OBJ!B318</f>
        <v>9256877</v>
      </c>
      <c r="BD94" s="23" t="str">
        <f>VLOOKUP(BC94,CENY!$B$11:$G$1034,2,FALSE)</f>
        <v>QUADRO YOU PLNOVÝSUV 550 MM EB21 SILENT SYSTEM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194.36</v>
      </c>
      <c r="BI94" s="107">
        <f t="shared" si="6"/>
        <v>0</v>
      </c>
    </row>
    <row r="95" spans="1:61" ht="14.4" customHeight="1">
      <c r="A95" s="633"/>
      <c r="AU95" s="22"/>
      <c r="AV95" s="23"/>
      <c r="AW95" s="24"/>
      <c r="AX95" s="24"/>
      <c r="AY95" s="25"/>
      <c r="AZ95" s="107"/>
      <c r="BA95" s="107" t="str">
        <f t="shared" si="5"/>
        <v/>
      </c>
      <c r="BC95" s="22">
        <f>OBJ!B319</f>
        <v>9256880</v>
      </c>
      <c r="BD95" s="23" t="str">
        <f>VLOOKUP(BC95,CENY!$B$11:$G$1034,2,FALSE)</f>
        <v>QUADRO YOU PLNOVÝSUV 600 MM EB21 SILENT SYSTEM LEVÝ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198.1</v>
      </c>
      <c r="BI95" s="107">
        <f t="shared" si="6"/>
        <v>0</v>
      </c>
    </row>
    <row r="96" spans="1:61" ht="14.4" customHeight="1">
      <c r="A96" s="633"/>
      <c r="AU96" s="22"/>
      <c r="AV96" s="23"/>
      <c r="AW96" s="24"/>
      <c r="AX96" s="24"/>
      <c r="AY96" s="25"/>
      <c r="AZ96" s="107"/>
      <c r="BA96" s="107" t="str">
        <f t="shared" si="5"/>
        <v/>
      </c>
      <c r="BC96" s="22">
        <f>OBJ!B320</f>
        <v>9256881</v>
      </c>
      <c r="BD96" s="23" t="str">
        <f>VLOOKUP(BC96,CENY!$B$11:$G$1034,2,FALSE)</f>
        <v>QUADRO YOU PLNOVÝSUV 600 MM EB21 SILENT SYSTEM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198.1</v>
      </c>
      <c r="BI96" s="107">
        <f t="shared" si="6"/>
        <v>0</v>
      </c>
    </row>
    <row r="97" spans="1:61" ht="14.4" customHeight="1">
      <c r="A97" s="633"/>
      <c r="AU97" s="22"/>
      <c r="AV97" s="23"/>
      <c r="AW97" s="24"/>
      <c r="AX97" s="24"/>
      <c r="AY97" s="25"/>
      <c r="AZ97" s="107"/>
      <c r="BA97" s="107" t="str">
        <f t="shared" si="5"/>
        <v/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6"/>
        <v>#N/A</v>
      </c>
    </row>
    <row r="98" spans="1:61" ht="14.4" customHeight="1">
      <c r="A98" s="633"/>
      <c r="AU98" s="22"/>
      <c r="AV98" s="23"/>
      <c r="AW98" s="24"/>
      <c r="AX98" s="24"/>
      <c r="AY98" s="25"/>
      <c r="AZ98" s="107"/>
      <c r="BA98" s="107" t="str">
        <f t="shared" si="5"/>
        <v/>
      </c>
      <c r="BC98" s="22">
        <f>OBJ!B322</f>
        <v>9257894</v>
      </c>
      <c r="BD98" s="23" t="str">
        <f>VLOOKUP(BC98,CENY!$B$11:$G$1034,2,FALSE)</f>
        <v>PUSH TO OPEN SILENT QUADRO YOU 10 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544.37</v>
      </c>
      <c r="BI98" s="107">
        <f t="shared" si="6"/>
        <v>0</v>
      </c>
    </row>
    <row r="99" spans="1:61" ht="14.4" customHeight="1">
      <c r="A99" s="633"/>
      <c r="AU99" s="22"/>
      <c r="AV99" s="23"/>
      <c r="AW99" s="24"/>
      <c r="AX99" s="24"/>
      <c r="AY99" s="25"/>
      <c r="AZ99" s="107"/>
      <c r="BA99" s="107" t="str">
        <f t="shared" si="5"/>
        <v/>
      </c>
      <c r="BC99" s="22">
        <f>OBJ!B323</f>
        <v>9257895</v>
      </c>
      <c r="BD99" s="23" t="str">
        <f>VLOOKUP(BC99,CENY!$B$11:$G$1034,2,FALSE)</f>
        <v>PUSH TO OPEN SILENT QUADRO YOU 20 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544.37</v>
      </c>
      <c r="BI99" s="107">
        <f t="shared" si="6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5"/>
        <v/>
      </c>
      <c r="BC100" s="22">
        <f>OBJ!B324</f>
        <v>9257896</v>
      </c>
      <c r="BD100" s="23" t="str">
        <f>VLOOKUP(BC100,CENY!$B$11:$G$1034,2,FALSE)</f>
        <v>PUSH TO OPEN SILENT QUADRO YOU 30 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544.37</v>
      </c>
      <c r="BI100" s="107">
        <f t="shared" si="6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6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vnitřních čel nyní pasuje s počtem zásuvek.</v>
      </c>
      <c r="BC102" s="22">
        <f>OBJ!B326</f>
        <v>9256928</v>
      </c>
      <c r="BD102" s="23" t="str">
        <f>VLOOKUP(BC102,CENY!$B$11:$G$1034,2,FALSE)</f>
        <v>QUADRO YOU PLNOVÝSUV 270 MM EB21 PUSH TO OPEN SADA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413.4</v>
      </c>
      <c r="BI102" s="107">
        <f t="shared" si="6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 PLNOVÝSUV 300 MM EB21 PUSH TO OPEN SADA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414.13</v>
      </c>
      <c r="BI103" s="107">
        <f t="shared" si="6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 PLNOVÝSUV 350 MM EB21 PUSH TO OPEN SADA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421.61</v>
      </c>
      <c r="BI104" s="107">
        <f t="shared" si="6"/>
        <v>0</v>
      </c>
    </row>
    <row r="105" spans="1:61">
      <c r="A105" s="633"/>
      <c r="BC105" s="22">
        <f>OBJ!B329</f>
        <v>9256933</v>
      </c>
      <c r="BD105" s="23" t="str">
        <f>VLOOKUP(BC105,CENY!$B$11:$G$1034,2,FALSE)</f>
        <v>QUADRO YOU PLNOVÝSUV 400 MM EB21 PUSH TO OPEN SADA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429.08</v>
      </c>
      <c r="BI105" s="107">
        <f t="shared" si="6"/>
        <v>0</v>
      </c>
    </row>
    <row r="106" spans="1:61">
      <c r="AU106" s="178">
        <f>SUM(O84:AF84)</f>
        <v>0</v>
      </c>
      <c r="BC106" s="22">
        <f>OBJ!B330</f>
        <v>9256935</v>
      </c>
      <c r="BD106" s="23" t="str">
        <f>VLOOKUP(BC106,CENY!$B$11:$G$1034,2,FALSE)</f>
        <v>QUADRO YOU PLNOVÝSUV 450 MM EB21 PUSH TO OPEN SADA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436.55</v>
      </c>
      <c r="BI106" s="107">
        <f t="shared" si="6"/>
        <v>0</v>
      </c>
    </row>
    <row r="107" spans="1:61">
      <c r="AU107" s="111">
        <f>AU106-AU104</f>
        <v>0</v>
      </c>
      <c r="BC107" s="22">
        <f>OBJ!B331</f>
        <v>9256937</v>
      </c>
      <c r="BD107" s="23" t="str">
        <f>VLOOKUP(BC107,CENY!$B$11:$G$1034,2,FALSE)</f>
        <v>QUADRO YOU PLNOVÝSUV 500 MM EB21 PUSH TO OPEN SADA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444.02</v>
      </c>
      <c r="BI107" s="107">
        <f t="shared" si="6"/>
        <v>0</v>
      </c>
    </row>
    <row r="108" spans="1:61">
      <c r="AU108" s="111">
        <f>AU104-AU106</f>
        <v>0</v>
      </c>
      <c r="BC108" s="22">
        <f>OBJ!B332</f>
        <v>9256939</v>
      </c>
      <c r="BD108" s="23" t="str">
        <f>VLOOKUP(BC108,CENY!$B$11:$G$1034,2,FALSE)</f>
        <v>QUADRO YOU PLNOVÝSUV 550 MM EB21 PUSH TO OPEN SADA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457.48</v>
      </c>
      <c r="BI108" s="107">
        <f t="shared" si="6"/>
        <v>0</v>
      </c>
    </row>
    <row r="109" spans="1:61">
      <c r="BC109" s="22">
        <f>OBJ!B333</f>
        <v>9256941</v>
      </c>
      <c r="BD109" s="23" t="str">
        <f>VLOOKUP(BC109,CENY!$B$11:$G$1034,2,FALSE)</f>
        <v>QUADRO YOU PLNOVÝSUV 600 MM EB21 PUSH TO OPEN SADA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464.95</v>
      </c>
      <c r="BI109" s="107">
        <f t="shared" si="6"/>
        <v>0</v>
      </c>
    </row>
    <row r="110" spans="1:61">
      <c r="BC110" s="22">
        <f>OBJ!B334</f>
        <v>9256899</v>
      </c>
      <c r="BD110" s="23" t="str">
        <f>VLOOKUP(BC110,CENY!$B$11:$G$1034,2,FALSE)</f>
        <v>QUADRO YOU PLNOVÝSUV 270 MM EB21 PUSH TO OPEN LEVÝ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194.74</v>
      </c>
      <c r="BI110" s="107">
        <f t="shared" si="6"/>
        <v>0</v>
      </c>
    </row>
    <row r="111" spans="1:61">
      <c r="BC111" s="22">
        <f>OBJ!B335</f>
        <v>9256900</v>
      </c>
      <c r="BD111" s="23" t="str">
        <f>VLOOKUP(BC111,CENY!$B$11:$G$1034,2,FALSE)</f>
        <v>QUADRO YOU PLNOVÝSUV 270 MM EB21 PUSH TO OPEN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194.74</v>
      </c>
      <c r="BI111" s="107">
        <f t="shared" si="6"/>
        <v>0</v>
      </c>
    </row>
    <row r="112" spans="1:61">
      <c r="BC112" s="22">
        <f>OBJ!B336</f>
        <v>9256901</v>
      </c>
      <c r="BD112" s="23" t="str">
        <f>VLOOKUP(BC112,CENY!$B$11:$G$1034,2,FALSE)</f>
        <v>QUADRO YOU PLNOVÝSUV 300 MM EB21 PUSH TO OPEN LEVÝ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195.11</v>
      </c>
      <c r="BI112" s="107">
        <f t="shared" si="6"/>
        <v>0</v>
      </c>
    </row>
    <row r="113" spans="55:61">
      <c r="BC113" s="22">
        <f>OBJ!B337</f>
        <v>9256902</v>
      </c>
      <c r="BD113" s="23" t="str">
        <f>VLOOKUP(BC113,CENY!$B$11:$G$1034,2,FALSE)</f>
        <v>QUADRO YOU PLNOVÝSUV 300 MM EB21 PUSH TO OPEN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195.11</v>
      </c>
      <c r="BI113" s="107">
        <f t="shared" si="6"/>
        <v>0</v>
      </c>
    </row>
    <row r="114" spans="55:61">
      <c r="BC114" s="22">
        <f>OBJ!B338</f>
        <v>9256905</v>
      </c>
      <c r="BD114" s="23" t="str">
        <f>VLOOKUP(BC114,CENY!$B$11:$G$1034,2,FALSE)</f>
        <v>QUADRO YOU PLNOVÝSUV 350 MM EB21 PUSH TO OPEN LEVÝ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198.85</v>
      </c>
      <c r="BI114" s="107">
        <f t="shared" si="6"/>
        <v>0</v>
      </c>
    </row>
    <row r="115" spans="55:61">
      <c r="BC115" s="22">
        <f>OBJ!B339</f>
        <v>9256906</v>
      </c>
      <c r="BD115" s="23" t="str">
        <f>VLOOKUP(BC115,CENY!$B$11:$G$1034,2,FALSE)</f>
        <v>QUADRO YOU PLNOVÝSUV 350 MM EB21 PUSH TO OPEN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198.85</v>
      </c>
      <c r="BI115" s="107">
        <f t="shared" si="6"/>
        <v>0</v>
      </c>
    </row>
    <row r="116" spans="55:61">
      <c r="BC116" s="22">
        <f>OBJ!B340</f>
        <v>9256909</v>
      </c>
      <c r="BD116" s="23" t="str">
        <f>VLOOKUP(BC116,CENY!$B$11:$G$1034,2,FALSE)</f>
        <v>QUADRO YOU PLNOVÝSUV 400 MM EB21 PUSH TO OPEN LEVÝ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202.58</v>
      </c>
      <c r="BI116" s="107">
        <f t="shared" si="6"/>
        <v>0</v>
      </c>
    </row>
    <row r="117" spans="55:61">
      <c r="BC117" s="22">
        <f>OBJ!B341</f>
        <v>9256910</v>
      </c>
      <c r="BD117" s="23" t="str">
        <f>VLOOKUP(BC117,CENY!$B$11:$G$1034,2,FALSE)</f>
        <v>QUADRO YOU PLNOVÝSUV 400 MM EB21 PUSH TO OPEN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202.58</v>
      </c>
      <c r="BI117" s="107">
        <f t="shared" si="6"/>
        <v>0</v>
      </c>
    </row>
    <row r="118" spans="55:61">
      <c r="BC118" s="22">
        <f>OBJ!B342</f>
        <v>9256913</v>
      </c>
      <c r="BD118" s="23" t="str">
        <f>VLOOKUP(BC118,CENY!$B$11:$G$1034,2,FALSE)</f>
        <v>QUADRO YOU PLNOVÝSUV 450 MM EB21 PUSH TO OPEN LEVÝ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206.32</v>
      </c>
      <c r="BI118" s="107">
        <f t="shared" si="6"/>
        <v>0</v>
      </c>
    </row>
    <row r="119" spans="55:61">
      <c r="BC119" s="22">
        <f>OBJ!B343</f>
        <v>9256914</v>
      </c>
      <c r="BD119" s="23" t="str">
        <f>VLOOKUP(BC119,CENY!$B$11:$G$1034,2,FALSE)</f>
        <v>QUADRO YOU PLNOVÝSUV 450 MM EB21 PUSH TO OPEN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206.32</v>
      </c>
      <c r="BI119" s="107">
        <f t="shared" si="6"/>
        <v>0</v>
      </c>
    </row>
    <row r="120" spans="55:61">
      <c r="BC120" s="22">
        <f>OBJ!B344</f>
        <v>9256917</v>
      </c>
      <c r="BD120" s="23" t="str">
        <f>VLOOKUP(BC120,CENY!$B$11:$G$1034,2,FALSE)</f>
        <v>QUADRO YOU PLNOVÝSUV 500 MM EB21 PUSH TO OPEN LEVÝ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210.06</v>
      </c>
      <c r="BI120" s="107">
        <f t="shared" si="6"/>
        <v>0</v>
      </c>
    </row>
    <row r="121" spans="55:61">
      <c r="BC121" s="22">
        <f>OBJ!B345</f>
        <v>9256918</v>
      </c>
      <c r="BD121" s="23" t="str">
        <f>VLOOKUP(BC121,CENY!$B$11:$G$1034,2,FALSE)</f>
        <v>QUADRO YOU PLNOVÝSUV 500 MM EB21 PUSH TO OPEN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210.06</v>
      </c>
      <c r="BI121" s="107">
        <f t="shared" si="6"/>
        <v>0</v>
      </c>
    </row>
    <row r="122" spans="55:61">
      <c r="BC122" s="22">
        <f>OBJ!B346</f>
        <v>9256921</v>
      </c>
      <c r="BD122" s="23" t="str">
        <f>VLOOKUP(BC122,CENY!$B$11:$G$1034,2,FALSE)</f>
        <v>QUADRO YOU PLNOVÝSUV 550 MM EB21 PUSH TO OPEN LEVÝ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216.78</v>
      </c>
      <c r="BI122" s="107">
        <f t="shared" si="6"/>
        <v>0</v>
      </c>
    </row>
    <row r="123" spans="55:61">
      <c r="BC123" s="22">
        <f>OBJ!B347</f>
        <v>9256922</v>
      </c>
      <c r="BD123" s="23" t="str">
        <f>VLOOKUP(BC123,CENY!$B$11:$G$1034,2,FALSE)</f>
        <v>QUADRO YOU PLNOVÝSUV 550 MM EB21 PUSH TO OPEN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216.78</v>
      </c>
      <c r="BI123" s="107">
        <f t="shared" si="6"/>
        <v>0</v>
      </c>
    </row>
    <row r="124" spans="55:61">
      <c r="BC124" s="22">
        <f>OBJ!B348</f>
        <v>9256925</v>
      </c>
      <c r="BD124" s="23" t="str">
        <f>VLOOKUP(BC124,CENY!$B$11:$G$1034,2,FALSE)</f>
        <v>QUADRO YOU PLNOVÝSUV 600 MM EB21 PUSH TO OPEN LEVÝ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223.51</v>
      </c>
      <c r="BI124" s="107">
        <f t="shared" si="6"/>
        <v>0</v>
      </c>
    </row>
    <row r="125" spans="55:61">
      <c r="BC125" s="22"/>
      <c r="BD125" s="23"/>
      <c r="BE125" s="24"/>
      <c r="BF125" s="24"/>
      <c r="BG125" s="25"/>
      <c r="BH125" s="107"/>
      <c r="BI125" s="107"/>
    </row>
    <row r="126" spans="55:61">
      <c r="BC126" s="22"/>
      <c r="BD126" s="23"/>
      <c r="BE126" s="24"/>
      <c r="BF126" s="24"/>
      <c r="BG126" s="25"/>
      <c r="BH126" s="107"/>
      <c r="BI126" s="107"/>
    </row>
    <row r="127" spans="55:61">
      <c r="BC127" s="22"/>
      <c r="BD127" s="23"/>
      <c r="BE127" s="24"/>
      <c r="BF127" s="24"/>
      <c r="BG127" s="25"/>
      <c r="BH127" s="107"/>
      <c r="BI127" s="107" t="str">
        <f t="shared" ref="BI127:BI134" si="7">IF(BH127="","",BH127*BG127)</f>
        <v/>
      </c>
    </row>
    <row r="128" spans="55:61">
      <c r="BC128" s="22"/>
      <c r="BD128" s="23"/>
      <c r="BE128" s="24"/>
      <c r="BF128" s="24"/>
      <c r="BG128" s="25"/>
      <c r="BH128" s="107"/>
      <c r="BI128" s="107" t="str">
        <f t="shared" si="7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7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7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7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7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7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7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26">
    <mergeCell ref="AA84:AB84"/>
    <mergeCell ref="AC84:AD84"/>
    <mergeCell ref="AE84:AF84"/>
    <mergeCell ref="AI67:AM67"/>
    <mergeCell ref="AO67:AR67"/>
    <mergeCell ref="O82:AF82"/>
    <mergeCell ref="O83:P83"/>
    <mergeCell ref="Q83:R83"/>
    <mergeCell ref="S83:T83"/>
    <mergeCell ref="U83:V83"/>
    <mergeCell ref="W83:X83"/>
    <mergeCell ref="AA83:AB83"/>
    <mergeCell ref="AC83:AD83"/>
    <mergeCell ref="AE83:AF83"/>
    <mergeCell ref="AA67:AE67"/>
    <mergeCell ref="A66:A105"/>
    <mergeCell ref="B67:E67"/>
    <mergeCell ref="G67:K67"/>
    <mergeCell ref="O67:S67"/>
    <mergeCell ref="U67:Y67"/>
    <mergeCell ref="Y83:Z83"/>
    <mergeCell ref="Y84:Z84"/>
    <mergeCell ref="M84:N84"/>
    <mergeCell ref="O84:P84"/>
    <mergeCell ref="Q84:R84"/>
    <mergeCell ref="S84:T84"/>
    <mergeCell ref="U84:V84"/>
    <mergeCell ref="W84:X84"/>
    <mergeCell ref="O24:S25"/>
    <mergeCell ref="AQ21:AR21"/>
    <mergeCell ref="AI21:AJ21"/>
    <mergeCell ref="AK21:AL21"/>
    <mergeCell ref="AM21:AN21"/>
    <mergeCell ref="AO21:AP21"/>
    <mergeCell ref="U21:V21"/>
    <mergeCell ref="W21:X21"/>
    <mergeCell ref="Y21:Z21"/>
    <mergeCell ref="AA21:AB21"/>
    <mergeCell ref="AE21:AF21"/>
    <mergeCell ref="AG21:AH21"/>
    <mergeCell ref="AQ20:AR20"/>
    <mergeCell ref="S20:T20"/>
    <mergeCell ref="U20:V20"/>
    <mergeCell ref="W20:X20"/>
    <mergeCell ref="Y20:Z20"/>
    <mergeCell ref="AA20:AB20"/>
    <mergeCell ref="AE20:AF20"/>
    <mergeCell ref="B21:G21"/>
    <mergeCell ref="H21:L21"/>
    <mergeCell ref="M21:N21"/>
    <mergeCell ref="O21:P21"/>
    <mergeCell ref="Q21:R21"/>
    <mergeCell ref="S21:T21"/>
    <mergeCell ref="AG20:AH20"/>
    <mergeCell ref="AI20:AJ20"/>
    <mergeCell ref="AK20:AL20"/>
    <mergeCell ref="AI19:AJ19"/>
    <mergeCell ref="AK19:AL19"/>
    <mergeCell ref="AM19:AN19"/>
    <mergeCell ref="AO19:AP19"/>
    <mergeCell ref="AQ19:AR19"/>
    <mergeCell ref="B20:G20"/>
    <mergeCell ref="H20:L20"/>
    <mergeCell ref="M20:N20"/>
    <mergeCell ref="O20:P20"/>
    <mergeCell ref="Q20:R20"/>
    <mergeCell ref="U19:V19"/>
    <mergeCell ref="W19:X19"/>
    <mergeCell ref="Y19:Z19"/>
    <mergeCell ref="AA19:AB19"/>
    <mergeCell ref="AE19:AF19"/>
    <mergeCell ref="AG19:AH19"/>
    <mergeCell ref="B19:G19"/>
    <mergeCell ref="H19:L19"/>
    <mergeCell ref="M19:N19"/>
    <mergeCell ref="O19:P19"/>
    <mergeCell ref="Q19:R19"/>
    <mergeCell ref="S19:T19"/>
    <mergeCell ref="AM20:AN20"/>
    <mergeCell ref="AO20:AP20"/>
    <mergeCell ref="AM18:AN18"/>
    <mergeCell ref="AO18:AP18"/>
    <mergeCell ref="AQ18:AR18"/>
    <mergeCell ref="O17:AB17"/>
    <mergeCell ref="AE17:AR17"/>
    <mergeCell ref="O18:P18"/>
    <mergeCell ref="Q18:R18"/>
    <mergeCell ref="S18:T18"/>
    <mergeCell ref="U18:V18"/>
    <mergeCell ref="W18:X18"/>
    <mergeCell ref="Y18:Z18"/>
    <mergeCell ref="AA18:AB18"/>
    <mergeCell ref="AE18:AF18"/>
    <mergeCell ref="F9:K9"/>
    <mergeCell ref="B10:E10"/>
    <mergeCell ref="F10:K10"/>
    <mergeCell ref="B11:E11"/>
    <mergeCell ref="F11:I11"/>
    <mergeCell ref="J11:K11"/>
    <mergeCell ref="AG18:AH18"/>
    <mergeCell ref="AI18:AJ18"/>
    <mergeCell ref="AK18:AL18"/>
    <mergeCell ref="AP6:AQ6"/>
    <mergeCell ref="AP9:AQ9"/>
    <mergeCell ref="AP12:AQ12"/>
    <mergeCell ref="AP15:AQ15"/>
    <mergeCell ref="U2:Y2"/>
    <mergeCell ref="AA2:AE2"/>
    <mergeCell ref="AI2:AM2"/>
    <mergeCell ref="AO2:AR2"/>
    <mergeCell ref="B6:E6"/>
    <mergeCell ref="F6:K6"/>
    <mergeCell ref="O2:S2"/>
    <mergeCell ref="B7:E7"/>
    <mergeCell ref="F7:K7"/>
    <mergeCell ref="B8:E8"/>
    <mergeCell ref="F8:K8"/>
    <mergeCell ref="B2:E2"/>
    <mergeCell ref="G2:K2"/>
    <mergeCell ref="B12:E12"/>
    <mergeCell ref="F12:I12"/>
    <mergeCell ref="J12:K12"/>
    <mergeCell ref="B13:E13"/>
    <mergeCell ref="F13:I13"/>
    <mergeCell ref="J13:K13"/>
    <mergeCell ref="B9:E9"/>
  </mergeCells>
  <conditionalFormatting sqref="AY5:AY100 BG5:BG160">
    <cfRule type="cellIs" dxfId="690" priority="3" stopIfTrue="1" operator="equal">
      <formula>0</formula>
    </cfRule>
  </conditionalFormatting>
  <conditionalFormatting sqref="AR87">
    <cfRule type="expression" dxfId="689" priority="2" stopIfTrue="1">
      <formula>$AV$102=AR87</formula>
    </cfRule>
  </conditionalFormatting>
  <hyperlinks>
    <hyperlink ref="O2:S2" location="MENU!A5" display="MENU!A5"/>
    <hyperlink ref="M69" location="MENU!A1" display="MENU!A1"/>
    <hyperlink ref="B67:E67" location="'potr-v-R'!A1" display="'potr-v-R'!A1"/>
    <hyperlink ref="O24:S25" location="'potr-v-R'!A66" display="'potr-v-R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rgb="FF92D050"/>
  </sheetPr>
  <dimension ref="A1:BI160"/>
  <sheetViews>
    <sheetView showGridLines="0" showRowColHeaders="0" topLeftCell="A128" zoomScaleNormal="100" workbookViewId="0">
      <selection activeCell="AT160" sqref="AT160"/>
    </sheetView>
  </sheetViews>
  <sheetFormatPr defaultColWidth="9" defaultRowHeight="13.8"/>
  <cols>
    <col min="1" max="1" width="3.6640625" style="97" customWidth="1"/>
    <col min="2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27.109375" style="97" hidden="1" customWidth="1"/>
    <col min="49" max="49" width="4.33203125" style="97" hidden="1" customWidth="1"/>
    <col min="50" max="50" width="2" style="97" hidden="1" customWidth="1"/>
    <col min="51" max="51" width="4.6640625" style="97" hidden="1" customWidth="1"/>
    <col min="52" max="53" width="9" style="97" hidden="1" customWidth="1"/>
    <col min="54" max="54" width="2.6640625" style="97" hidden="1" customWidth="1"/>
    <col min="55" max="55" width="9" style="97" hidden="1" customWidth="1"/>
    <col min="56" max="56" width="25.77734375" style="97" hidden="1" customWidth="1"/>
    <col min="57" max="57" width="4.33203125" style="97" hidden="1" customWidth="1"/>
    <col min="58" max="58" width="2" style="97" hidden="1" customWidth="1"/>
    <col min="59" max="59" width="4.6640625" style="97" hidden="1" customWidth="1"/>
    <col min="60" max="61" width="9" style="97" hidden="1" customWidth="1"/>
    <col min="62" max="16384" width="9" style="97"/>
  </cols>
  <sheetData>
    <row r="1" spans="1:61" ht="12.9" customHeight="1" thickBot="1">
      <c r="AV1" s="159"/>
      <c r="AW1" s="257" t="s">
        <v>238</v>
      </c>
      <c r="AY1" s="256"/>
    </row>
    <row r="2" spans="1:61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257" t="s">
        <v>239</v>
      </c>
      <c r="AY2" s="256">
        <f>AP9</f>
        <v>2</v>
      </c>
    </row>
    <row r="3" spans="1:61" ht="12.9" customHeight="1">
      <c r="AV3" s="255"/>
      <c r="AW3" s="257" t="s">
        <v>240</v>
      </c>
      <c r="AY3" s="256"/>
    </row>
    <row r="4" spans="1:61" ht="23.1" customHeight="1">
      <c r="A4" s="100"/>
      <c r="B4" s="104" t="s">
        <v>293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257" t="s">
        <v>241</v>
      </c>
      <c r="AY4" s="256">
        <f>AP15</f>
        <v>2</v>
      </c>
      <c r="BA4" s="106" t="e">
        <f>SUM(BA5:BA75)</f>
        <v>#N/A</v>
      </c>
      <c r="BC4" s="105" t="s">
        <v>40</v>
      </c>
      <c r="BI4" s="106" t="e">
        <f>SUM(BI5:BI1016)</f>
        <v>#REF!</v>
      </c>
    </row>
    <row r="5" spans="1:61" ht="14.4" customHeight="1">
      <c r="AU5" s="22">
        <f>OBJ!B25</f>
        <v>9255242</v>
      </c>
      <c r="AV5" s="23" t="str">
        <f>VLOOKUP(AU5,CENY!$B$11:$G$1034,2,FALSE)</f>
        <v>AVANTECH YOU BOKY V SADĚ V77 MM NL500 MM STŘÍBRNÁ</v>
      </c>
      <c r="AW5" s="24">
        <f>VLOOKUP(AU5,CENY!$B$11:$G$1034,3,FALSE)</f>
        <v>1</v>
      </c>
      <c r="AX5" s="24"/>
      <c r="AY5" s="77"/>
      <c r="AZ5" s="107">
        <f>VLOOKUP(AU5,CENY!$B$11:$M$2005,12,FALSE)</f>
        <v>576.28</v>
      </c>
      <c r="BA5" s="107">
        <f t="shared" ref="BA5:BA76" si="0">IF(AZ5="","",AZ5*AY5)</f>
        <v>0</v>
      </c>
      <c r="BC5" s="22">
        <f>OBJ!B62</f>
        <v>9255020</v>
      </c>
      <c r="BD5" s="23" t="str">
        <f>VLOOKUP(BC5,CENY!$B$11:$G$1034,2,FALSE)</f>
        <v>AVANTECH YOU BOK V101 MM NL550 MM STŘÍBRNÝ LEVÝ</v>
      </c>
      <c r="BE5" s="24">
        <f>VLOOKUP(BC5,CENY!$B$11:$G$1034,3,FALSE)</f>
        <v>20</v>
      </c>
      <c r="BF5" s="24"/>
      <c r="BG5" s="77"/>
      <c r="BH5" s="107">
        <f>VLOOKUP(BC5,CENY!$B$11:$M$2005,12,FALSE)</f>
        <v>196.37</v>
      </c>
      <c r="BI5" s="107">
        <f t="shared" ref="BI5:BI91" si="1">IF(BH5="","",BH5*BG5)</f>
        <v>0</v>
      </c>
    </row>
    <row r="6" spans="1:61" ht="14.4" customHeight="1">
      <c r="B6" s="553" t="str">
        <f>" "&amp;verze!E90</f>
        <v xml:space="preserve"> bočnice:</v>
      </c>
      <c r="C6" s="553"/>
      <c r="D6" s="553"/>
      <c r="E6" s="553"/>
      <c r="F6" s="554" t="s">
        <v>140</v>
      </c>
      <c r="G6" s="554"/>
      <c r="H6" s="554"/>
      <c r="I6" s="554"/>
      <c r="J6" s="554"/>
      <c r="K6" s="554"/>
      <c r="AO6" s="287"/>
      <c r="AU6" s="22">
        <f>OBJ!B26</f>
        <v>9255243</v>
      </c>
      <c r="AV6" s="23" t="str">
        <f>VLOOKUP(AU6,CENY!$B$11:$G$1034,2,FALSE)</f>
        <v>AVANTECH YOU BOKY V SADĚ V77 MM NL550 MM STŘÍBRNÁ</v>
      </c>
      <c r="AW6" s="24">
        <f>VLOOKUP(AU6,CENY!$B$11:$G$1034,3,FALSE)</f>
        <v>1</v>
      </c>
      <c r="AX6" s="24"/>
      <c r="AY6" s="77"/>
      <c r="AZ6" s="107">
        <f>VLOOKUP(AU6,CENY!$B$11:$M$2005,12,FALSE)</f>
        <v>583.24</v>
      </c>
      <c r="BA6" s="107">
        <f t="shared" si="0"/>
        <v>0</v>
      </c>
      <c r="BC6" s="22">
        <f>OBJ!B63</f>
        <v>9255021</v>
      </c>
      <c r="BD6" s="23" t="str">
        <f>VLOOKUP(BC6,CENY!$B$11:$G$1034,2,FALSE)</f>
        <v>AVANTECH YOU BOK V101 MM NL550 MM STŘÍBRNÝ PRAVÝ</v>
      </c>
      <c r="BE6" s="24">
        <f>VLOOKUP(BC6,CENY!$B$11:$G$1034,3,FALSE)</f>
        <v>20</v>
      </c>
      <c r="BF6" s="24"/>
      <c r="BG6" s="77"/>
      <c r="BH6" s="107">
        <f>VLOOKUP(BC6,CENY!$B$11:$M$2005,12,FALSE)</f>
        <v>196.37</v>
      </c>
      <c r="BI6" s="107">
        <f t="shared" si="1"/>
        <v>0</v>
      </c>
    </row>
    <row r="7" spans="1:61" ht="14.4" customHeight="1">
      <c r="B7" s="553" t="str">
        <f>" "&amp;verze!E91</f>
        <v xml:space="preserve"> záda:</v>
      </c>
      <c r="C7" s="553"/>
      <c r="D7" s="553"/>
      <c r="E7" s="553"/>
      <c r="F7" s="554" t="s">
        <v>235</v>
      </c>
      <c r="G7" s="554"/>
      <c r="H7" s="554"/>
      <c r="I7" s="554"/>
      <c r="J7" s="554"/>
      <c r="K7" s="554"/>
      <c r="AU7" s="22">
        <f>OBJ!B27</f>
        <v>79665</v>
      </c>
      <c r="AV7" s="23" t="str">
        <f>VLOOKUP(AU7,CENY!$B$11:$G$1034,2,FALSE)</f>
        <v>SPOJOVACI ÚHELNÍK 31X31 MM</v>
      </c>
      <c r="AW7" s="24">
        <f>VLOOKUP(AU7,CENY!$B$11:$G$1034,3,FALSE)</f>
        <v>100</v>
      </c>
      <c r="AX7" s="24"/>
      <c r="AY7" s="25">
        <f>SUM(AY1:AY4)*(S19+S20+S21+S26+S27)</f>
        <v>0</v>
      </c>
      <c r="AZ7" s="107">
        <f>VLOOKUP(AU7,CENY!$B$11:$M$2005,12,FALSE)</f>
        <v>5.96</v>
      </c>
      <c r="BA7" s="107">
        <f t="shared" si="0"/>
        <v>0</v>
      </c>
      <c r="BC7" s="22">
        <f>OBJ!B64</f>
        <v>9255022</v>
      </c>
      <c r="BD7" s="23" t="str">
        <f>VLOOKUP(BC7,CENY!$B$11:$G$1034,2,FALSE)</f>
        <v>AVANTECH YOU BOK V101 MM NL600 MM STŘÍBRNÝ LEVÝ</v>
      </c>
      <c r="BE7" s="24">
        <f>VLOOKUP(BC7,CENY!$B$11:$G$1034,3,FALSE)</f>
        <v>20</v>
      </c>
      <c r="BF7" s="24"/>
      <c r="BG7" s="77"/>
      <c r="BH7" s="107">
        <f>VLOOKUP(BC7,CENY!$B$11:$M$2005,12,FALSE)</f>
        <v>201.36</v>
      </c>
      <c r="BI7" s="107">
        <f t="shared" si="1"/>
        <v>0</v>
      </c>
    </row>
    <row r="8" spans="1:61" ht="14.4" customHeight="1" thickBot="1">
      <c r="B8" s="553" t="str">
        <f>" "&amp;verze!E56</f>
        <v xml:space="preserve"> barva:</v>
      </c>
      <c r="C8" s="553"/>
      <c r="D8" s="553"/>
      <c r="E8" s="553"/>
      <c r="F8" s="554" t="str">
        <f>" "&amp;FORM!U8</f>
        <v xml:space="preserve"> stříbrná</v>
      </c>
      <c r="G8" s="554"/>
      <c r="H8" s="554"/>
      <c r="I8" s="554"/>
      <c r="J8" s="554"/>
      <c r="K8" s="554"/>
      <c r="AU8" s="22">
        <f>OBJ!B28</f>
        <v>0</v>
      </c>
      <c r="AV8" s="23" t="e">
        <f>VLOOKUP(AU8,CENY!$B$11:$G$1034,2,FALSE)</f>
        <v>#N/A</v>
      </c>
      <c r="AW8" s="24" t="e">
        <f>VLOOKUP(AU8,CENY!$B$11:$G$1034,3,FALSE)</f>
        <v>#N/A</v>
      </c>
      <c r="AX8" s="24"/>
      <c r="AY8" s="25">
        <f>SUM(AY1:AY4)*(U19+U20+U21+U26+U27)</f>
        <v>0</v>
      </c>
      <c r="AZ8" s="107" t="e">
        <f>VLOOKUP(AU8,CENY!$B$11:$M$2005,12,FALSE)</f>
        <v>#N/A</v>
      </c>
      <c r="BA8" s="107" t="e">
        <f t="shared" si="0"/>
        <v>#N/A</v>
      </c>
      <c r="BC8" s="22">
        <f>OBJ!B65</f>
        <v>9255023</v>
      </c>
      <c r="BD8" s="23" t="str">
        <f>VLOOKUP(BC8,CENY!$B$11:$G$1034,2,FALSE)</f>
        <v>AVANTECH YOU BOK V101 MM NL600 MM STŘÍBRNÝ PRAVÝ</v>
      </c>
      <c r="BE8" s="24">
        <f>VLOOKUP(BC8,CENY!$B$11:$G$1034,3,FALSE)</f>
        <v>20</v>
      </c>
      <c r="BF8" s="24"/>
      <c r="BG8" s="77"/>
      <c r="BH8" s="107">
        <f>VLOOKUP(BC8,CENY!$B$11:$M$2005,12,FALSE)</f>
        <v>201.36</v>
      </c>
      <c r="BI8" s="107">
        <f t="shared" si="1"/>
        <v>0</v>
      </c>
    </row>
    <row r="9" spans="1:61" ht="14.4" customHeight="1" thickBo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O9" s="287" t="s">
        <v>299</v>
      </c>
      <c r="AP9" s="602">
        <v>2</v>
      </c>
      <c r="AQ9" s="603"/>
      <c r="AU9" s="22">
        <f>OBJ!B29</f>
        <v>9255000</v>
      </c>
      <c r="AV9" s="23" t="str">
        <f>VLOOKUP(AU9,CENY!$B$11:$G$1034,2,FALSE)</f>
        <v>AVANTECH YOU BOK V77 MM NL400 MM STŘÍBRNÝ LEVÝ</v>
      </c>
      <c r="AW9" s="24">
        <f>VLOOKUP(AU9,CENY!$B$11:$G$1034,3,FALSE)</f>
        <v>10</v>
      </c>
      <c r="AX9" s="24"/>
      <c r="AY9" s="25">
        <f>SUM(AY1:AY4)*(W19+W20+W21+W26+W27)</f>
        <v>0</v>
      </c>
      <c r="AZ9" s="107">
        <f>VLOOKUP(AU9,CENY!$B$11:$M$2005,12,FALSE)</f>
        <v>186.44</v>
      </c>
      <c r="BA9" s="107">
        <f t="shared" si="0"/>
        <v>0</v>
      </c>
      <c r="BC9" s="22">
        <f>OBJ!B66</f>
        <v>9255024</v>
      </c>
      <c r="BD9" s="23" t="str">
        <f>VLOOKUP(BC9,CENY!$B$11:$G$1034,2,FALSE)</f>
        <v>AVANTECH YOU BOK V101 MM NL650 MM STŘÍBRNÝ LEVÝ</v>
      </c>
      <c r="BE9" s="24">
        <f>VLOOKUP(BC9,CENY!$B$11:$G$1034,3,FALSE)</f>
        <v>20</v>
      </c>
      <c r="BF9" s="24"/>
      <c r="BG9" s="25">
        <f>SUM(AY1:AY4)*(AI$19+AI$20+AI$21+AI$26+AI$27)</f>
        <v>0</v>
      </c>
      <c r="BH9" s="107">
        <f>VLOOKUP(BC9,CENY!$B$11:$M$2005,12,FALSE)</f>
        <v>208.15</v>
      </c>
      <c r="BI9" s="107">
        <f t="shared" si="1"/>
        <v>0</v>
      </c>
    </row>
    <row r="10" spans="1:61" ht="14.4" customHeight="1" thickBot="1">
      <c r="B10" s="553" t="str">
        <f>" "&amp;verze!E57</f>
        <v xml:space="preserve"> čelní kování:</v>
      </c>
      <c r="C10" s="553"/>
      <c r="D10" s="553"/>
      <c r="E10" s="553"/>
      <c r="F10" s="554" t="str">
        <f>" "&amp;FORM!AM8</f>
        <v xml:space="preserve"> na vruty</v>
      </c>
      <c r="G10" s="554"/>
      <c r="H10" s="554"/>
      <c r="I10" s="554"/>
      <c r="J10" s="554"/>
      <c r="K10" s="554"/>
      <c r="AU10" s="22">
        <f>OBJ!B30</f>
        <v>9255001</v>
      </c>
      <c r="AV10" s="23" t="str">
        <f>VLOOKUP(AU10,CENY!$B$11:$G$1034,2,FALSE)</f>
        <v>AVANTECH YOU BOK V77 MM NL400 MM STŘÍBRNÝ PRAVÝ</v>
      </c>
      <c r="AW10" s="24">
        <f>VLOOKUP(AU10,CENY!$B$11:$G$1034,3,FALSE)</f>
        <v>10</v>
      </c>
      <c r="AX10" s="24"/>
      <c r="AY10" s="25">
        <f>SUM(AY1:AY4)*(Y19+Y20+Y21+Y26+Y27)</f>
        <v>0</v>
      </c>
      <c r="AZ10" s="107">
        <f>VLOOKUP(AU10,CENY!$B$11:$M$2005,12,FALSE)</f>
        <v>186.44</v>
      </c>
      <c r="BA10" s="107">
        <f t="shared" si="0"/>
        <v>0</v>
      </c>
      <c r="BC10" s="22">
        <f>OBJ!B67</f>
        <v>9255025</v>
      </c>
      <c r="BD10" s="23" t="str">
        <f>VLOOKUP(BC10,CENY!$B$11:$G$1034,2,FALSE)</f>
        <v>AVANTECH YOU BOK V101 MM NL650 MM STŘÍBRNÝ PRAVÝ</v>
      </c>
      <c r="BE10" s="24">
        <f>VLOOKUP(BC10,CENY!$B$11:$G$1034,3,FALSE)</f>
        <v>20</v>
      </c>
      <c r="BF10" s="24"/>
      <c r="BG10" s="25">
        <f>SUM(AY1:AY4)*(AI$19+AI$20+AI$21+AI$26+AI$27)</f>
        <v>0</v>
      </c>
      <c r="BH10" s="107">
        <f>VLOOKUP(BC10,CENY!$B$11:$M$2005,12,FALSE)</f>
        <v>208.15</v>
      </c>
      <c r="BI10" s="107">
        <f t="shared" si="1"/>
        <v>0</v>
      </c>
    </row>
    <row r="11" spans="1:61" ht="14.4" customHeight="1" thickBot="1">
      <c r="B11" s="553" t="str">
        <f>" "&amp;verze!E92</f>
        <v xml:space="preserve"> cena kování:</v>
      </c>
      <c r="C11" s="553"/>
      <c r="D11" s="553"/>
      <c r="E11" s="553"/>
      <c r="F11" s="608" t="e">
        <f>BA4</f>
        <v>#N/A</v>
      </c>
      <c r="G11" s="608"/>
      <c r="H11" s="608"/>
      <c r="I11" s="608"/>
      <c r="J11" s="609" t="str">
        <f>IF(verze!E1="CZK","CZK","EUR")</f>
        <v>CZK</v>
      </c>
      <c r="K11" s="609"/>
      <c r="AU11" s="22">
        <f>OBJ!B31</f>
        <v>9255002</v>
      </c>
      <c r="AV11" s="23" t="str">
        <f>VLOOKUP(AU11,CENY!$B$11:$G$1034,2,FALSE)</f>
        <v>AVANTECH YOU BOK V77 MM NL450 MM STŘÍBRNÝ LEVÝ</v>
      </c>
      <c r="AW11" s="24">
        <f>VLOOKUP(AU11,CENY!$B$11:$G$1034,3,FALSE)</f>
        <v>10</v>
      </c>
      <c r="AX11" s="24"/>
      <c r="AY11" s="25">
        <f>SUM(AY1:AY4)*(AA21+AA27)</f>
        <v>0</v>
      </c>
      <c r="AZ11" s="107">
        <f>VLOOKUP(AU11,CENY!$B$11:$M$2005,12,FALSE)</f>
        <v>189.75</v>
      </c>
      <c r="BA11" s="107">
        <f t="shared" si="0"/>
        <v>0</v>
      </c>
      <c r="BC11" s="22" t="e">
        <f>OBJ!#REF!</f>
        <v>#REF!</v>
      </c>
      <c r="BD11" s="23" t="e">
        <f>VLOOKUP(BC11,CENY!$B$11:$G$1034,2,FALSE)</f>
        <v>#REF!</v>
      </c>
      <c r="BE11" s="24" t="e">
        <f>VLOOKUP(BC11,CENY!$B$11:$G$1034,3,FALSE)</f>
        <v>#REF!</v>
      </c>
      <c r="BF11" s="24"/>
      <c r="BG11" s="25">
        <f>SUM(AY1:AY4)*(AK$19+AK$20+AK$21+AK$26+AK$27)</f>
        <v>0</v>
      </c>
      <c r="BH11" s="107" t="e">
        <f>VLOOKUP(BC11,CENY!$B$11:$M$2005,12,FALSE)</f>
        <v>#REF!</v>
      </c>
      <c r="BI11" s="107" t="e">
        <f t="shared" si="1"/>
        <v>#REF!</v>
      </c>
    </row>
    <row r="12" spans="1:61" ht="14.4" customHeight="1" thickBot="1">
      <c r="B12" s="553"/>
      <c r="C12" s="553"/>
      <c r="D12" s="553"/>
      <c r="E12" s="553"/>
      <c r="F12" s="604" t="e">
        <f>BI4</f>
        <v>#REF!</v>
      </c>
      <c r="G12" s="604"/>
      <c r="H12" s="604"/>
      <c r="I12" s="604"/>
      <c r="J12" s="605" t="str">
        <f>IF(verze!E1="CZK","CZK","EUR")</f>
        <v>CZK</v>
      </c>
      <c r="K12" s="605"/>
      <c r="AO12" s="287"/>
      <c r="AU12" s="22"/>
      <c r="AV12" s="23"/>
      <c r="AW12" s="24"/>
      <c r="AX12" s="24"/>
      <c r="AY12" s="25"/>
      <c r="AZ12" s="107"/>
      <c r="BA12" s="107" t="str">
        <f t="shared" si="0"/>
        <v/>
      </c>
      <c r="BC12" s="22">
        <f>OBJ!B71</f>
        <v>9255804</v>
      </c>
      <c r="BD12" s="23" t="str">
        <f>VLOOKUP(BC12,CENY!$B$11:$G$1034,2,FALSE)</f>
        <v>AVANTECH YOU DEKORATIVNÍ PROFIL NL270 MM STŘÍBRNÝ</v>
      </c>
      <c r="BE12" s="24">
        <f>VLOOKUP(BC12,CENY!$B$11:$G$1034,3,FALSE)</f>
        <v>200</v>
      </c>
      <c r="BF12" s="24"/>
      <c r="BG12" s="25">
        <f>SUM(AY1:AY4)*(AK$19+AK$20+AK$21+AK$26+AK$27)</f>
        <v>0</v>
      </c>
      <c r="BH12" s="107">
        <f>VLOOKUP(BC12,CENY!$B$11:$M$2005,12,FALSE)</f>
        <v>9.18</v>
      </c>
      <c r="BI12" s="107">
        <f t="shared" si="1"/>
        <v>0</v>
      </c>
    </row>
    <row r="13" spans="1:61" ht="14.4" customHeight="1" thickBot="1">
      <c r="B13" s="553"/>
      <c r="C13" s="553"/>
      <c r="D13" s="553"/>
      <c r="E13" s="555"/>
      <c r="F13" s="606" t="e">
        <f>SUM(BA77:BA100)</f>
        <v>#N/A</v>
      </c>
      <c r="G13" s="606"/>
      <c r="H13" s="606"/>
      <c r="I13" s="606"/>
      <c r="J13" s="607" t="str">
        <f>IF(verze!E1="CZK","CZK","EUR")</f>
        <v>CZK</v>
      </c>
      <c r="K13" s="607"/>
      <c r="AU13" s="22">
        <f>OBJ!B34</f>
        <v>9255005</v>
      </c>
      <c r="AV13" s="23" t="str">
        <f>VLOOKUP(AU13,CENY!$B$11:$G$1034,2,FALSE)</f>
        <v>AVANTECH YOU BOK V77 MM NL500 MM STŘÍBRNÝ PRAVÝ</v>
      </c>
      <c r="AW13" s="24">
        <f>VLOOKUP(AU13,CENY!$B$11:$G$1034,3,FALSE)</f>
        <v>10</v>
      </c>
      <c r="AX13" s="24"/>
      <c r="AY13" s="25">
        <f>(AY1+AY2)*(SUM(O19:Z20)+SUM(Q21:AB21)+SUM(O26:Z26)+SUM(Q27:AB27))</f>
        <v>0</v>
      </c>
      <c r="AZ13" s="107">
        <f>VLOOKUP(AU13,CENY!$B$11:$M$2005,12,FALSE)</f>
        <v>193.06</v>
      </c>
      <c r="BA13" s="107">
        <f t="shared" si="0"/>
        <v>0</v>
      </c>
      <c r="BC13" s="22">
        <f>OBJ!B72</f>
        <v>9255805</v>
      </c>
      <c r="BD13" s="23" t="str">
        <f>VLOOKUP(BC13,CENY!$B$11:$G$1034,2,FALSE)</f>
        <v>AVANTECH YOU DEKORATIVNÍ PROFIL NL300 MM STŘÍBRNÝ</v>
      </c>
      <c r="BE13" s="24">
        <f>VLOOKUP(BC13,CENY!$B$11:$G$1034,3,FALSE)</f>
        <v>200</v>
      </c>
      <c r="BF13" s="24"/>
      <c r="BG13" s="25">
        <f>SUM(AY1:AY4)*(AM$19+AM$20+AM$21+AM$26+AM$27)</f>
        <v>0</v>
      </c>
      <c r="BH13" s="107">
        <f>VLOOKUP(BC13,CENY!$B$11:$M$2005,12,FALSE)</f>
        <v>9.2799999999999994</v>
      </c>
      <c r="BI13" s="107">
        <f t="shared" si="1"/>
        <v>0</v>
      </c>
    </row>
    <row r="14" spans="1:61" ht="14.4" customHeight="1" thickBot="1">
      <c r="AU14" s="22">
        <f>OBJ!B35</f>
        <v>9255006</v>
      </c>
      <c r="AV14" s="23" t="str">
        <f>VLOOKUP(AU14,CENY!$B$11:$G$1034,2,FALSE)</f>
        <v>AVANTECH YOU BOK V77 MM NL550 MM STŘÍBRNÝ LEVÝ</v>
      </c>
      <c r="AW14" s="24">
        <f>VLOOKUP(AU14,CENY!$B$11:$G$1034,3,FALSE)</f>
        <v>10</v>
      </c>
      <c r="AX14" s="24"/>
      <c r="AY14" s="25">
        <f>(AY3+AY4)*(SUM(O19:Z20)+SUM(Q21:AB21)+SUM(O26:Z26)+SUM(Q27:AB27))</f>
        <v>0</v>
      </c>
      <c r="AZ14" s="107">
        <f>VLOOKUP(AU14,CENY!$B$11:$M$2005,12,FALSE)</f>
        <v>196.37</v>
      </c>
      <c r="BA14" s="107">
        <f t="shared" si="0"/>
        <v>0</v>
      </c>
      <c r="BC14" s="22">
        <f>OBJ!B73</f>
        <v>9255806</v>
      </c>
      <c r="BD14" s="23" t="str">
        <f>VLOOKUP(BC14,CENY!$B$11:$G$1034,2,FALSE)</f>
        <v>AVANTECH YOU DEKORATIVNÍ PROFIL NL350 MM STŘÍBRNÝ</v>
      </c>
      <c r="BE14" s="24">
        <f>VLOOKUP(BC14,CENY!$B$11:$G$1034,3,FALSE)</f>
        <v>200</v>
      </c>
      <c r="BF14" s="24"/>
      <c r="BG14" s="25">
        <f>SUM(AY1:AY4)*(AM$19+AM$20+AM$21+AM$26+AM$27)</f>
        <v>0</v>
      </c>
      <c r="BH14" s="107">
        <f>VLOOKUP(BC14,CENY!$B$11:$M$2005,12,FALSE)</f>
        <v>9.4499999999999993</v>
      </c>
      <c r="BI14" s="107">
        <f t="shared" si="1"/>
        <v>0</v>
      </c>
    </row>
    <row r="15" spans="1:61" ht="14.4" customHeight="1" thickBot="1">
      <c r="AO15" s="287" t="s">
        <v>299</v>
      </c>
      <c r="AP15" s="602">
        <v>2</v>
      </c>
      <c r="AQ15" s="603"/>
      <c r="AU15" s="22"/>
      <c r="AV15" s="23"/>
      <c r="AW15" s="24"/>
      <c r="AX15" s="24"/>
      <c r="AY15" s="25"/>
      <c r="AZ15" s="107"/>
      <c r="BA15" s="107" t="str">
        <f t="shared" si="0"/>
        <v/>
      </c>
      <c r="BC15" s="22">
        <f>OBJ!B74</f>
        <v>9255807</v>
      </c>
      <c r="BD15" s="23" t="str">
        <f>VLOOKUP(BC15,CENY!$B$11:$G$1034,2,FALSE)</f>
        <v>AVANTECH YOU DEKORATIVNÍ PROFIL NL400 MM STŘÍBRNÝ</v>
      </c>
      <c r="BE15" s="24">
        <f>VLOOKUP(BC15,CENY!$B$11:$G$1034,3,FALSE)</f>
        <v>200</v>
      </c>
      <c r="BF15" s="24"/>
      <c r="BG15" s="25">
        <f>SUM(AY1:AY4)*(AO$19+AO$20+AO$21+AO$26+AO$27)</f>
        <v>0</v>
      </c>
      <c r="BH15" s="107">
        <f>VLOOKUP(BC15,CENY!$B$11:$M$2005,12,FALSE)</f>
        <v>9.6199999999999992</v>
      </c>
      <c r="BI15" s="107">
        <f t="shared" si="1"/>
        <v>0</v>
      </c>
    </row>
    <row r="16" spans="1:61" ht="14.4" customHeight="1">
      <c r="AU16" s="22">
        <f>OBJ!B39</f>
        <v>9255244</v>
      </c>
      <c r="AV16" s="23" t="str">
        <f>VLOOKUP(AU16,CENY!$B$11:$G$1034,2,FALSE)</f>
        <v>AVANTECH YOU BOKY V SADĚ V101 MM NL270 MM STŘÍBRNÁ</v>
      </c>
      <c r="AW16" s="24">
        <f>VLOOKUP(AU16,CENY!$B$11:$G$1034,3,FALSE)</f>
        <v>1</v>
      </c>
      <c r="AX16" s="24"/>
      <c r="AY16" s="25">
        <f>(AY3)*(S19+S20+S21+S26+S27)</f>
        <v>0</v>
      </c>
      <c r="AZ16" s="107">
        <f>VLOOKUP(AU16,CENY!$B$11:$M$2005,12,FALSE)</f>
        <v>561.98</v>
      </c>
      <c r="BA16" s="107">
        <f t="shared" si="0"/>
        <v>0</v>
      </c>
      <c r="BC16" s="22">
        <f>OBJ!B75</f>
        <v>9255808</v>
      </c>
      <c r="BD16" s="23" t="str">
        <f>VLOOKUP(BC16,CENY!$B$11:$G$1034,2,FALSE)</f>
        <v>AVANTECH YOU DEKORATIVNÍ PROFIL NL450 MM STŘÍBRNÝ</v>
      </c>
      <c r="BE16" s="24">
        <f>VLOOKUP(BC16,CENY!$B$11:$G$1034,3,FALSE)</f>
        <v>200</v>
      </c>
      <c r="BF16" s="24"/>
      <c r="BG16" s="25">
        <f>SUM(AY1:AY4)*(AO$19+AO$20+AO$21+AO$26+AO$27)</f>
        <v>0</v>
      </c>
      <c r="BH16" s="107">
        <f>VLOOKUP(BC16,CENY!$B$11:$M$2005,12,FALSE)</f>
        <v>9.8000000000000007</v>
      </c>
      <c r="BI16" s="107">
        <f t="shared" si="1"/>
        <v>0</v>
      </c>
    </row>
    <row r="17" spans="2:61" ht="14.4" customHeight="1" thickBot="1">
      <c r="B17" s="1" t="str">
        <f>verze!E23</f>
        <v>SILENT SYSTEM - s tlumením</v>
      </c>
      <c r="O17" s="577" t="str">
        <f>verze!$E$26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E17" s="610" t="str">
        <f>verze!$E$27</f>
        <v>velkobalení</v>
      </c>
      <c r="AF17" s="611"/>
      <c r="AG17" s="611"/>
      <c r="AH17" s="611"/>
      <c r="AI17" s="611"/>
      <c r="AJ17" s="611"/>
      <c r="AK17" s="611"/>
      <c r="AL17" s="611"/>
      <c r="AM17" s="611"/>
      <c r="AN17" s="611"/>
      <c r="AO17" s="611"/>
      <c r="AP17" s="611"/>
      <c r="AQ17" s="611"/>
      <c r="AR17" s="611"/>
      <c r="AU17" s="22">
        <f>OBJ!B40</f>
        <v>9255245</v>
      </c>
      <c r="AV17" s="23" t="str">
        <f>VLOOKUP(AU17,CENY!$B$11:$G$1034,2,FALSE)</f>
        <v>AVANTECH YOU BOKY V SADĚ V101 MM NL300 MM STŘÍBRNÁ</v>
      </c>
      <c r="AW17" s="24">
        <f>VLOOKUP(AU17,CENY!$B$11:$G$1034,3,FALSE)</f>
        <v>1</v>
      </c>
      <c r="AX17" s="24"/>
      <c r="AY17" s="25">
        <f>(AY3)*(U19+U20+U21+U26+U27)</f>
        <v>0</v>
      </c>
      <c r="AZ17" s="107">
        <f>VLOOKUP(AU17,CENY!$B$11:$M$2005,12,FALSE)</f>
        <v>566.15</v>
      </c>
      <c r="BA17" s="107">
        <f t="shared" si="0"/>
        <v>0</v>
      </c>
      <c r="BC17" s="22">
        <f>OBJ!B76</f>
        <v>9255809</v>
      </c>
      <c r="BD17" s="23" t="str">
        <f>VLOOKUP(BC17,CENY!$B$11:$G$1034,2,FALSE)</f>
        <v>AVANTECH YOU DEKORATIVNÍ PROFIL NL500 MM STŘÍBRNÝ</v>
      </c>
      <c r="BE17" s="24">
        <f>VLOOKUP(BC17,CENY!$B$11:$G$1034,3,FALSE)</f>
        <v>200</v>
      </c>
      <c r="BF17" s="24"/>
      <c r="BG17" s="25">
        <f>SUM(AY1:AY4)*(AQ$21+AQ$27)</f>
        <v>0</v>
      </c>
      <c r="BH17" s="107">
        <f>VLOOKUP(BC17,CENY!$B$11:$M$2005,12,FALSE)</f>
        <v>9.9700000000000006</v>
      </c>
      <c r="BI17" s="107">
        <f>IF(BH17="","",BH17*BG17)</f>
        <v>0</v>
      </c>
    </row>
    <row r="18" spans="2:61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612">
        <v>260</v>
      </c>
      <c r="P18" s="571"/>
      <c r="Q18" s="612">
        <v>300</v>
      </c>
      <c r="R18" s="571"/>
      <c r="S18" s="569">
        <v>350</v>
      </c>
      <c r="T18" s="570"/>
      <c r="U18" s="569">
        <v>420</v>
      </c>
      <c r="V18" s="570"/>
      <c r="W18" s="581">
        <v>470</v>
      </c>
      <c r="X18" s="582"/>
      <c r="Y18" s="569">
        <v>520</v>
      </c>
      <c r="Z18" s="570"/>
      <c r="AA18" s="569">
        <v>620</v>
      </c>
      <c r="AB18" s="570"/>
      <c r="AC18" s="110"/>
      <c r="AD18" s="110"/>
      <c r="AE18" s="569">
        <v>260</v>
      </c>
      <c r="AF18" s="570"/>
      <c r="AG18" s="569">
        <v>300</v>
      </c>
      <c r="AH18" s="570"/>
      <c r="AI18" s="569">
        <v>350</v>
      </c>
      <c r="AJ18" s="570"/>
      <c r="AK18" s="569">
        <v>420</v>
      </c>
      <c r="AL18" s="570"/>
      <c r="AM18" s="581">
        <v>470</v>
      </c>
      <c r="AN18" s="582"/>
      <c r="AO18" s="569">
        <v>520</v>
      </c>
      <c r="AP18" s="570"/>
      <c r="AQ18" s="569">
        <v>620</v>
      </c>
      <c r="AR18" s="570"/>
      <c r="AU18" s="22">
        <f>OBJ!B41</f>
        <v>9255246</v>
      </c>
      <c r="AV18" s="23" t="str">
        <f>VLOOKUP(AU18,CENY!$B$11:$G$1034,2,FALSE)</f>
        <v>AVANTECH YOU BOKY V SADĚ V101 MM NL350 MM STŘÍBRNÁ</v>
      </c>
      <c r="AW18" s="24">
        <f>VLOOKUP(AU18,CENY!$B$11:$G$1034,3,FALSE)</f>
        <v>1</v>
      </c>
      <c r="AX18" s="24"/>
      <c r="AY18" s="25">
        <f>(AY3)*(W19+W20+W21+W26+W27)</f>
        <v>0</v>
      </c>
      <c r="AZ18" s="107">
        <f>VLOOKUP(AU18,CENY!$B$11:$M$2005,12,FALSE)</f>
        <v>573.11</v>
      </c>
      <c r="BA18" s="107">
        <f t="shared" si="0"/>
        <v>0</v>
      </c>
      <c r="BC18" s="22">
        <f>OBJ!B77</f>
        <v>9255810</v>
      </c>
      <c r="BD18" s="23" t="str">
        <f>VLOOKUP(BC18,CENY!$B$11:$G$1034,2,FALSE)</f>
        <v>AVANTECH YOU DEKORATIVNÍ PROFIL NL550 MM STŘÍBRNÝ</v>
      </c>
      <c r="BE18" s="24">
        <f>VLOOKUP(BC18,CENY!$B$11:$G$1034,3,FALSE)</f>
        <v>200</v>
      </c>
      <c r="BF18" s="24"/>
      <c r="BG18" s="25">
        <f>SUM(AY1:AY4)*(AQ$21+AQ$27)</f>
        <v>0</v>
      </c>
      <c r="BH18" s="107">
        <f>VLOOKUP(BC18,CENY!$B$11:$M$2005,12,FALSE)</f>
        <v>10.14</v>
      </c>
      <c r="BI18" s="107">
        <f>IF(BH18="","",BH18*BG18)</f>
        <v>0</v>
      </c>
    </row>
    <row r="19" spans="2:61" ht="14.4" customHeight="1" thickBot="1">
      <c r="B19" s="572" t="s">
        <v>112</v>
      </c>
      <c r="C19" s="572"/>
      <c r="D19" s="572"/>
      <c r="E19" s="572"/>
      <c r="F19" s="572"/>
      <c r="G19" s="572"/>
      <c r="H19" s="573" t="str">
        <f>verze!E19</f>
        <v>částečný výsuv</v>
      </c>
      <c r="I19" s="573"/>
      <c r="J19" s="573"/>
      <c r="K19" s="573"/>
      <c r="L19" s="573"/>
      <c r="M19" s="574" t="s">
        <v>3</v>
      </c>
      <c r="N19" s="575"/>
      <c r="O19" s="619"/>
      <c r="P19" s="620"/>
      <c r="Q19" s="619"/>
      <c r="R19" s="620"/>
      <c r="S19" s="617"/>
      <c r="T19" s="618"/>
      <c r="U19" s="617"/>
      <c r="V19" s="618"/>
      <c r="W19" s="617"/>
      <c r="X19" s="618"/>
      <c r="Y19" s="617"/>
      <c r="Z19" s="618"/>
      <c r="AA19" s="615"/>
      <c r="AB19" s="616"/>
      <c r="AC19" s="110"/>
      <c r="AD19" s="110"/>
      <c r="AE19" s="619"/>
      <c r="AF19" s="620"/>
      <c r="AG19" s="619"/>
      <c r="AH19" s="620"/>
      <c r="AI19" s="613"/>
      <c r="AJ19" s="614"/>
      <c r="AK19" s="613"/>
      <c r="AL19" s="614"/>
      <c r="AM19" s="613"/>
      <c r="AN19" s="614"/>
      <c r="AO19" s="613"/>
      <c r="AP19" s="614"/>
      <c r="AQ19" s="615"/>
      <c r="AR19" s="616"/>
      <c r="AU19" s="22">
        <f>OBJ!B42</f>
        <v>9255247</v>
      </c>
      <c r="AV19" s="23" t="str">
        <f>VLOOKUP(AU19,CENY!$B$11:$G$1034,2,FALSE)</f>
        <v>AVANTECH YOU BOKY V SADĚ V101 MM NL400 MM STŘÍBRNÁ</v>
      </c>
      <c r="AW19" s="24">
        <f>VLOOKUP(AU19,CENY!$B$11:$G$1034,3,FALSE)</f>
        <v>1</v>
      </c>
      <c r="AX19" s="24"/>
      <c r="AY19" s="25">
        <f>(AY3)*(Y19+Y20+Y21+Y26+Y27)</f>
        <v>0</v>
      </c>
      <c r="AZ19" s="107">
        <f>VLOOKUP(AU19,CENY!$B$11:$M$2005,12,FALSE)</f>
        <v>580.07000000000005</v>
      </c>
      <c r="BA19" s="107">
        <f t="shared" si="0"/>
        <v>0</v>
      </c>
      <c r="BC19" s="22"/>
      <c r="BD19" s="23"/>
      <c r="BE19" s="24"/>
      <c r="BF19" s="24"/>
      <c r="BG19" s="25"/>
      <c r="BH19" s="107"/>
      <c r="BI19" s="107" t="str">
        <f>IF(BH19="","",BH19*BG19)</f>
        <v/>
      </c>
    </row>
    <row r="20" spans="2:61" ht="14.4" customHeight="1" thickBot="1">
      <c r="B20" s="591" t="s">
        <v>110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1</v>
      </c>
      <c r="N20" s="593"/>
      <c r="O20" s="587"/>
      <c r="P20" s="588"/>
      <c r="Q20" s="587"/>
      <c r="R20" s="588"/>
      <c r="S20" s="617"/>
      <c r="T20" s="618"/>
      <c r="U20" s="617"/>
      <c r="V20" s="618"/>
      <c r="W20" s="617"/>
      <c r="X20" s="618"/>
      <c r="Y20" s="617"/>
      <c r="Z20" s="618"/>
      <c r="AA20" s="621"/>
      <c r="AB20" s="622"/>
      <c r="AC20" s="110"/>
      <c r="AD20" s="110"/>
      <c r="AE20" s="587"/>
      <c r="AF20" s="588"/>
      <c r="AG20" s="587"/>
      <c r="AH20" s="588"/>
      <c r="AI20" s="613"/>
      <c r="AJ20" s="614"/>
      <c r="AK20" s="613"/>
      <c r="AL20" s="614"/>
      <c r="AM20" s="613"/>
      <c r="AN20" s="614"/>
      <c r="AO20" s="613"/>
      <c r="AP20" s="614"/>
      <c r="AQ20" s="621"/>
      <c r="AR20" s="622"/>
      <c r="AU20" s="22">
        <f>OBJ!B43</f>
        <v>9255248</v>
      </c>
      <c r="AV20" s="23" t="str">
        <f>VLOOKUP(AU20,CENY!$B$11:$G$1034,2,FALSE)</f>
        <v>AVANTECH YOU BOKY V SADĚ V101 MM NL450 MM STŘÍBRNÁ</v>
      </c>
      <c r="AW20" s="24">
        <f>VLOOKUP(AU20,CENY!$B$11:$G$1034,3,FALSE)</f>
        <v>1</v>
      </c>
      <c r="AX20" s="24"/>
      <c r="AY20" s="25">
        <f>(AY3)*(AA21+AA27)</f>
        <v>0</v>
      </c>
      <c r="AZ20" s="107">
        <f>VLOOKUP(AU20,CENY!$B$11:$M$2005,12,FALSE)</f>
        <v>587.04</v>
      </c>
      <c r="BA20" s="107">
        <f t="shared" si="0"/>
        <v>0</v>
      </c>
      <c r="BC20" s="22">
        <f>OBJ!B88</f>
        <v>0</v>
      </c>
      <c r="BD20" s="23" t="e">
        <f>VLOOKUP(BC20,CENY!$B$11:$G$1034,2,FALSE)</f>
        <v>#N/A</v>
      </c>
      <c r="BE20" s="24" t="e">
        <f>VLOOKUP(BC20,CENY!$B$11:$G$1034,3,FALSE)</f>
        <v>#N/A</v>
      </c>
      <c r="BF20" s="24"/>
      <c r="BG20" s="25">
        <f>((2*(AY1+AY3))*(SUM(AE19:AP20)+SUM(AG21:AR21)+SUM(AE26:AP26)+SUM(AG27:AR27)))</f>
        <v>0</v>
      </c>
      <c r="BH20" s="107" t="e">
        <f>VLOOKUP(BC20,CENY!$B$11:$M$2005,12,FALSE)</f>
        <v>#N/A</v>
      </c>
      <c r="BI20" s="107" t="e">
        <f t="shared" si="1"/>
        <v>#N/A</v>
      </c>
    </row>
    <row r="21" spans="2:61" ht="14.4" customHeight="1" thickBot="1">
      <c r="B21" s="583" t="s">
        <v>111</v>
      </c>
      <c r="C21" s="583"/>
      <c r="D21" s="583"/>
      <c r="E21" s="583"/>
      <c r="F21" s="583"/>
      <c r="G21" s="583"/>
      <c r="H21" s="584" t="str">
        <f>verze!E18</f>
        <v>plnovýsuv</v>
      </c>
      <c r="I21" s="584"/>
      <c r="J21" s="584"/>
      <c r="K21" s="584"/>
      <c r="L21" s="623"/>
      <c r="M21" s="624" t="s">
        <v>2</v>
      </c>
      <c r="N21" s="586"/>
      <c r="O21" s="587"/>
      <c r="P21" s="588"/>
      <c r="Q21" s="587"/>
      <c r="R21" s="588"/>
      <c r="S21" s="589"/>
      <c r="T21" s="590"/>
      <c r="U21" s="589"/>
      <c r="V21" s="590"/>
      <c r="W21" s="589"/>
      <c r="X21" s="590"/>
      <c r="Y21" s="589"/>
      <c r="Z21" s="590"/>
      <c r="AA21" s="589"/>
      <c r="AB21" s="590"/>
      <c r="AC21" s="110"/>
      <c r="AD21" s="110"/>
      <c r="AE21" s="587"/>
      <c r="AF21" s="588"/>
      <c r="AG21" s="587"/>
      <c r="AH21" s="588"/>
      <c r="AI21" s="631"/>
      <c r="AJ21" s="632"/>
      <c r="AK21" s="631"/>
      <c r="AL21" s="632"/>
      <c r="AM21" s="631"/>
      <c r="AN21" s="632"/>
      <c r="AO21" s="631"/>
      <c r="AP21" s="632"/>
      <c r="AQ21" s="631"/>
      <c r="AR21" s="632"/>
      <c r="AU21" s="22"/>
      <c r="AV21" s="23"/>
      <c r="AW21" s="24"/>
      <c r="AX21" s="24"/>
      <c r="AY21" s="25"/>
      <c r="AZ21" s="107"/>
      <c r="BA21" s="107" t="str">
        <f t="shared" si="0"/>
        <v/>
      </c>
      <c r="BC21" s="22">
        <f>OBJ!B89</f>
        <v>9255028</v>
      </c>
      <c r="BD21" s="23" t="str">
        <f>VLOOKUP(BC21,CENY!$B$11:$G$1034,2,FALSE)</f>
        <v>AVANTECH YOU BOK V139 MM NL300 MM STŘÍBRNÝ LEVÝ</v>
      </c>
      <c r="BE21" s="24">
        <f>VLOOKUP(BC21,CENY!$B$11:$G$1034,3,FALSE)</f>
        <v>20</v>
      </c>
      <c r="BF21" s="24"/>
      <c r="BG21" s="25">
        <f>((2*AY3)*(SUM(AE19:AP20)+SUM(AG21:AR21)+SUM(AE26:AP26)+SUM(AG27:AR27)))</f>
        <v>0</v>
      </c>
      <c r="BH21" s="107">
        <f>VLOOKUP(BC21,CENY!$B$11:$M$2005,12,FALSE)</f>
        <v>229.12</v>
      </c>
      <c r="BI21" s="107">
        <f t="shared" si="1"/>
        <v>0</v>
      </c>
    </row>
    <row r="22" spans="2:61" ht="14.4" customHeight="1">
      <c r="O22" s="4"/>
      <c r="P22" s="4"/>
      <c r="AU22" s="258">
        <f>OBJ!B53</f>
        <v>9255011</v>
      </c>
      <c r="AV22" s="259" t="str">
        <f>VLOOKUP(AU22,CENY!$B$11:$G$1034,2,FALSE)</f>
        <v>AVANTECH YOU BOK V101 MM NL300 MM STŘÍBRNÝ PRAVÝ</v>
      </c>
      <c r="AW22" s="24">
        <f>VLOOKUP(AU22,CENY!$B$11:$G$1034,3,FALSE)</f>
        <v>20</v>
      </c>
      <c r="AX22" s="24"/>
      <c r="AY22" s="25">
        <f>(AY4)*(S19+S20+S21+S26+S27)</f>
        <v>0</v>
      </c>
      <c r="AZ22" s="107">
        <f>VLOOKUP(AU22,CENY!$B$11:$M$2005,12,FALSE)</f>
        <v>179.82</v>
      </c>
      <c r="BA22" s="107">
        <f t="shared" si="0"/>
        <v>0</v>
      </c>
      <c r="BC22" s="22">
        <f>OBJ!B91</f>
        <v>9255030</v>
      </c>
      <c r="BD22" s="23" t="str">
        <f>VLOOKUP(BC22,CENY!$B$11:$G$1034,2,FALSE)</f>
        <v>AVANTECH YOU BOK V139 MM NL350 MM STŘÍBRNÝ LEVÝ</v>
      </c>
      <c r="BE22" s="24">
        <f>VLOOKUP(BC22,CENY!$B$11:$G$1034,3,FALSE)</f>
        <v>20</v>
      </c>
      <c r="BF22" s="24"/>
      <c r="BG22" s="25">
        <f>((2*SUM(AY1:AY4))*(SUM(AE19:AP20)+SUM(AG21:AR21)+SUM(AE26:AP26)+SUM(AG27:AR27)))</f>
        <v>0</v>
      </c>
      <c r="BH22" s="107">
        <f>VLOOKUP(BC22,CENY!$B$11:$M$2005,12,FALSE)</f>
        <v>233.33</v>
      </c>
      <c r="BI22" s="107">
        <f t="shared" si="1"/>
        <v>0</v>
      </c>
    </row>
    <row r="23" spans="2:61" ht="14.4" customHeight="1">
      <c r="AU23" s="258">
        <f>OBJ!B54</f>
        <v>9255012</v>
      </c>
      <c r="AV23" s="259" t="str">
        <f>VLOOKUP(AU23,CENY!$B$11:$G$1034,2,FALSE)</f>
        <v>AVANTECH YOU BOK V101 MM NL350 MM STŘÍBRNÝ LEVÝ</v>
      </c>
      <c r="AW23" s="24">
        <f>VLOOKUP(AU23,CENY!$B$11:$G$1034,3,FALSE)</f>
        <v>20</v>
      </c>
      <c r="AX23" s="24"/>
      <c r="AY23" s="25">
        <f>(AY4)*(U19+U20+U21+U26+U27)</f>
        <v>0</v>
      </c>
      <c r="AZ23" s="107">
        <f>VLOOKUP(AU23,CENY!$B$11:$M$2005,12,FALSE)</f>
        <v>183.13</v>
      </c>
      <c r="BA23" s="107">
        <f t="shared" si="0"/>
        <v>0</v>
      </c>
      <c r="BC23" s="22"/>
      <c r="BD23" s="23"/>
      <c r="BE23" s="24"/>
      <c r="BF23" s="24"/>
      <c r="BG23" s="25"/>
      <c r="BH23" s="107"/>
      <c r="BI23" s="107" t="str">
        <f t="shared" si="1"/>
        <v/>
      </c>
    </row>
    <row r="24" spans="2:61" ht="14.4" customHeight="1" thickBot="1">
      <c r="B24" s="2" t="str">
        <f>verze!E24</f>
        <v>PUSH-TO-OPEN - bez úchytkové</v>
      </c>
      <c r="O24" s="577" t="str">
        <f>verze!$E$26</f>
        <v>flexibilní sety</v>
      </c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E24" s="610" t="str">
        <f>verze!$E$27</f>
        <v>velkobalení</v>
      </c>
      <c r="AF24" s="611"/>
      <c r="AG24" s="611"/>
      <c r="AH24" s="611"/>
      <c r="AI24" s="611"/>
      <c r="AJ24" s="611"/>
      <c r="AK24" s="611"/>
      <c r="AL24" s="611"/>
      <c r="AM24" s="611"/>
      <c r="AN24" s="611"/>
      <c r="AO24" s="611"/>
      <c r="AP24" s="611"/>
      <c r="AQ24" s="611"/>
      <c r="AR24" s="611"/>
      <c r="AU24" s="258">
        <f>OBJ!B55</f>
        <v>9255013</v>
      </c>
      <c r="AV24" s="259" t="str">
        <f>VLOOKUP(AU24,CENY!$B$11:$G$1034,2,FALSE)</f>
        <v>AVANTECH YOU BOK V101 MM NL350 MM STŘÍBRNÝ PRAVÝ</v>
      </c>
      <c r="AW24" s="24">
        <f>VLOOKUP(AU24,CENY!$B$11:$G$1034,3,FALSE)</f>
        <v>20</v>
      </c>
      <c r="AX24" s="24"/>
      <c r="AY24" s="25">
        <f>(AY4)*(W19+W20+W21+W26+W27)</f>
        <v>0</v>
      </c>
      <c r="AZ24" s="107">
        <f>VLOOKUP(AU24,CENY!$B$11:$M$2005,12,FALSE)</f>
        <v>183.13</v>
      </c>
      <c r="BA24" s="107">
        <f t="shared" si="0"/>
        <v>0</v>
      </c>
      <c r="BC24" s="22">
        <f>OBJ!B100</f>
        <v>9255039</v>
      </c>
      <c r="BD24" s="23" t="str">
        <f>VLOOKUP(BC24,CENY!$B$11:$G$1034,2,FALSE)</f>
        <v>AVANTECH YOU BOK V139 MM NL550 MM STŘÍBRNÝ PRAVÝ</v>
      </c>
      <c r="BE24" s="24">
        <f>VLOOKUP(BC24,CENY!$B$11:$G$1034,3,FALSE)</f>
        <v>20</v>
      </c>
      <c r="BF24" s="24"/>
      <c r="BG24" s="25">
        <f>(AY3)*(AI$19+AI$20+AI$21+AI$26+AI$27)</f>
        <v>0</v>
      </c>
      <c r="BH24" s="107">
        <f>VLOOKUP(BC24,CENY!$B$11:$M$2005,12,FALSE)</f>
        <v>250.2</v>
      </c>
      <c r="BI24" s="107">
        <f t="shared" si="1"/>
        <v>0</v>
      </c>
    </row>
    <row r="25" spans="2:61" ht="14.4" customHeight="1" thickBot="1">
      <c r="B25" s="109"/>
      <c r="C25" s="109"/>
      <c r="D25" s="109"/>
      <c r="E25" s="109"/>
      <c r="F25" s="109"/>
      <c r="G25" s="109"/>
      <c r="H25" s="81"/>
      <c r="I25" s="81"/>
      <c r="J25" s="81"/>
      <c r="K25" s="81"/>
      <c r="L25" s="81"/>
      <c r="M25" s="81"/>
      <c r="N25" s="81" t="str">
        <f>verze!$E$20&amp;" "</f>
        <v xml:space="preserve">Jmenovitá délka: </v>
      </c>
      <c r="O25" s="569">
        <v>260</v>
      </c>
      <c r="P25" s="570"/>
      <c r="Q25" s="569">
        <v>300</v>
      </c>
      <c r="R25" s="570"/>
      <c r="S25" s="569">
        <v>350</v>
      </c>
      <c r="T25" s="570"/>
      <c r="U25" s="569">
        <v>420</v>
      </c>
      <c r="V25" s="570"/>
      <c r="W25" s="581">
        <v>470</v>
      </c>
      <c r="X25" s="582"/>
      <c r="Y25" s="569">
        <v>520</v>
      </c>
      <c r="Z25" s="570"/>
      <c r="AA25" s="569">
        <v>620</v>
      </c>
      <c r="AB25" s="570"/>
      <c r="AC25" s="105"/>
      <c r="AD25" s="105"/>
      <c r="AE25" s="569">
        <v>260</v>
      </c>
      <c r="AF25" s="570"/>
      <c r="AG25" s="569">
        <v>300</v>
      </c>
      <c r="AH25" s="570"/>
      <c r="AI25" s="569">
        <v>350</v>
      </c>
      <c r="AJ25" s="570"/>
      <c r="AK25" s="569">
        <v>420</v>
      </c>
      <c r="AL25" s="570"/>
      <c r="AM25" s="581">
        <v>470</v>
      </c>
      <c r="AN25" s="582"/>
      <c r="AO25" s="569">
        <v>520</v>
      </c>
      <c r="AP25" s="570"/>
      <c r="AQ25" s="569">
        <v>620</v>
      </c>
      <c r="AR25" s="570"/>
      <c r="AU25" s="258">
        <f>OBJ!B56</f>
        <v>9255014</v>
      </c>
      <c r="AV25" s="259" t="str">
        <f>VLOOKUP(AU25,CENY!$B$11:$G$1034,2,FALSE)</f>
        <v>AVANTECH YOU BOK V101 MM NL400 MM STŘÍBRNÝ LEVÝ</v>
      </c>
      <c r="AW25" s="24">
        <f>VLOOKUP(AU25,CENY!$B$11:$G$1034,3,FALSE)</f>
        <v>20</v>
      </c>
      <c r="AX25" s="24"/>
      <c r="AY25" s="25">
        <f>(AY4)*(Y19+Y20+Y21+Y26+Y27)</f>
        <v>0</v>
      </c>
      <c r="AZ25" s="107">
        <f>VLOOKUP(AU25,CENY!$B$11:$M$2005,12,FALSE)</f>
        <v>186.44</v>
      </c>
      <c r="BA25" s="107">
        <f t="shared" si="0"/>
        <v>0</v>
      </c>
      <c r="BC25" s="22">
        <f>OBJ!B101</f>
        <v>9255040</v>
      </c>
      <c r="BD25" s="23" t="str">
        <f>VLOOKUP(BC25,CENY!$B$11:$G$1034,2,FALSE)</f>
        <v>AVANTECH YOU BOK V139 MM NL600 MM STŘÍBRNÝ LEVÝ</v>
      </c>
      <c r="BE25" s="24">
        <f>VLOOKUP(BC25,CENY!$B$11:$G$1034,3,FALSE)</f>
        <v>20</v>
      </c>
      <c r="BF25" s="24"/>
      <c r="BG25" s="25">
        <f>(AY3)*(AI$19+AI$20+AI$21+AI$26+AI$27)</f>
        <v>0</v>
      </c>
      <c r="BH25" s="107">
        <f>VLOOKUP(BC25,CENY!$B$11:$M$2005,12,FALSE)</f>
        <v>256.56</v>
      </c>
      <c r="BI25" s="107">
        <f t="shared" si="1"/>
        <v>0</v>
      </c>
    </row>
    <row r="26" spans="2:61" ht="14.4" customHeight="1" thickBot="1">
      <c r="B26" s="591" t="s">
        <v>113</v>
      </c>
      <c r="C26" s="591"/>
      <c r="D26" s="591"/>
      <c r="E26" s="591"/>
      <c r="F26" s="591"/>
      <c r="G26" s="591"/>
      <c r="H26" s="642" t="str">
        <f>verze!E18</f>
        <v>plnovýsuv</v>
      </c>
      <c r="I26" s="642"/>
      <c r="J26" s="642"/>
      <c r="K26" s="642"/>
      <c r="L26" s="642"/>
      <c r="M26" s="574" t="s">
        <v>1</v>
      </c>
      <c r="N26" s="575"/>
      <c r="O26" s="619"/>
      <c r="P26" s="620"/>
      <c r="Q26" s="619"/>
      <c r="R26" s="620"/>
      <c r="S26" s="617"/>
      <c r="T26" s="618"/>
      <c r="U26" s="617"/>
      <c r="V26" s="618"/>
      <c r="W26" s="617"/>
      <c r="X26" s="618"/>
      <c r="Y26" s="617"/>
      <c r="Z26" s="618"/>
      <c r="AA26" s="615"/>
      <c r="AB26" s="616"/>
      <c r="AE26" s="619"/>
      <c r="AF26" s="620"/>
      <c r="AG26" s="619"/>
      <c r="AH26" s="620"/>
      <c r="AI26" s="613"/>
      <c r="AJ26" s="614"/>
      <c r="AK26" s="613"/>
      <c r="AL26" s="614"/>
      <c r="AM26" s="613"/>
      <c r="AN26" s="614"/>
      <c r="AO26" s="613"/>
      <c r="AP26" s="614"/>
      <c r="AQ26" s="615"/>
      <c r="AR26" s="616"/>
      <c r="AU26" s="258">
        <f>OBJ!B57</f>
        <v>9255015</v>
      </c>
      <c r="AV26" s="259" t="str">
        <f>VLOOKUP(AU26,CENY!$B$11:$G$1034,2,FALSE)</f>
        <v>AVANTECH YOU BOK V101 MM NL400 MM STŘÍBRNÝ PRAVÝ</v>
      </c>
      <c r="AW26" s="24">
        <f>VLOOKUP(AU26,CENY!$B$11:$G$1034,3,FALSE)</f>
        <v>20</v>
      </c>
      <c r="AX26" s="24"/>
      <c r="AY26" s="25">
        <f>(AY4)*(AA21+AA27)</f>
        <v>0</v>
      </c>
      <c r="AZ26" s="107">
        <f>VLOOKUP(AU26,CENY!$B$11:$M$2005,12,FALSE)</f>
        <v>186.44</v>
      </c>
      <c r="BA26" s="107">
        <f t="shared" si="0"/>
        <v>0</v>
      </c>
      <c r="BC26" s="22">
        <f>OBJ!B102</f>
        <v>9255041</v>
      </c>
      <c r="BD26" s="23" t="str">
        <f>VLOOKUP(BC26,CENY!$B$11:$G$1034,2,FALSE)</f>
        <v>AVANTECH YOU BOK V139 MM NL600 MM STŘÍBRNÝ PRAVÝ</v>
      </c>
      <c r="BE26" s="24">
        <f>VLOOKUP(BC26,CENY!$B$11:$G$1034,3,FALSE)</f>
        <v>20</v>
      </c>
      <c r="BF26" s="24"/>
      <c r="BG26" s="25">
        <f>(AY3)*(AK$19+AK$20+AK$21+AK$26+AK$27)</f>
        <v>0</v>
      </c>
      <c r="BH26" s="107">
        <f>VLOOKUP(BC26,CENY!$B$11:$M$2005,12,FALSE)</f>
        <v>256.56</v>
      </c>
      <c r="BI26" s="107">
        <f t="shared" si="1"/>
        <v>0</v>
      </c>
    </row>
    <row r="27" spans="2:61" ht="14.4" customHeight="1" thickBot="1">
      <c r="B27" s="583" t="s">
        <v>114</v>
      </c>
      <c r="C27" s="583"/>
      <c r="D27" s="583"/>
      <c r="E27" s="583"/>
      <c r="F27" s="583"/>
      <c r="G27" s="583"/>
      <c r="H27" s="584" t="str">
        <f>verze!E18</f>
        <v>plnovýsuv</v>
      </c>
      <c r="I27" s="584"/>
      <c r="J27" s="584"/>
      <c r="K27" s="584"/>
      <c r="L27" s="623"/>
      <c r="M27" s="624" t="s">
        <v>2</v>
      </c>
      <c r="N27" s="586"/>
      <c r="O27" s="587"/>
      <c r="P27" s="588"/>
      <c r="Q27" s="587"/>
      <c r="R27" s="588"/>
      <c r="S27" s="589"/>
      <c r="T27" s="590"/>
      <c r="U27" s="589"/>
      <c r="V27" s="590"/>
      <c r="W27" s="589"/>
      <c r="X27" s="590"/>
      <c r="Y27" s="589"/>
      <c r="Z27" s="590"/>
      <c r="AA27" s="589"/>
      <c r="AB27" s="590"/>
      <c r="AE27" s="587"/>
      <c r="AF27" s="588"/>
      <c r="AG27" s="587"/>
      <c r="AH27" s="588"/>
      <c r="AI27" s="631"/>
      <c r="AJ27" s="632"/>
      <c r="AK27" s="631"/>
      <c r="AL27" s="632"/>
      <c r="AM27" s="631"/>
      <c r="AN27" s="632"/>
      <c r="AO27" s="631"/>
      <c r="AP27" s="632"/>
      <c r="AQ27" s="631"/>
      <c r="AR27" s="632"/>
      <c r="AU27" s="22"/>
      <c r="AV27" s="23"/>
      <c r="AW27" s="24"/>
      <c r="AX27" s="24"/>
      <c r="AY27" s="25"/>
      <c r="AZ27" s="107"/>
      <c r="BA27" s="107" t="str">
        <f t="shared" si="0"/>
        <v/>
      </c>
      <c r="BC27" s="22">
        <f>OBJ!B104</f>
        <v>9257884</v>
      </c>
      <c r="BD27" s="23" t="str">
        <f>VLOOKUP(BC27,CENY!$B$11:$G$1034,2,FALSE)</f>
        <v>AVANTECH YOU PŘÍCHYTKA ČELA V139 MM K NAŠROUBOVÁNÍ</v>
      </c>
      <c r="BE27" s="24">
        <f>VLOOKUP(BC27,CENY!$B$11:$G$1034,3,FALSE)</f>
        <v>200</v>
      </c>
      <c r="BF27" s="24"/>
      <c r="BG27" s="25">
        <f>(AY3)*(AK$19+AK$20+AK$21+AK$26+AK$27)</f>
        <v>0</v>
      </c>
      <c r="BH27" s="107">
        <f>VLOOKUP(BC27,CENY!$B$11:$M$2005,12,FALSE)</f>
        <v>35.43</v>
      </c>
      <c r="BI27" s="107">
        <f t="shared" si="1"/>
        <v>0</v>
      </c>
    </row>
    <row r="28" spans="2:61" ht="14.4" customHeight="1">
      <c r="AU28" s="260">
        <f>OBJ!B137</f>
        <v>9255273</v>
      </c>
      <c r="AV28" s="261" t="str">
        <f>VLOOKUP(AU28,CENY!$B$11:$G$1034,2,FALSE)</f>
        <v>AVANTECH YOU BOKY V SADĚ V251 MM NL350 MM STŘÍBRNÁ</v>
      </c>
      <c r="AW28" s="24">
        <f>VLOOKUP(AU28,CENY!$B$11:$G$1034,3,FALSE)</f>
        <v>1</v>
      </c>
      <c r="AX28" s="24"/>
      <c r="AY28" s="77"/>
      <c r="AZ28" s="107">
        <f>VLOOKUP(AU28,CENY!$B$11:$M$2005,12,FALSE)</f>
        <v>1230.56</v>
      </c>
      <c r="BA28" s="107">
        <f t="shared" si="0"/>
        <v>0</v>
      </c>
      <c r="BC28" s="22" t="e">
        <f>OBJ!#REF!</f>
        <v>#REF!</v>
      </c>
      <c r="BD28" s="23" t="e">
        <f>VLOOKUP(BC28,CENY!$B$11:$G$1034,2,FALSE)</f>
        <v>#REF!</v>
      </c>
      <c r="BE28" s="24" t="e">
        <f>VLOOKUP(BC28,CENY!$B$11:$G$1034,3,FALSE)</f>
        <v>#REF!</v>
      </c>
      <c r="BF28" s="24"/>
      <c r="BG28" s="25">
        <f>(AY3)*(AM$19+AM$20+AM$21+AM$26+AM$27)</f>
        <v>0</v>
      </c>
      <c r="BH28" s="107" t="e">
        <f>VLOOKUP(BC28,CENY!$B$11:$M$2005,12,FALSE)</f>
        <v>#REF!</v>
      </c>
      <c r="BI28" s="107" t="e">
        <f t="shared" si="1"/>
        <v>#REF!</v>
      </c>
    </row>
    <row r="29" spans="2:61" ht="14.4" customHeight="1" thickBot="1">
      <c r="AU29" s="260">
        <f>OBJ!B140</f>
        <v>9255276</v>
      </c>
      <c r="AV29" s="261" t="str">
        <f>VLOOKUP(AU29,CENY!$B$11:$G$1034,2,FALSE)</f>
        <v>AVANTECH YOU BOKY V SADĚ V251 MM NL500 MM STŘÍBRNÁ</v>
      </c>
      <c r="AW29" s="24">
        <f>VLOOKUP(AU29,CENY!$B$11:$G$1034,3,FALSE)</f>
        <v>1</v>
      </c>
      <c r="AX29" s="24"/>
      <c r="AY29" s="77"/>
      <c r="AZ29" s="107">
        <f>VLOOKUP(AU29,CENY!$B$11:$M$2005,12,FALSE)</f>
        <v>1283.24</v>
      </c>
      <c r="BA29" s="107">
        <f t="shared" si="0"/>
        <v>0</v>
      </c>
      <c r="BC29" s="22">
        <f>OBJ!B105</f>
        <v>0</v>
      </c>
      <c r="BD29" s="23" t="e">
        <f>VLOOKUP(BC29,CENY!$B$11:$G$1034,2,FALSE)</f>
        <v>#N/A</v>
      </c>
      <c r="BE29" s="24" t="e">
        <f>VLOOKUP(BC29,CENY!$B$11:$G$1034,3,FALSE)</f>
        <v>#N/A</v>
      </c>
      <c r="BF29" s="24"/>
      <c r="BG29" s="25">
        <f>(AY3)*(AM$19+AM$20+AM$21+AM$26+AM$27)</f>
        <v>0</v>
      </c>
      <c r="BH29" s="107" t="e">
        <f>VLOOKUP(BC29,CENY!$B$11:$M$2005,12,FALSE)</f>
        <v>#N/A</v>
      </c>
      <c r="BI29" s="107" t="e">
        <f t="shared" si="1"/>
        <v>#N/A</v>
      </c>
    </row>
    <row r="30" spans="2:61" ht="14.4" customHeight="1">
      <c r="O30" s="625" t="str">
        <f>verze!E160</f>
        <v>Je nutné natypovat šířky čel ?</v>
      </c>
      <c r="P30" s="626"/>
      <c r="Q30" s="626"/>
      <c r="R30" s="626"/>
      <c r="S30" s="627"/>
      <c r="V30" s="112" t="str">
        <f>verze!E156</f>
        <v>Ke každé zásuvce je uvažované jedno přední 2m hliníkové čelo a příčny reling.</v>
      </c>
      <c r="AU30" s="260">
        <f>OBJ!B141</f>
        <v>9255277</v>
      </c>
      <c r="AV30" s="261" t="str">
        <f>VLOOKUP(AU30,CENY!$B$11:$G$1034,2,FALSE)</f>
        <v>AVANTECH YOU BOKY V SADĚ V251 MM NL550 MM STŘÍBRNÁ</v>
      </c>
      <c r="AW30" s="24">
        <f>VLOOKUP(AU30,CENY!$B$11:$G$1034,3,FALSE)</f>
        <v>1</v>
      </c>
      <c r="AX30" s="24"/>
      <c r="AY30" s="77"/>
      <c r="AZ30" s="107">
        <f>VLOOKUP(AU30,CENY!$B$11:$M$2005,12,FALSE)</f>
        <v>1300.81</v>
      </c>
      <c r="BA30" s="107">
        <f t="shared" si="0"/>
        <v>0</v>
      </c>
      <c r="BC30" s="22">
        <f>OBJ!B106</f>
        <v>9255262</v>
      </c>
      <c r="BD30" s="23" t="str">
        <f>VLOOKUP(BC30,CENY!$B$11:$G$1034,2,FALSE)</f>
        <v>AVANTECH YOU BOKY V SADĚ V187 MM NL270 MM STŘÍBRNÁ</v>
      </c>
      <c r="BE30" s="24">
        <f>VLOOKUP(BC30,CENY!$B$11:$G$1034,3,FALSE)</f>
        <v>1</v>
      </c>
      <c r="BF30" s="24"/>
      <c r="BG30" s="25">
        <f>(AY3)*(AO$19+AO$20+AO$21+AO$26+AO$27)</f>
        <v>0</v>
      </c>
      <c r="BH30" s="107">
        <f>VLOOKUP(BC30,CENY!$B$11:$M$2005,12,FALSE)</f>
        <v>847.2</v>
      </c>
      <c r="BI30" s="107">
        <f t="shared" si="1"/>
        <v>0</v>
      </c>
    </row>
    <row r="31" spans="2:61" ht="14.4" customHeight="1" thickBot="1">
      <c r="O31" s="628"/>
      <c r="P31" s="629"/>
      <c r="Q31" s="629"/>
      <c r="R31" s="629"/>
      <c r="S31" s="630"/>
      <c r="V31" s="112" t="str">
        <f>verze!E158</f>
        <v>Případnou úpravu počtu hliníkových čel (profilů) a příčných relingů vykonej v objednávce.</v>
      </c>
      <c r="AU31" s="260">
        <f>OBJ!B142</f>
        <v>9255278</v>
      </c>
      <c r="AV31" s="261" t="str">
        <f>VLOOKUP(AU31,CENY!$B$11:$G$1034,2,FALSE)</f>
        <v>AVANTECH YOU BOKY V SADĚ V251 MM NL600 MM STŘÍBRNÁ</v>
      </c>
      <c r="AW31" s="24">
        <f>VLOOKUP(AU31,CENY!$B$11:$G$1034,3,FALSE)</f>
        <v>1</v>
      </c>
      <c r="AX31" s="24"/>
      <c r="AY31" s="77"/>
      <c r="AZ31" s="107">
        <f>VLOOKUP(AU31,CENY!$B$11:$M$2005,12,FALSE)</f>
        <v>1327.3</v>
      </c>
      <c r="BA31" s="107">
        <f t="shared" si="0"/>
        <v>0</v>
      </c>
      <c r="BC31" s="22">
        <f>OBJ!B107</f>
        <v>9255263</v>
      </c>
      <c r="BD31" s="23" t="str">
        <f>VLOOKUP(BC31,CENY!$B$11:$G$1034,2,FALSE)</f>
        <v>AVANTECH YOU BOKY V SADĚ V187 MM NL300 MM STŘÍBRNÁ</v>
      </c>
      <c r="BE31" s="24">
        <f>VLOOKUP(BC31,CENY!$B$11:$G$1034,3,FALSE)</f>
        <v>1</v>
      </c>
      <c r="BF31" s="24"/>
      <c r="BG31" s="25">
        <f>(AY3)*(AO$19+AO$20+AO$21+AO$26+AO$27)</f>
        <v>0</v>
      </c>
      <c r="BH31" s="107">
        <f>VLOOKUP(BC31,CENY!$B$11:$M$2005,12,FALSE)</f>
        <v>853.97</v>
      </c>
      <c r="BI31" s="107">
        <f>IF(BH31="","",BH31*BG31)</f>
        <v>0</v>
      </c>
    </row>
    <row r="32" spans="2:61" ht="14.4" customHeight="1">
      <c r="AU32" s="260">
        <f>OBJ!B143</f>
        <v>9255279</v>
      </c>
      <c r="AV32" s="261" t="str">
        <f>VLOOKUP(AU32,CENY!$B$11:$G$1034,2,FALSE)</f>
        <v>AVANTECH YOU BOKY V SADĚ V251 MM NL650 MM STŘÍBRNÁ</v>
      </c>
      <c r="AW32" s="24">
        <f>VLOOKUP(AU32,CENY!$B$11:$G$1034,3,FALSE)</f>
        <v>1</v>
      </c>
      <c r="AX32" s="24"/>
      <c r="AY32" s="77"/>
      <c r="AZ32" s="107">
        <f>VLOOKUP(AU32,CENY!$B$11:$M$2005,12,FALSE)</f>
        <v>1363.32</v>
      </c>
      <c r="BA32" s="107">
        <f t="shared" si="0"/>
        <v>0</v>
      </c>
      <c r="BC32" s="22">
        <f>OBJ!B108</f>
        <v>9255264</v>
      </c>
      <c r="BD32" s="23" t="str">
        <f>VLOOKUP(BC32,CENY!$B$11:$G$1034,2,FALSE)</f>
        <v>AVANTECH YOU BOKY V SADĚ V187 MM NL350 MM STŘÍBRNÁ</v>
      </c>
      <c r="BE32" s="24">
        <f>VLOOKUP(BC32,CENY!$B$11:$G$1034,3,FALSE)</f>
        <v>1</v>
      </c>
      <c r="BF32" s="24"/>
      <c r="BG32" s="25">
        <f>(AY3)*(AQ$21+AQ$27)</f>
        <v>0</v>
      </c>
      <c r="BH32" s="107">
        <f>VLOOKUP(BC32,CENY!$B$11:$M$2005,12,FALSE)</f>
        <v>865.25</v>
      </c>
      <c r="BI32" s="107">
        <f>IF(BH32="","",BH32*BG32)</f>
        <v>0</v>
      </c>
    </row>
    <row r="33" spans="47:61" ht="14.4" customHeight="1">
      <c r="AU33" s="260">
        <f>OBJ!B144</f>
        <v>0</v>
      </c>
      <c r="AV33" s="261" t="e">
        <f>VLOOKUP(AU33,CENY!$B$11:$G$1034,2,FALSE)</f>
        <v>#N/A</v>
      </c>
      <c r="AW33" s="24" t="e">
        <f>VLOOKUP(AU33,CENY!$B$11:$G$1034,3,FALSE)</f>
        <v>#N/A</v>
      </c>
      <c r="AX33" s="24"/>
      <c r="AY33" s="77"/>
      <c r="AZ33" s="107" t="e">
        <f>VLOOKUP(AU33,CENY!$B$11:$M$2005,12,FALSE)</f>
        <v>#N/A</v>
      </c>
      <c r="BA33" s="107" t="e">
        <f t="shared" si="0"/>
        <v>#N/A</v>
      </c>
      <c r="BC33" s="22">
        <f>OBJ!B109</f>
        <v>9255265</v>
      </c>
      <c r="BD33" s="23" t="str">
        <f>VLOOKUP(BC33,CENY!$B$11:$G$1034,2,FALSE)</f>
        <v>AVANTECH YOU BOKY V SADĚ V187 MM NL400 MM STŘÍBRNÁ</v>
      </c>
      <c r="BE33" s="24">
        <f>VLOOKUP(BC33,CENY!$B$11:$G$1034,3,FALSE)</f>
        <v>1</v>
      </c>
      <c r="BF33" s="24"/>
      <c r="BG33" s="25">
        <f>(AY3)*(AQ$21+AQ$27)</f>
        <v>0</v>
      </c>
      <c r="BH33" s="107">
        <f>VLOOKUP(BC33,CENY!$B$11:$M$2005,12,FALSE)</f>
        <v>876.53</v>
      </c>
      <c r="BI33" s="107">
        <f>IF(BH33="","",BH33*BG33)</f>
        <v>0</v>
      </c>
    </row>
    <row r="34" spans="47:61" ht="14.4" customHeight="1">
      <c r="AU34" s="22"/>
      <c r="AV34" s="23"/>
      <c r="AW34" s="24"/>
      <c r="AX34" s="24"/>
      <c r="AY34" s="25"/>
      <c r="AZ34" s="107"/>
      <c r="BA34" s="107" t="str">
        <f t="shared" si="0"/>
        <v/>
      </c>
      <c r="BC34" s="22"/>
      <c r="BD34" s="23"/>
      <c r="BE34" s="24"/>
      <c r="BF34" s="24"/>
      <c r="BG34" s="25"/>
      <c r="BH34" s="107"/>
      <c r="BI34" s="107" t="str">
        <f>IF(BH34="","",BH34*BG34)</f>
        <v/>
      </c>
    </row>
    <row r="35" spans="47:61" ht="14.4" customHeight="1">
      <c r="AU35" s="260">
        <f>OBJ!B137</f>
        <v>9255273</v>
      </c>
      <c r="AV35" s="261" t="str">
        <f>VLOOKUP(AU35,CENY!$B$11:$G$1034,2,FALSE)</f>
        <v>AVANTECH YOU BOKY V SADĚ V251 MM NL350 MM STŘÍBRNÁ</v>
      </c>
      <c r="AW35" s="24">
        <f>VLOOKUP(AU35,CENY!$B$11:$G$1034,3,FALSE)</f>
        <v>1</v>
      </c>
      <c r="AX35" s="24"/>
      <c r="AY35" s="77"/>
      <c r="AZ35" s="107">
        <f>VLOOKUP(AU35,CENY!$B$11:$M$2005,12,FALSE)</f>
        <v>1230.56</v>
      </c>
      <c r="BA35" s="107">
        <f t="shared" si="0"/>
        <v>0</v>
      </c>
      <c r="BC35" s="258">
        <f>OBJ!B126</f>
        <v>9255054</v>
      </c>
      <c r="BD35" s="259" t="str">
        <f>VLOOKUP(BC35,CENY!$B$11:$G$1034,2,FALSE)</f>
        <v>AVANTECH YOU BOK V187 MM NL500 MM STŘÍBRNÝ LEVÝ</v>
      </c>
      <c r="BE35" s="24">
        <f>VLOOKUP(BC35,CENY!$B$11:$G$1034,3,FALSE)</f>
        <v>10</v>
      </c>
      <c r="BF35" s="24"/>
      <c r="BG35" s="25">
        <f>(AY4)*(AI$19+AI$20+AI$21+AI$26+AI$27)</f>
        <v>0</v>
      </c>
      <c r="BH35" s="107">
        <f>VLOOKUP(BC35,CENY!$B$11:$M$2005,12,FALSE)</f>
        <v>319.02999999999997</v>
      </c>
      <c r="BI35" s="107">
        <f t="shared" si="1"/>
        <v>0</v>
      </c>
    </row>
    <row r="36" spans="47:61" ht="14.4" customHeight="1">
      <c r="AU36" s="260">
        <f>OBJ!B221</f>
        <v>9283233</v>
      </c>
      <c r="AV36" s="259" t="str">
        <f>VLOOKUP(AU36,CENY!$B$11:$G$1034,2,FALSE)</f>
        <v>AVANTECH YOU SKLENĚNÁ VÝPLŇ 10 MM K ČELU INLAY V130 MM Š450 MM KD18 MM</v>
      </c>
      <c r="AW36" s="24">
        <f>VLOOKUP(AU36,CENY!$B$11:$G$1034,3,FALSE)</f>
        <v>1</v>
      </c>
      <c r="AX36" s="24"/>
      <c r="AY36" s="77"/>
      <c r="AZ36" s="107">
        <f>VLOOKUP(AU36,CENY!$B$11:$M$2005,12,FALSE)</f>
        <v>458.09</v>
      </c>
      <c r="BA36" s="107">
        <f t="shared" si="0"/>
        <v>0</v>
      </c>
      <c r="BC36" s="258">
        <f>OBJ!B127</f>
        <v>9255055</v>
      </c>
      <c r="BD36" s="259" t="str">
        <f>VLOOKUP(BC36,CENY!$B$11:$G$1034,2,FALSE)</f>
        <v>AVANTECH YOU BOK V187 MM NL500 MM STŘÍBRNÝ PRAVÝ</v>
      </c>
      <c r="BE36" s="24">
        <f>VLOOKUP(BC36,CENY!$B$11:$G$1034,3,FALSE)</f>
        <v>10</v>
      </c>
      <c r="BF36" s="24"/>
      <c r="BG36" s="25">
        <f>(AY4)*(AI$19+AI$20+AI$21+AI$26+AI$27)</f>
        <v>0</v>
      </c>
      <c r="BH36" s="107">
        <f>VLOOKUP(BC36,CENY!$B$11:$M$2005,12,FALSE)</f>
        <v>319.02999999999997</v>
      </c>
      <c r="BI36" s="107">
        <f t="shared" si="1"/>
        <v>0</v>
      </c>
    </row>
    <row r="37" spans="47:61" ht="14.4" customHeight="1">
      <c r="AU37" s="260">
        <f>OBJ!B222</f>
        <v>9283235</v>
      </c>
      <c r="AV37" s="259" t="str">
        <f>VLOOKUP(AU37,CENY!$B$11:$G$1034,2,FALSE)</f>
        <v>AVANTECH YOU SKLENĚNÁ VÝPLŇ 10 MM K ČELU INLAY V130 MM Š600 MM KD18 MM</v>
      </c>
      <c r="AW37" s="24">
        <f>VLOOKUP(AU37,CENY!$B$11:$G$1034,3,FALSE)</f>
        <v>1</v>
      </c>
      <c r="AX37" s="24"/>
      <c r="AY37" s="77"/>
      <c r="AZ37" s="107">
        <f>VLOOKUP(AU37,CENY!$B$11:$M$2005,12,FALSE)</f>
        <v>520.58000000000004</v>
      </c>
      <c r="BA37" s="107">
        <f t="shared" si="0"/>
        <v>0</v>
      </c>
      <c r="BC37" s="258">
        <f>OBJ!B128</f>
        <v>9255056</v>
      </c>
      <c r="BD37" s="259" t="str">
        <f>VLOOKUP(BC37,CENY!$B$11:$G$1034,2,FALSE)</f>
        <v>AVANTECH YOU BOK V187 MM NL550 MM STŘÍBRNÝ LEVÝ</v>
      </c>
      <c r="BE37" s="24">
        <f>VLOOKUP(BC37,CENY!$B$11:$G$1034,3,FALSE)</f>
        <v>10</v>
      </c>
      <c r="BF37" s="24"/>
      <c r="BG37" s="25">
        <f>(AY4)*(AK$19+AK$20+AK$21+AK$26+AK$27)</f>
        <v>0</v>
      </c>
      <c r="BH37" s="107">
        <f>VLOOKUP(BC37,CENY!$B$11:$M$2005,12,FALSE)</f>
        <v>324.5</v>
      </c>
      <c r="BI37" s="107">
        <f t="shared" si="1"/>
        <v>0</v>
      </c>
    </row>
    <row r="38" spans="47:61" ht="14.4" customHeight="1">
      <c r="AU38" s="260">
        <f>OBJ!B223</f>
        <v>9283237</v>
      </c>
      <c r="AV38" s="259" t="str">
        <f>VLOOKUP(AU38,CENY!$B$11:$G$1034,2,FALSE)</f>
        <v>AVANTECH YOU SKLENĚNÁ VÝPLŇ 10 MM K ČELU INLAY V130 MM Š900 MM KD18 MM</v>
      </c>
      <c r="AW38" s="24">
        <f>VLOOKUP(AU38,CENY!$B$11:$G$1034,3,FALSE)</f>
        <v>1</v>
      </c>
      <c r="AX38" s="24"/>
      <c r="AY38" s="77"/>
      <c r="AZ38" s="107">
        <f>VLOOKUP(AU38,CENY!$B$11:$M$2005,12,FALSE)</f>
        <v>867.64</v>
      </c>
      <c r="BA38" s="107">
        <f t="shared" si="0"/>
        <v>0</v>
      </c>
      <c r="BC38" s="258">
        <f>OBJ!B129</f>
        <v>9255057</v>
      </c>
      <c r="BD38" s="259" t="str">
        <f>VLOOKUP(BC38,CENY!$B$11:$G$1034,2,FALSE)</f>
        <v>AVANTECH YOU BOK V187 MM NL550 MM STŘÍBRNÝ PRAVÝ</v>
      </c>
      <c r="BE38" s="24">
        <f>VLOOKUP(BC38,CENY!$B$11:$G$1034,3,FALSE)</f>
        <v>10</v>
      </c>
      <c r="BF38" s="24"/>
      <c r="BG38" s="25">
        <f>(AY4)*(AK$19+AK$20+AK$21+AK$26+AK$27)</f>
        <v>0</v>
      </c>
      <c r="BH38" s="107">
        <f>VLOOKUP(BC38,CENY!$B$11:$M$2005,12,FALSE)</f>
        <v>324.5</v>
      </c>
      <c r="BI38" s="107">
        <f t="shared" si="1"/>
        <v>0</v>
      </c>
    </row>
    <row r="39" spans="47:61" ht="14.4" customHeight="1">
      <c r="AU39" s="260">
        <f>OBJ!B224</f>
        <v>9283238</v>
      </c>
      <c r="AV39" s="259" t="str">
        <f>VLOOKUP(AU39,CENY!$B$11:$G$1034,2,FALSE)</f>
        <v>AVANTECH YOU SKLENĚNÁ VÝPLŇ 10 MM K ČELU INLAY V130 MM Š1200 MM KD18 MM</v>
      </c>
      <c r="AW39" s="24">
        <f>VLOOKUP(AU39,CENY!$B$11:$G$1034,3,FALSE)</f>
        <v>1</v>
      </c>
      <c r="AX39" s="24"/>
      <c r="AY39" s="77"/>
      <c r="AZ39" s="107">
        <f>VLOOKUP(AU39,CENY!$B$11:$M$2005,12,FALSE)</f>
        <v>1117.52</v>
      </c>
      <c r="BA39" s="107">
        <f t="shared" si="0"/>
        <v>0</v>
      </c>
      <c r="BC39" s="258">
        <f>OBJ!B130</f>
        <v>9255058</v>
      </c>
      <c r="BD39" s="259" t="str">
        <f>VLOOKUP(BC39,CENY!$B$11:$G$1034,2,FALSE)</f>
        <v>AVANTECH YOU BOK V187 MM NL600 MM STŘÍBRNÝ LEVÝ</v>
      </c>
      <c r="BE39" s="24">
        <f>VLOOKUP(BC39,CENY!$B$11:$G$1034,3,FALSE)</f>
        <v>10</v>
      </c>
      <c r="BF39" s="24"/>
      <c r="BG39" s="25">
        <f>(AY4)*(AM$19+AM$20+AM$21+AM$26+AM$27)</f>
        <v>0</v>
      </c>
      <c r="BH39" s="107">
        <f>VLOOKUP(BC39,CENY!$B$11:$M$2005,12,FALSE)</f>
        <v>332.75</v>
      </c>
      <c r="BI39" s="107">
        <f t="shared" si="1"/>
        <v>0</v>
      </c>
    </row>
    <row r="40" spans="47:61" ht="14.4" customHeight="1">
      <c r="AU40" s="260" t="e">
        <f>OBJ!#REF!</f>
        <v>#REF!</v>
      </c>
      <c r="AV40" s="259" t="e">
        <f>VLOOKUP(AU40,CENY!$B$11:$G$1034,2,FALSE)</f>
        <v>#REF!</v>
      </c>
      <c r="AW40" s="24" t="e">
        <f>VLOOKUP(AU40,CENY!$B$11:$G$1034,3,FALSE)</f>
        <v>#REF!</v>
      </c>
      <c r="AX40" s="24"/>
      <c r="AY40" s="77"/>
      <c r="AZ40" s="107" t="e">
        <f>VLOOKUP(AU40,CENY!$B$11:$M$2005,12,FALSE)</f>
        <v>#REF!</v>
      </c>
      <c r="BA40" s="107" t="e">
        <f t="shared" si="0"/>
        <v>#REF!</v>
      </c>
      <c r="BC40" s="258">
        <f>OBJ!B131</f>
        <v>9255059</v>
      </c>
      <c r="BD40" s="259" t="str">
        <f>VLOOKUP(BC40,CENY!$B$11:$G$1034,2,FALSE)</f>
        <v>AVANTECH YOU BOK V187 MM NL600 MM STŘÍBRNÝ PRAVÝ</v>
      </c>
      <c r="BE40" s="24">
        <f>VLOOKUP(BC40,CENY!$B$11:$G$1034,3,FALSE)</f>
        <v>10</v>
      </c>
      <c r="BF40" s="24"/>
      <c r="BG40" s="25">
        <f>(AY4)*(AM$19+AM$20+AM$21+AM$26+AM$27)</f>
        <v>0</v>
      </c>
      <c r="BH40" s="107">
        <f>VLOOKUP(BC40,CENY!$B$11:$M$2005,12,FALSE)</f>
        <v>332.75</v>
      </c>
      <c r="BI40" s="107">
        <f t="shared" si="1"/>
        <v>0</v>
      </c>
    </row>
    <row r="41" spans="47:61" ht="14.4" customHeight="1">
      <c r="AU41" s="22"/>
      <c r="AV41" s="23"/>
      <c r="AW41" s="24"/>
      <c r="AX41" s="24"/>
      <c r="AY41" s="25"/>
      <c r="AZ41" s="107"/>
      <c r="BA41" s="107" t="str">
        <f t="shared" si="0"/>
        <v/>
      </c>
      <c r="BC41" s="258">
        <f>OBJ!B132</f>
        <v>9255060</v>
      </c>
      <c r="BD41" s="259" t="str">
        <f>VLOOKUP(BC41,CENY!$B$11:$G$1034,2,FALSE)</f>
        <v>AVANTECH YOU BOK V187 MM NL650 MM STŘÍBRNÝ LEVÝ</v>
      </c>
      <c r="BE41" s="24">
        <f>VLOOKUP(BC41,CENY!$B$11:$G$1034,3,FALSE)</f>
        <v>10</v>
      </c>
      <c r="BF41" s="24"/>
      <c r="BG41" s="25">
        <f>(AY4)*(AO$19+AO$20+AO$21+AO$26+AO$27)</f>
        <v>0</v>
      </c>
      <c r="BH41" s="107">
        <f>VLOOKUP(BC41,CENY!$B$11:$M$2005,12,FALSE)</f>
        <v>343.97</v>
      </c>
      <c r="BI41" s="107">
        <f t="shared" si="1"/>
        <v>0</v>
      </c>
    </row>
    <row r="42" spans="47:61" ht="14.4" customHeight="1">
      <c r="AU42" s="22">
        <f>OBJ!B258</f>
        <v>9268679</v>
      </c>
      <c r="AV42" s="23" t="str">
        <f>VLOOKUP(AU42,CENY!$B$11:$G$1034,2,FALSE)</f>
        <v>ACTRO YOU 40KG PLNOVÝSUV 600 MM EB21 SILENT SYSTÉM LEVÝ</v>
      </c>
      <c r="AW42" s="24">
        <f>VLOOKUP(AU42,CENY!$B$11:$G$1034,3,FALSE)</f>
        <v>10</v>
      </c>
      <c r="AX42" s="24"/>
      <c r="AY42" s="77">
        <f>O19</f>
        <v>0</v>
      </c>
      <c r="AZ42" s="107">
        <f>VLOOKUP(AU42,CENY!$B$11:$M$2005,12,FALSE)</f>
        <v>273.51</v>
      </c>
      <c r="BA42" s="107">
        <f t="shared" si="0"/>
        <v>0</v>
      </c>
      <c r="BC42" s="258">
        <f>OBJ!B133</f>
        <v>9255061</v>
      </c>
      <c r="BD42" s="259" t="str">
        <f>VLOOKUP(BC42,CENY!$B$11:$G$1034,2,FALSE)</f>
        <v>AVANTECH YOU BOK V187 MM NL650 MM STŘÍBRNÝ PRAVÝ</v>
      </c>
      <c r="BE42" s="24">
        <f>VLOOKUP(BC42,CENY!$B$11:$G$1034,3,FALSE)</f>
        <v>10</v>
      </c>
      <c r="BF42" s="24"/>
      <c r="BG42" s="25">
        <f>(AY4)*(AO$19+AO$20+AO$21+AO$26+AO$27)</f>
        <v>0</v>
      </c>
      <c r="BH42" s="107">
        <f>VLOOKUP(BC42,CENY!$B$11:$M$2005,12,FALSE)</f>
        <v>343.97</v>
      </c>
      <c r="BI42" s="107">
        <f t="shared" si="1"/>
        <v>0</v>
      </c>
    </row>
    <row r="43" spans="47:61" ht="14.4" customHeight="1">
      <c r="AU43" s="22">
        <f>OBJ!B259</f>
        <v>9268680</v>
      </c>
      <c r="AV43" s="23" t="str">
        <f>VLOOKUP(AU43,CENY!$B$11:$G$1034,2,FALSE)</f>
        <v>ACTRO YOU 40KG PLNOVÝSUV 600 MM EB21 SILENT SYSTÉM PRAVÝ</v>
      </c>
      <c r="AW43" s="24">
        <f>VLOOKUP(AU43,CENY!$B$11:$G$1034,3,FALSE)</f>
        <v>10</v>
      </c>
      <c r="AX43" s="24"/>
      <c r="AY43" s="77">
        <f>Q19</f>
        <v>0</v>
      </c>
      <c r="AZ43" s="107">
        <f>VLOOKUP(AU43,CENY!$B$11:$M$2005,12,FALSE)</f>
        <v>273.51</v>
      </c>
      <c r="BA43" s="107">
        <f t="shared" si="0"/>
        <v>0</v>
      </c>
      <c r="BC43" s="258">
        <f>OBJ!B135</f>
        <v>9255838</v>
      </c>
      <c r="BD43" s="259" t="str">
        <f>VLOOKUP(BC43,CENY!$B$11:$G$1034,2,FALSE)</f>
        <v>AVANTECH YOU PŘÍCHYTKA ČELA V187 / 251 MM K NAŠROUBOVÁNÍ</v>
      </c>
      <c r="BE43" s="24">
        <f>VLOOKUP(BC43,CENY!$B$11:$G$1034,3,FALSE)</f>
        <v>200</v>
      </c>
      <c r="BF43" s="24"/>
      <c r="BG43" s="25">
        <f>(AY4)*(AQ$21+AQ$27)</f>
        <v>0</v>
      </c>
      <c r="BH43" s="107">
        <f>VLOOKUP(BC43,CENY!$B$11:$M$2005,12,FALSE)</f>
        <v>53.15</v>
      </c>
      <c r="BI43" s="107">
        <f t="shared" si="1"/>
        <v>0</v>
      </c>
    </row>
    <row r="44" spans="47:61" ht="14.4" customHeight="1">
      <c r="AU44" s="22">
        <f>OBJ!B260</f>
        <v>0</v>
      </c>
      <c r="AV44" s="23" t="e">
        <f>VLOOKUP(AU44,CENY!$B$11:$G$1034,2,FALSE)</f>
        <v>#N/A</v>
      </c>
      <c r="AW44" s="24" t="e">
        <f>VLOOKUP(AU44,CENY!$B$11:$G$1034,3,FALSE)</f>
        <v>#N/A</v>
      </c>
      <c r="AX44" s="24"/>
      <c r="AY44" s="25">
        <f>IF((AY1+AY3)&gt;1,SUM(AY1:AY4)*S19-1*S19,SUM(AY1:AY4)*S19)</f>
        <v>0</v>
      </c>
      <c r="AZ44" s="107" t="e">
        <f>VLOOKUP(AU44,CENY!$B$11:$M$2005,12,FALSE)</f>
        <v>#N/A</v>
      </c>
      <c r="BA44" s="107" t="e">
        <f t="shared" si="0"/>
        <v>#N/A</v>
      </c>
      <c r="BC44" s="258" t="e">
        <f>OBJ!#REF!</f>
        <v>#REF!</v>
      </c>
      <c r="BD44" s="259" t="e">
        <f>VLOOKUP(BC44,CENY!$B$11:$G$1034,2,FALSE)</f>
        <v>#REF!</v>
      </c>
      <c r="BE44" s="24" t="e">
        <f>VLOOKUP(BC44,CENY!$B$11:$G$1034,3,FALSE)</f>
        <v>#REF!</v>
      </c>
      <c r="BF44" s="24"/>
      <c r="BG44" s="25">
        <f>(AY4)*(AQ$21+AQ$27)</f>
        <v>0</v>
      </c>
      <c r="BH44" s="107" t="e">
        <f>VLOOKUP(BC44,CENY!$B$11:$M$2005,12,FALSE)</f>
        <v>#REF!</v>
      </c>
      <c r="BI44" s="107" t="e">
        <f t="shared" si="1"/>
        <v>#REF!</v>
      </c>
    </row>
    <row r="45" spans="47:61" ht="14.4" customHeight="1">
      <c r="AU45" s="22">
        <f>OBJ!B261</f>
        <v>9257034</v>
      </c>
      <c r="AV45" s="23" t="str">
        <f>VLOOKUP(AU45,CENY!$B$11:$G$1034,2,FALSE)</f>
        <v>ACTRO YOU 70KG PLNOVÝSUV 450 MM EB21 SILENT SYSTEM SADA</v>
      </c>
      <c r="AW45" s="24">
        <f>VLOOKUP(AU45,CENY!$B$11:$G$1034,3,FALSE)</f>
        <v>1</v>
      </c>
      <c r="AX45" s="24"/>
      <c r="AY45" s="25">
        <f>IF((AY1+AY3)&gt;1,SUM(AY1:AY4)*U19-1*U19,SUM(AY1:AY4)*U19)</f>
        <v>0</v>
      </c>
      <c r="AZ45" s="107">
        <f>VLOOKUP(AU45,CENY!$B$11:$M$2005,12,FALSE)</f>
        <v>691.9</v>
      </c>
      <c r="BA45" s="107">
        <f t="shared" si="0"/>
        <v>0</v>
      </c>
      <c r="BC45" s="22"/>
      <c r="BD45" s="23"/>
      <c r="BE45" s="24"/>
      <c r="BF45" s="24"/>
      <c r="BG45" s="25"/>
      <c r="BH45" s="107"/>
      <c r="BI45" s="107"/>
    </row>
    <row r="46" spans="47:61" ht="14.4" customHeight="1">
      <c r="AU46" s="22">
        <f>OBJ!B262</f>
        <v>9257036</v>
      </c>
      <c r="AV46" s="23" t="str">
        <f>VLOOKUP(AU46,CENY!$B$11:$G$1034,2,FALSE)</f>
        <v>ACTRO YOU 70KG PLNOVÝSUV 500 MM EB21 SILENT SYSTEM SADA</v>
      </c>
      <c r="AW46" s="24">
        <f>VLOOKUP(AU46,CENY!$B$11:$G$1034,3,FALSE)</f>
        <v>1</v>
      </c>
      <c r="AX46" s="24"/>
      <c r="AY46" s="25">
        <f>IF((AY1+AY3)&gt;1,SUM(AY1:AY4)*W19-1*W19,SUM(AY1:AY4)*W19)</f>
        <v>0</v>
      </c>
      <c r="AZ46" s="107">
        <f>VLOOKUP(AU46,CENY!$B$11:$M$2005,12,FALSE)</f>
        <v>698.13</v>
      </c>
      <c r="BA46" s="107">
        <f t="shared" si="0"/>
        <v>0</v>
      </c>
      <c r="BC46" s="22">
        <f>OBJ!B81</f>
        <v>9255254</v>
      </c>
      <c r="BD46" s="23" t="str">
        <f>VLOOKUP(BC46,CENY!$B$11:$G$1034,2,FALSE)</f>
        <v>AVANTECH YOU BOKY V SADĚ V139 MM NL300 MM STŘÍBRNÁ</v>
      </c>
      <c r="BE46" s="24">
        <f>VLOOKUP(BC46,CENY!$B$11:$G$1034,3,FALSE)</f>
        <v>1</v>
      </c>
      <c r="BF46" s="24"/>
      <c r="BG46" s="25">
        <f>(AY1+AY2)*(SUM(AE19:AP20)+SUM(AG21:AR21)+SUM(AE26:AP26)+SUM(AG27:AR27))</f>
        <v>0</v>
      </c>
      <c r="BH46" s="107">
        <f>VLOOKUP(BC46,CENY!$B$11:$M$2005,12,FALSE)</f>
        <v>682.46</v>
      </c>
      <c r="BI46" s="107">
        <f>IF(BH46="","",BH46*BG46)</f>
        <v>0</v>
      </c>
    </row>
    <row r="47" spans="47:61" ht="14.4" customHeight="1">
      <c r="AU47" s="22">
        <f>OBJ!B263</f>
        <v>9257038</v>
      </c>
      <c r="AV47" s="23" t="str">
        <f>VLOOKUP(AU47,CENY!$B$11:$G$1034,2,FALSE)</f>
        <v>ACTRO YOU 70KG PLNOVÝSUV 550 MM EB21 SILENT SYSTEM SADA</v>
      </c>
      <c r="AW47" s="24">
        <f>VLOOKUP(AU47,CENY!$B$11:$G$1034,3,FALSE)</f>
        <v>1</v>
      </c>
      <c r="AX47" s="24"/>
      <c r="AY47" s="25">
        <f>IF((AY1+AY3)&gt;1,SUM(AY1:AY4)*Y19-1*Y19,SUM(AY1:AY4)*Y19)</f>
        <v>0</v>
      </c>
      <c r="AZ47" s="107">
        <f>VLOOKUP(AU47,CENY!$B$11:$M$2005,12,FALSE)</f>
        <v>731.3</v>
      </c>
      <c r="BA47" s="107">
        <f t="shared" si="0"/>
        <v>0</v>
      </c>
      <c r="BC47" s="22">
        <f>OBJ!B82</f>
        <v>9255255</v>
      </c>
      <c r="BD47" s="23" t="str">
        <f>VLOOKUP(BC47,CENY!$B$11:$G$1034,2,FALSE)</f>
        <v>AVANTECH YOU BOKY V SADĚ V139 MM NL350 MM STŘÍBRNÁ</v>
      </c>
      <c r="BE47" s="24">
        <f>VLOOKUP(BC47,CENY!$B$11:$G$1034,3,FALSE)</f>
        <v>1</v>
      </c>
      <c r="BF47" s="24"/>
      <c r="BG47" s="25">
        <f>(AY1+AY2)*(SUM(AE19:AP20)+SUM(AG21:AR21)+SUM(AE26:AP26)+SUM(AG27:AR27))</f>
        <v>0</v>
      </c>
      <c r="BH47" s="107">
        <f>VLOOKUP(BC47,CENY!$B$11:$M$2005,12,FALSE)</f>
        <v>691.23</v>
      </c>
      <c r="BI47" s="107">
        <f>IF(BH47="","",BH47*BG47)</f>
        <v>0</v>
      </c>
    </row>
    <row r="48" spans="47:61" ht="14.4" customHeight="1">
      <c r="AU48" s="22">
        <f>OBJ!B264</f>
        <v>9257040</v>
      </c>
      <c r="AV48" s="23" t="str">
        <f>VLOOKUP(AU48,CENY!$B$11:$G$1034,2,FALSE)</f>
        <v>ACTRO YOU 70KG PLNOVÝSUV 600 MM EB21 SILENT SYSTEM SADA</v>
      </c>
      <c r="AW48" s="24">
        <f>VLOOKUP(AU48,CENY!$B$11:$G$1034,3,FALSE)</f>
        <v>1</v>
      </c>
      <c r="AX48" s="24"/>
      <c r="AY48" s="77">
        <f>O20</f>
        <v>0</v>
      </c>
      <c r="AZ48" s="107">
        <f>VLOOKUP(AU48,CENY!$B$11:$M$2005,12,FALSE)</f>
        <v>798.31</v>
      </c>
      <c r="BA48" s="107">
        <f t="shared" si="0"/>
        <v>0</v>
      </c>
      <c r="BC48" s="22">
        <f>OBJ!B83</f>
        <v>9255256</v>
      </c>
      <c r="BD48" s="23" t="str">
        <f>VLOOKUP(BC48,CENY!$B$11:$G$1034,2,FALSE)</f>
        <v>AVANTECH YOU BOKY V SADĚ V139 MM NL400 MM STŘÍBRNÁ</v>
      </c>
      <c r="BE48" s="24">
        <f>VLOOKUP(BC48,CENY!$B$11:$G$1034,3,FALSE)</f>
        <v>1</v>
      </c>
      <c r="BF48" s="24"/>
      <c r="BG48" s="25">
        <f>(AY3+AY4)*(SUM(AE19:AP20)+SUM(AG21:AR21)+SUM(AE26:AP26)+SUM(AG27:AR27))</f>
        <v>0</v>
      </c>
      <c r="BH48" s="107">
        <f>VLOOKUP(BC48,CENY!$B$11:$M$2005,12,FALSE)</f>
        <v>700.01</v>
      </c>
      <c r="BI48" s="107">
        <f t="shared" si="1"/>
        <v>0</v>
      </c>
    </row>
    <row r="49" spans="47:61" ht="14.4" customHeight="1">
      <c r="AU49" s="22">
        <f>OBJ!B265</f>
        <v>9257041</v>
      </c>
      <c r="AV49" s="23" t="str">
        <f>VLOOKUP(AU49,CENY!$B$11:$G$1034,2,FALSE)</f>
        <v>ACTRO YOU 70KG PLNOVÝSUV 650 MM EB21 SILENT SYSTEM SADA</v>
      </c>
      <c r="AW49" s="24">
        <f>VLOOKUP(AU49,CENY!$B$11:$G$1034,3,FALSE)</f>
        <v>1</v>
      </c>
      <c r="AX49" s="24"/>
      <c r="AY49" s="77">
        <f>Q20</f>
        <v>0</v>
      </c>
      <c r="AZ49" s="107">
        <f>VLOOKUP(AU49,CENY!$B$11:$M$2005,12,FALSE)</f>
        <v>828.55</v>
      </c>
      <c r="BA49" s="107">
        <f t="shared" si="0"/>
        <v>0</v>
      </c>
      <c r="BC49" s="22">
        <f>OBJ!B84</f>
        <v>9255257</v>
      </c>
      <c r="BD49" s="23" t="str">
        <f>VLOOKUP(BC49,CENY!$B$11:$G$1034,2,FALSE)</f>
        <v>AVANTECH YOU BOKY V SADĚ V139 MM NL450 MM STŘÍBRNÁ</v>
      </c>
      <c r="BE49" s="24">
        <f>VLOOKUP(BC49,CENY!$B$11:$G$1034,3,FALSE)</f>
        <v>1</v>
      </c>
      <c r="BF49" s="24"/>
      <c r="BG49" s="25">
        <f>(AY3+AY4)*(SUM(AE19:AP20)+SUM(AG21:AR21)+SUM(AE26:AP26)+SUM(AG27:AR27))</f>
        <v>0</v>
      </c>
      <c r="BH49" s="107">
        <f>VLOOKUP(BC49,CENY!$B$11:$M$2005,12,FALSE)</f>
        <v>708.78</v>
      </c>
      <c r="BI49" s="107">
        <f t="shared" si="1"/>
        <v>0</v>
      </c>
    </row>
    <row r="50" spans="47:61" ht="14.4" customHeight="1">
      <c r="AU50" s="22">
        <f>OBJ!B266</f>
        <v>9257013</v>
      </c>
      <c r="AV50" s="23" t="str">
        <f>VLOOKUP(AU50,CENY!$B$11:$G$1034,2,FALSE)</f>
        <v>ACTRO YOU 70KG PLNOVÝSUV 450 MM EB21 SILENT SYSTEM LEVÝ</v>
      </c>
      <c r="AW50" s="24">
        <f>VLOOKUP(AU50,CENY!$B$11:$G$1034,3,FALSE)</f>
        <v>10</v>
      </c>
      <c r="AX50" s="24"/>
      <c r="AY50" s="25">
        <f>IF((AY1+AY3)&gt;1,SUM(AY1:AY4)*S20-1*S20,SUM(AY1:AY4)*S20)</f>
        <v>0</v>
      </c>
      <c r="AZ50" s="107">
        <f>VLOOKUP(AU50,CENY!$B$11:$M$2005,12,FALSE)</f>
        <v>309.07</v>
      </c>
      <c r="BA50" s="107">
        <f t="shared" si="0"/>
        <v>0</v>
      </c>
      <c r="BC50" s="22"/>
      <c r="BD50" s="23"/>
      <c r="BE50" s="24"/>
      <c r="BF50" s="24"/>
      <c r="BG50" s="25"/>
      <c r="BH50" s="107"/>
      <c r="BI50" s="107" t="str">
        <f>IF(BH50="","",BH50*BG50)</f>
        <v/>
      </c>
    </row>
    <row r="51" spans="47:61" ht="14.4" customHeight="1">
      <c r="AU51" s="22">
        <f>OBJ!B267</f>
        <v>9257014</v>
      </c>
      <c r="AV51" s="23" t="str">
        <f>VLOOKUP(AU51,CENY!$B$11:$G$1034,2,FALSE)</f>
        <v>ACTRO YOU 70KG PLNOVÝSUV 450 MM EB21 SILENT SYSTEM PRAVÝ</v>
      </c>
      <c r="AW51" s="24">
        <f>VLOOKUP(AU51,CENY!$B$11:$G$1034,3,FALSE)</f>
        <v>10</v>
      </c>
      <c r="AX51" s="24"/>
      <c r="AY51" s="25">
        <f>IF((AY1+AY3)&gt;1,SUM(AY1:AY4)*U20-1*U20,SUM(AY1:AY4)*U20)</f>
        <v>0</v>
      </c>
      <c r="AZ51" s="107">
        <f>VLOOKUP(AU51,CENY!$B$11:$M$2005,12,FALSE)</f>
        <v>309.07</v>
      </c>
      <c r="BA51" s="107">
        <f t="shared" si="0"/>
        <v>0</v>
      </c>
      <c r="BC51" s="260">
        <f>OBJ!B137</f>
        <v>9255273</v>
      </c>
      <c r="BD51" s="261" t="str">
        <f>VLOOKUP(BC51,CENY!$B$11:$G$1034,2,FALSE)</f>
        <v>AVANTECH YOU BOKY V SADĚ V251 MM NL350 MM STŘÍBRNÁ</v>
      </c>
      <c r="BE51" s="24">
        <f>VLOOKUP(BC51,CENY!$B$11:$G$1034,3,FALSE)</f>
        <v>1</v>
      </c>
      <c r="BF51" s="24"/>
      <c r="BG51" s="77"/>
      <c r="BH51" s="107">
        <f>VLOOKUP(BC51,CENY!$B$11:$M$2005,12,FALSE)</f>
        <v>1230.56</v>
      </c>
      <c r="BI51" s="107">
        <f t="shared" ref="BI51:BI63" si="2">IF(BH51="","",BH51*BG51)</f>
        <v>0</v>
      </c>
    </row>
    <row r="52" spans="47:61" ht="14.4" customHeight="1">
      <c r="AU52" s="22">
        <f>OBJ!B268</f>
        <v>9257017</v>
      </c>
      <c r="AV52" s="23" t="str">
        <f>VLOOKUP(AU52,CENY!$B$11:$G$1034,2,FALSE)</f>
        <v>ACTRO YOU 70KG PLNOVÝSUV 500 MM EB21 SILENT SYSTEM LEVÝ</v>
      </c>
      <c r="AW52" s="24">
        <f>VLOOKUP(AU52,CENY!$B$11:$G$1034,3,FALSE)</f>
        <v>10</v>
      </c>
      <c r="AX52" s="24"/>
      <c r="AY52" s="25">
        <f>IF((AY1+AY3)&gt;1,SUM(AY1:AY4)*W20-1*W20,SUM(AY1:AY4)*W20)</f>
        <v>0</v>
      </c>
      <c r="AZ52" s="107">
        <f>VLOOKUP(AU52,CENY!$B$11:$M$2005,12,FALSE)</f>
        <v>312.18</v>
      </c>
      <c r="BA52" s="107">
        <f t="shared" si="0"/>
        <v>0</v>
      </c>
      <c r="BC52" s="260">
        <f>OBJ!B140</f>
        <v>9255276</v>
      </c>
      <c r="BD52" s="261" t="str">
        <f>VLOOKUP(BC52,CENY!$B$11:$G$1034,2,FALSE)</f>
        <v>AVANTECH YOU BOKY V SADĚ V251 MM NL500 MM STŘÍBRNÁ</v>
      </c>
      <c r="BE52" s="24">
        <f>VLOOKUP(BC52,CENY!$B$11:$G$1034,3,FALSE)</f>
        <v>1</v>
      </c>
      <c r="BF52" s="24"/>
      <c r="BG52" s="77"/>
      <c r="BH52" s="107">
        <f>VLOOKUP(BC52,CENY!$B$11:$M$2005,12,FALSE)</f>
        <v>1283.24</v>
      </c>
      <c r="BI52" s="107">
        <f t="shared" si="2"/>
        <v>0</v>
      </c>
    </row>
    <row r="53" spans="47:61" ht="14.4" customHeight="1">
      <c r="AU53" s="22">
        <f>OBJ!B269</f>
        <v>9257018</v>
      </c>
      <c r="AV53" s="23" t="str">
        <f>VLOOKUP(AU53,CENY!$B$11:$G$1034,2,FALSE)</f>
        <v>ACTRO YOU 70KG PLNOVÝSUV 500 MM EB21 SILENT SYSTEM PRAVÝ</v>
      </c>
      <c r="AW53" s="24">
        <f>VLOOKUP(AU53,CENY!$B$11:$G$1034,3,FALSE)</f>
        <v>10</v>
      </c>
      <c r="AX53" s="24"/>
      <c r="AY53" s="25">
        <f>IF((AY1+AY3)&gt;1,SUM(AY1:AY4)*Y20-1*Y20,SUM(AY1:AY4)*Y20)</f>
        <v>0</v>
      </c>
      <c r="AZ53" s="107">
        <f>VLOOKUP(AU53,CENY!$B$11:$M$2005,12,FALSE)</f>
        <v>312.18</v>
      </c>
      <c r="BA53" s="107">
        <f t="shared" si="0"/>
        <v>0</v>
      </c>
      <c r="BC53" s="260">
        <f>OBJ!B141</f>
        <v>9255277</v>
      </c>
      <c r="BD53" s="261" t="str">
        <f>VLOOKUP(BC53,CENY!$B$11:$G$1034,2,FALSE)</f>
        <v>AVANTECH YOU BOKY V SADĚ V251 MM NL550 MM STŘÍBRNÁ</v>
      </c>
      <c r="BE53" s="24">
        <f>VLOOKUP(BC53,CENY!$B$11:$G$1034,3,FALSE)</f>
        <v>1</v>
      </c>
      <c r="BF53" s="24"/>
      <c r="BG53" s="77"/>
      <c r="BH53" s="107">
        <f>VLOOKUP(BC53,CENY!$B$11:$M$2005,12,FALSE)</f>
        <v>1300.81</v>
      </c>
      <c r="BI53" s="107">
        <f t="shared" si="2"/>
        <v>0</v>
      </c>
    </row>
    <row r="54" spans="47:61" ht="14.4" customHeight="1">
      <c r="AU54" s="22">
        <f>OBJ!B270</f>
        <v>9257021</v>
      </c>
      <c r="AV54" s="23" t="str">
        <f>VLOOKUP(AU54,CENY!$B$11:$G$1034,2,FALSE)</f>
        <v>ACTRO YOU 70KG PLNOVÝSUV 550 MM EB21 SILENT SYSTEM LEVÝ</v>
      </c>
      <c r="AW54" s="24">
        <f>VLOOKUP(AU54,CENY!$B$11:$G$1034,3,FALSE)</f>
        <v>10</v>
      </c>
      <c r="AX54" s="24"/>
      <c r="AY54" s="77">
        <f>Q21</f>
        <v>0</v>
      </c>
      <c r="AZ54" s="107">
        <f>VLOOKUP(AU54,CENY!$B$11:$M$2005,12,FALSE)</f>
        <v>328.77</v>
      </c>
      <c r="BA54" s="107">
        <f t="shared" si="0"/>
        <v>0</v>
      </c>
      <c r="BC54" s="260">
        <f>OBJ!B142</f>
        <v>9255278</v>
      </c>
      <c r="BD54" s="261" t="str">
        <f>VLOOKUP(BC54,CENY!$B$11:$G$1034,2,FALSE)</f>
        <v>AVANTECH YOU BOKY V SADĚ V251 MM NL600 MM STŘÍBRNÁ</v>
      </c>
      <c r="BE54" s="24">
        <f>VLOOKUP(BC54,CENY!$B$11:$G$1034,3,FALSE)</f>
        <v>1</v>
      </c>
      <c r="BF54" s="24"/>
      <c r="BG54" s="77"/>
      <c r="BH54" s="107">
        <f>VLOOKUP(BC54,CENY!$B$11:$M$2005,12,FALSE)</f>
        <v>1327.3</v>
      </c>
      <c r="BI54" s="107">
        <f t="shared" si="2"/>
        <v>0</v>
      </c>
    </row>
    <row r="55" spans="47:61" ht="14.4" customHeight="1">
      <c r="AU55" s="22">
        <f>OBJ!B271</f>
        <v>9257022</v>
      </c>
      <c r="AV55" s="23" t="str">
        <f>VLOOKUP(AU55,CENY!$B$11:$G$1034,2,FALSE)</f>
        <v>ACTRO YOU 70KG PLNOVÝSUV 550 MM EB21 SILENT SYSTEM PRAVÝ</v>
      </c>
      <c r="AW55" s="24">
        <f>VLOOKUP(AU55,CENY!$B$11:$G$1034,3,FALSE)</f>
        <v>10</v>
      </c>
      <c r="AX55" s="24"/>
      <c r="AY55" s="25">
        <f>IF((AY1+AY3)&lt;2,SUM(AY1:AY4)*S21,1*(S20+S19)+SUM(AY1:AY4)*S21)</f>
        <v>0</v>
      </c>
      <c r="AZ55" s="107">
        <f>VLOOKUP(AU55,CENY!$B$11:$M$2005,12,FALSE)</f>
        <v>328.77</v>
      </c>
      <c r="BA55" s="107">
        <f t="shared" si="0"/>
        <v>0</v>
      </c>
      <c r="BC55" s="260">
        <f>OBJ!B143</f>
        <v>9255279</v>
      </c>
      <c r="BD55" s="261" t="str">
        <f>VLOOKUP(BC55,CENY!$B$11:$G$1034,2,FALSE)</f>
        <v>AVANTECH YOU BOKY V SADĚ V251 MM NL650 MM STŘÍBRNÁ</v>
      </c>
      <c r="BE55" s="24">
        <f>VLOOKUP(BC55,CENY!$B$11:$G$1034,3,FALSE)</f>
        <v>1</v>
      </c>
      <c r="BF55" s="24"/>
      <c r="BG55" s="77"/>
      <c r="BH55" s="107">
        <f>VLOOKUP(BC55,CENY!$B$11:$M$2005,12,FALSE)</f>
        <v>1363.32</v>
      </c>
      <c r="BI55" s="107">
        <f t="shared" si="2"/>
        <v>0</v>
      </c>
    </row>
    <row r="56" spans="47:61" ht="14.4" customHeight="1">
      <c r="AU56" s="22">
        <f>OBJ!B272</f>
        <v>9257025</v>
      </c>
      <c r="AV56" s="23" t="str">
        <f>VLOOKUP(AU56,CENY!$B$11:$G$1034,2,FALSE)</f>
        <v>ACTRO YOU 70KG PLNOVÝSUV 600 MM EB21 SILENT SYSTEM LEVÝ</v>
      </c>
      <c r="AW56" s="24">
        <f>VLOOKUP(AU56,CENY!$B$11:$G$1034,3,FALSE)</f>
        <v>10</v>
      </c>
      <c r="AX56" s="24"/>
      <c r="AY56" s="25">
        <f>IF((AY1+AY3)&lt;2,SUM(AY1:AY4)*U21,1*(U20+U19)+SUM(AY1:AY4)*U21)</f>
        <v>0</v>
      </c>
      <c r="AZ56" s="107">
        <f>VLOOKUP(AU56,CENY!$B$11:$M$2005,12,FALSE)</f>
        <v>362.28</v>
      </c>
      <c r="BA56" s="107">
        <f t="shared" si="0"/>
        <v>0</v>
      </c>
      <c r="BC56" s="260">
        <f>OBJ!B144</f>
        <v>0</v>
      </c>
      <c r="BD56" s="261" t="e">
        <f>VLOOKUP(BC56,CENY!$B$11:$G$1034,2,FALSE)</f>
        <v>#N/A</v>
      </c>
      <c r="BE56" s="24" t="e">
        <f>VLOOKUP(BC56,CENY!$B$11:$G$1034,3,FALSE)</f>
        <v>#N/A</v>
      </c>
      <c r="BF56" s="24"/>
      <c r="BG56" s="77"/>
      <c r="BH56" s="107" t="e">
        <f>VLOOKUP(BC56,CENY!$B$11:$M$2005,12,FALSE)</f>
        <v>#N/A</v>
      </c>
      <c r="BI56" s="107" t="e">
        <f t="shared" si="2"/>
        <v>#N/A</v>
      </c>
    </row>
    <row r="57" spans="47:61" ht="14.4" customHeight="1">
      <c r="AU57" s="22">
        <f>OBJ!B273</f>
        <v>9257026</v>
      </c>
      <c r="AV57" s="23" t="str">
        <f>VLOOKUP(AU57,CENY!$B$11:$G$1034,2,FALSE)</f>
        <v>ACTRO YOU 70KG PLNOVÝSUV 600 MM EB21 SILENT SYSTEM PRAVÝ</v>
      </c>
      <c r="AW57" s="24">
        <f>VLOOKUP(AU57,CENY!$B$11:$G$1034,3,FALSE)</f>
        <v>10</v>
      </c>
      <c r="AX57" s="24"/>
      <c r="AY57" s="25">
        <f>IF((AY1+AY3)&lt;2,SUM(AY1:AY4)*W21,1*(W20+W19)+SUM(AY1:AY4)*W21)</f>
        <v>0</v>
      </c>
      <c r="AZ57" s="107">
        <f>VLOOKUP(AU57,CENY!$B$11:$M$2005,12,FALSE)</f>
        <v>362.28</v>
      </c>
      <c r="BA57" s="107">
        <f t="shared" si="0"/>
        <v>0</v>
      </c>
      <c r="BC57" s="22"/>
      <c r="BD57" s="23"/>
      <c r="BE57" s="24"/>
      <c r="BF57" s="24"/>
      <c r="BG57" s="25"/>
      <c r="BH57" s="107"/>
      <c r="BI57" s="107" t="str">
        <f t="shared" si="2"/>
        <v/>
      </c>
    </row>
    <row r="58" spans="47:61" ht="14.4" customHeight="1">
      <c r="AU58" s="22">
        <f>OBJ!B274</f>
        <v>9257027</v>
      </c>
      <c r="AV58" s="23" t="str">
        <f>VLOOKUP(AU58,CENY!$B$11:$G$1034,2,FALSE)</f>
        <v>ACTRO YOU 70KG PLNOVÝSUV 650 MM EB21 SILENT SYSTEM LEVÝ</v>
      </c>
      <c r="AW58" s="24">
        <f>VLOOKUP(AU58,CENY!$B$11:$G$1034,3,FALSE)</f>
        <v>5</v>
      </c>
      <c r="AX58" s="24"/>
      <c r="AY58" s="25">
        <f>IF((AY1+AY3)&lt;2,SUM(AY1:AY4)*Y21,1*(Y20+Y19)+SUM(AY1:AY4)*Y21)</f>
        <v>0</v>
      </c>
      <c r="AZ58" s="107">
        <f>VLOOKUP(AU58,CENY!$B$11:$M$2005,12,FALSE)</f>
        <v>377.39</v>
      </c>
      <c r="BA58" s="107">
        <f t="shared" si="0"/>
        <v>0</v>
      </c>
      <c r="BC58" s="260">
        <f>OBJ!B137</f>
        <v>9255273</v>
      </c>
      <c r="BD58" s="261" t="str">
        <f>VLOOKUP(BC58,CENY!$B$11:$G$1034,2,FALSE)</f>
        <v>AVANTECH YOU BOKY V SADĚ V251 MM NL350 MM STŘÍBRNÁ</v>
      </c>
      <c r="BE58" s="24">
        <f>VLOOKUP(BC58,CENY!$B$11:$G$1034,3,FALSE)</f>
        <v>1</v>
      </c>
      <c r="BF58" s="24"/>
      <c r="BG58" s="77"/>
      <c r="BH58" s="107">
        <f>VLOOKUP(BC58,CENY!$B$11:$M$2005,12,FALSE)</f>
        <v>1230.56</v>
      </c>
      <c r="BI58" s="107">
        <f t="shared" si="2"/>
        <v>0</v>
      </c>
    </row>
    <row r="59" spans="47:61" ht="14.4" customHeight="1">
      <c r="AU59" s="22">
        <f>OBJ!B275</f>
        <v>9257028</v>
      </c>
      <c r="AV59" s="23" t="str">
        <f>VLOOKUP(AU59,CENY!$B$11:$G$1034,2,FALSE)</f>
        <v>ACTRO YOU 70KG PLNOVÝSUV 650 MM EB21 SILENT SYSTEM PRAVÝ</v>
      </c>
      <c r="AW59" s="24">
        <f>VLOOKUP(AU59,CENY!$B$11:$G$1034,3,FALSE)</f>
        <v>5</v>
      </c>
      <c r="AX59" s="24"/>
      <c r="AY59" s="25">
        <f>SUM(AY1:AY4)*AA21</f>
        <v>0</v>
      </c>
      <c r="AZ59" s="107">
        <f>VLOOKUP(AU59,CENY!$B$11:$M$2005,12,FALSE)</f>
        <v>377.39</v>
      </c>
      <c r="BA59" s="107">
        <f t="shared" si="0"/>
        <v>0</v>
      </c>
      <c r="BC59" s="260">
        <f>OBJ!B221</f>
        <v>9283233</v>
      </c>
      <c r="BD59" s="259" t="str">
        <f>VLOOKUP(BC59,CENY!$B$11:$G$1034,2,FALSE)</f>
        <v>AVANTECH YOU SKLENĚNÁ VÝPLŇ 10 MM K ČELU INLAY V130 MM Š450 MM KD18 MM</v>
      </c>
      <c r="BE59" s="24">
        <f>VLOOKUP(BC59,CENY!$B$11:$G$1034,3,FALSE)</f>
        <v>1</v>
      </c>
      <c r="BF59" s="24"/>
      <c r="BG59" s="77"/>
      <c r="BH59" s="107">
        <f>VLOOKUP(BC59,CENY!$B$11:$M$2005,12,FALSE)</f>
        <v>458.09</v>
      </c>
      <c r="BI59" s="107">
        <f t="shared" si="2"/>
        <v>0</v>
      </c>
    </row>
    <row r="60" spans="47:61" ht="14.4" customHeight="1">
      <c r="AU60" s="22">
        <f>OBJ!B276</f>
        <v>0</v>
      </c>
      <c r="AV60" s="23" t="e">
        <f>VLOOKUP(AU60,CENY!$B$11:$G$1034,2,FALSE)</f>
        <v>#N/A</v>
      </c>
      <c r="AW60" s="24" t="e">
        <f>VLOOKUP(AU60,CENY!$B$11:$G$1034,3,FALSE)</f>
        <v>#N/A</v>
      </c>
      <c r="AX60" s="24"/>
      <c r="AY60" s="77">
        <f>O26</f>
        <v>0</v>
      </c>
      <c r="AZ60" s="107" t="e">
        <f>VLOOKUP(AU60,CENY!$B$11:$M$2005,12,FALSE)</f>
        <v>#N/A</v>
      </c>
      <c r="BA60" s="107" t="e">
        <f t="shared" si="0"/>
        <v>#N/A</v>
      </c>
      <c r="BC60" s="260">
        <f>OBJ!B222</f>
        <v>9283235</v>
      </c>
      <c r="BD60" s="259" t="str">
        <f>VLOOKUP(BC60,CENY!$B$11:$G$1034,2,FALSE)</f>
        <v>AVANTECH YOU SKLENĚNÁ VÝPLŇ 10 MM K ČELU INLAY V130 MM Š600 MM KD18 MM</v>
      </c>
      <c r="BE60" s="24">
        <f>VLOOKUP(BC60,CENY!$B$11:$G$1034,3,FALSE)</f>
        <v>1</v>
      </c>
      <c r="BF60" s="24"/>
      <c r="BG60" s="77"/>
      <c r="BH60" s="107">
        <f>VLOOKUP(BC60,CENY!$B$11:$M$2005,12,FALSE)</f>
        <v>520.58000000000004</v>
      </c>
      <c r="BI60" s="107">
        <f t="shared" si="2"/>
        <v>0</v>
      </c>
    </row>
    <row r="61" spans="47:61" ht="14.4" customHeight="1">
      <c r="AU61" s="22">
        <f>OBJ!B277</f>
        <v>9257890</v>
      </c>
      <c r="AV61" s="23" t="str">
        <f>VLOOKUP(AU61,CENY!$B$11:$G$1034,2,FALSE)</f>
        <v>PUSH TO OPEN SILENT ACTRO YOU / ACTRO 5D 10 KG</v>
      </c>
      <c r="AW61" s="24">
        <f>VLOOKUP(AU61,CENY!$B$11:$G$1034,3,FALSE)</f>
        <v>1</v>
      </c>
      <c r="AX61" s="24"/>
      <c r="AY61" s="77">
        <f>Q26</f>
        <v>0</v>
      </c>
      <c r="AZ61" s="107">
        <f>VLOOKUP(AU61,CENY!$B$11:$M$2005,12,FALSE)</f>
        <v>544.37</v>
      </c>
      <c r="BA61" s="107">
        <f t="shared" si="0"/>
        <v>0</v>
      </c>
      <c r="BC61" s="260">
        <f>OBJ!B223</f>
        <v>9283237</v>
      </c>
      <c r="BD61" s="259" t="str">
        <f>VLOOKUP(BC61,CENY!$B$11:$G$1034,2,FALSE)</f>
        <v>AVANTECH YOU SKLENĚNÁ VÝPLŇ 10 MM K ČELU INLAY V130 MM Š900 MM KD18 MM</v>
      </c>
      <c r="BE61" s="24">
        <f>VLOOKUP(BC61,CENY!$B$11:$G$1034,3,FALSE)</f>
        <v>1</v>
      </c>
      <c r="BF61" s="24"/>
      <c r="BG61" s="77"/>
      <c r="BH61" s="107">
        <f>VLOOKUP(BC61,CENY!$B$11:$M$2005,12,FALSE)</f>
        <v>867.64</v>
      </c>
      <c r="BI61" s="107">
        <f t="shared" si="2"/>
        <v>0</v>
      </c>
    </row>
    <row r="62" spans="47:61" ht="14.4" customHeight="1">
      <c r="AU62" s="22">
        <f>OBJ!B278</f>
        <v>9257891</v>
      </c>
      <c r="AV62" s="23" t="str">
        <f>VLOOKUP(AU62,CENY!$B$11:$G$1034,2,FALSE)</f>
        <v>PUSH TO OPEN SILENT ACTRO YOU / ACTRO 5D 20 KG</v>
      </c>
      <c r="AW62" s="24">
        <f>VLOOKUP(AU62,CENY!$B$11:$G$1034,3,FALSE)</f>
        <v>1</v>
      </c>
      <c r="AX62" s="24"/>
      <c r="AY62" s="25">
        <f>IF((AY1+AY3)&gt;1,SUM(AY1:AY4)*S26-1*S26,SUM(AY1:AY4)*S26)</f>
        <v>0</v>
      </c>
      <c r="AZ62" s="107">
        <f>VLOOKUP(AU62,CENY!$B$11:$M$2005,12,FALSE)</f>
        <v>544.37</v>
      </c>
      <c r="BA62" s="107">
        <f t="shared" si="0"/>
        <v>0</v>
      </c>
      <c r="BC62" s="260">
        <f>OBJ!B224</f>
        <v>9283238</v>
      </c>
      <c r="BD62" s="259" t="str">
        <f>VLOOKUP(BC62,CENY!$B$11:$G$1034,2,FALSE)</f>
        <v>AVANTECH YOU SKLENĚNÁ VÝPLŇ 10 MM K ČELU INLAY V130 MM Š1200 MM KD18 MM</v>
      </c>
      <c r="BE62" s="24">
        <f>VLOOKUP(BC62,CENY!$B$11:$G$1034,3,FALSE)</f>
        <v>1</v>
      </c>
      <c r="BF62" s="24"/>
      <c r="BG62" s="77"/>
      <c r="BH62" s="107">
        <f>VLOOKUP(BC62,CENY!$B$11:$M$2005,12,FALSE)</f>
        <v>1117.52</v>
      </c>
      <c r="BI62" s="107">
        <f t="shared" si="2"/>
        <v>0</v>
      </c>
    </row>
    <row r="63" spans="47:61" ht="14.4" customHeight="1">
      <c r="AU63" s="22">
        <f>OBJ!B279</f>
        <v>9257892</v>
      </c>
      <c r="AV63" s="23" t="str">
        <f>VLOOKUP(AU63,CENY!$B$11:$G$1034,2,FALSE)</f>
        <v>PUSH TO OPEN SILENT ACTRO YOU / ACTRO 5D 40 KG</v>
      </c>
      <c r="AW63" s="24">
        <f>VLOOKUP(AU63,CENY!$B$11:$G$1034,3,FALSE)</f>
        <v>1</v>
      </c>
      <c r="AX63" s="24"/>
      <c r="AY63" s="25">
        <f>IF((AY1+AY3)&gt;1,SUM(AY1:AY4)*U26-1*U26,SUM(AY1:AY4)*U26)</f>
        <v>0</v>
      </c>
      <c r="AZ63" s="107">
        <f>VLOOKUP(AU63,CENY!$B$11:$M$2005,12,FALSE)</f>
        <v>544.37</v>
      </c>
      <c r="BA63" s="107">
        <f t="shared" si="0"/>
        <v>0</v>
      </c>
      <c r="BC63" s="260" t="e">
        <f>OBJ!#REF!</f>
        <v>#REF!</v>
      </c>
      <c r="BD63" s="259" t="e">
        <f>VLOOKUP(BC63,CENY!$B$11:$G$1034,2,FALSE)</f>
        <v>#REF!</v>
      </c>
      <c r="BE63" s="24" t="e">
        <f>VLOOKUP(BC63,CENY!$B$11:$G$1034,3,FALSE)</f>
        <v>#REF!</v>
      </c>
      <c r="BF63" s="24"/>
      <c r="BG63" s="77"/>
      <c r="BH63" s="107" t="e">
        <f>VLOOKUP(BC63,CENY!$B$11:$M$2005,12,FALSE)</f>
        <v>#REF!</v>
      </c>
      <c r="BI63" s="107" t="e">
        <f t="shared" si="2"/>
        <v>#REF!</v>
      </c>
    </row>
    <row r="64" spans="47:61" ht="14.4" customHeight="1">
      <c r="AU64" s="22">
        <f>OBJ!B280</f>
        <v>9257893</v>
      </c>
      <c r="AV64" s="23" t="str">
        <f>VLOOKUP(AU64,CENY!$B$11:$G$1034,2,FALSE)</f>
        <v>PUSH TO OPEN SILENT ACTRO YOU / ACTRO 5D 70 KG</v>
      </c>
      <c r="AW64" s="24">
        <f>VLOOKUP(AU64,CENY!$B$11:$G$1034,3,FALSE)</f>
        <v>1</v>
      </c>
      <c r="AX64" s="24"/>
      <c r="AY64" s="25">
        <f>IF((AY1+AY3)&gt;1,SUM(AY1:AY4)*W26-1*W26,SUM(AY1:AY4)*W26)</f>
        <v>0</v>
      </c>
      <c r="AZ64" s="107">
        <f>VLOOKUP(AU64,CENY!$B$11:$M$2005,12,FALSE)</f>
        <v>544.37</v>
      </c>
      <c r="BA64" s="107">
        <f t="shared" si="0"/>
        <v>0</v>
      </c>
      <c r="BC64" s="22"/>
      <c r="BD64" s="23"/>
      <c r="BE64" s="24"/>
      <c r="BF64" s="24"/>
      <c r="BG64" s="25"/>
      <c r="BH64" s="107"/>
      <c r="BI64" s="107" t="str">
        <f>IF(BH64="","",BH64*BG64)</f>
        <v/>
      </c>
    </row>
    <row r="65" spans="1:61" ht="14.4" customHeight="1">
      <c r="AU65" s="22">
        <f>OBJ!B281</f>
        <v>9236718</v>
      </c>
      <c r="AV65" s="23" t="str">
        <f>VLOOKUP(AU65,CENY!$B$11:$G$1034,2,FALSE)</f>
        <v>PUSH TO OPEN SYNCHRONIZAČNÍ TYČ 2000 MM</v>
      </c>
      <c r="AW65" s="24">
        <f>VLOOKUP(AU65,CENY!$B$11:$G$1034,3,FALSE)</f>
        <v>100</v>
      </c>
      <c r="AX65" s="24"/>
      <c r="AY65" s="25">
        <f>IF((AY1+AY3)&gt;1,SUM(AY1:AY4)*Y26-1*Y26,SUM(AY1:AY4)*Y26)</f>
        <v>0</v>
      </c>
      <c r="AZ65" s="107">
        <f>VLOOKUP(AU65,CENY!$B$11:$M$2005,12,FALSE)</f>
        <v>144.30000000000001</v>
      </c>
      <c r="BA65" s="107">
        <f t="shared" si="0"/>
        <v>0</v>
      </c>
      <c r="BC65" s="22">
        <f>OBJ!B289</f>
        <v>9256956</v>
      </c>
      <c r="BD65" s="23" t="str">
        <f>VLOOKUP(BC65,CENY!$B$11:$G$1034,2,FALSE)</f>
        <v>QUADRO YOU 10 KG PLNOVÝSUV 350 MM EB21 SILENT SYSTEM SADA</v>
      </c>
      <c r="BE65" s="24">
        <f>VLOOKUP(BC65,CENY!$B$11:$G$1034,3,FALSE)</f>
        <v>1</v>
      </c>
      <c r="BF65" s="24"/>
      <c r="BG65" s="77">
        <f>AE$19</f>
        <v>0</v>
      </c>
      <c r="BH65" s="107">
        <f>VLOOKUP(BC65,CENY!$B$11:$M$2005,12,FALSE)</f>
        <v>421.61</v>
      </c>
      <c r="BI65" s="107">
        <f t="shared" si="1"/>
        <v>0</v>
      </c>
    </row>
    <row r="66" spans="1:61" ht="12.9" customHeight="1" thickBot="1">
      <c r="A66" s="633"/>
      <c r="AU66" s="22">
        <f>OBJ!B282</f>
        <v>9221295</v>
      </c>
      <c r="AV66" s="23" t="str">
        <f>VLOOKUP(AU66,CENY!$B$11:$G$1034,2,FALSE)</f>
        <v>PUSH TO OPEN SYNCHRO SPOJKA</v>
      </c>
      <c r="AW66" s="24">
        <f>VLOOKUP(AU66,CENY!$B$11:$G$1034,3,FALSE)</f>
        <v>20</v>
      </c>
      <c r="AX66" s="24"/>
      <c r="AY66" s="77">
        <f>Q27</f>
        <v>0</v>
      </c>
      <c r="AZ66" s="107">
        <f>VLOOKUP(AU66,CENY!$B$11:$M$2005,12,FALSE)</f>
        <v>13.07</v>
      </c>
      <c r="BA66" s="107">
        <f t="shared" si="0"/>
        <v>0</v>
      </c>
      <c r="BC66" s="22">
        <f>OBJ!B290</f>
        <v>9256944</v>
      </c>
      <c r="BD66" s="23" t="str">
        <f>VLOOKUP(BC66,CENY!$B$11:$G$1034,2,FALSE)</f>
        <v>QUADRO YOU 10 KG PLNOVÝSUV 270 MM EB21 SILENT SYSTEM LEVÝ</v>
      </c>
      <c r="BE66" s="24">
        <f>VLOOKUP(BC66,CENY!$B$11:$G$1034,3,FALSE)</f>
        <v>20</v>
      </c>
      <c r="BF66" s="24"/>
      <c r="BG66" s="77">
        <f>AE$19</f>
        <v>0</v>
      </c>
      <c r="BH66" s="107">
        <f>VLOOKUP(BC66,CENY!$B$11:$M$2005,12,FALSE)</f>
        <v>174.19</v>
      </c>
      <c r="BI66" s="107">
        <f t="shared" si="1"/>
        <v>0</v>
      </c>
    </row>
    <row r="67" spans="1:61" ht="23.1" customHeight="1" thickBot="1">
      <c r="A67" s="633"/>
      <c r="B67" s="513" t="str">
        <f>verze!E13</f>
        <v>&lt;&lt;  zpět</v>
      </c>
      <c r="C67" s="514"/>
      <c r="D67" s="514"/>
      <c r="E67" s="515"/>
      <c r="G67" s="549" t="str">
        <f>verze!E6</f>
        <v xml:space="preserve"> Úvod</v>
      </c>
      <c r="H67" s="550"/>
      <c r="I67" s="550"/>
      <c r="J67" s="550"/>
      <c r="K67" s="551"/>
      <c r="O67" s="549" t="str">
        <f>verze!E7</f>
        <v xml:space="preserve"> Výběr zásuvek</v>
      </c>
      <c r="P67" s="550"/>
      <c r="Q67" s="550"/>
      <c r="R67" s="550"/>
      <c r="S67" s="551"/>
      <c r="U67" s="549" t="str">
        <f>verze!E8</f>
        <v xml:space="preserve"> </v>
      </c>
      <c r="V67" s="550"/>
      <c r="W67" s="550"/>
      <c r="X67" s="550"/>
      <c r="Y67" s="551"/>
      <c r="AA67" s="549" t="str">
        <f>verze!E9</f>
        <v xml:space="preserve"> </v>
      </c>
      <c r="AB67" s="550"/>
      <c r="AC67" s="550"/>
      <c r="AD67" s="550"/>
      <c r="AE67" s="551"/>
      <c r="AI67" s="549" t="str">
        <f>verze!E10</f>
        <v xml:space="preserve"> Objednávka</v>
      </c>
      <c r="AJ67" s="550"/>
      <c r="AK67" s="550"/>
      <c r="AL67" s="550"/>
      <c r="AM67" s="551"/>
      <c r="AO67" s="510" t="str">
        <f>verze!E14</f>
        <v>vpřed  &gt;&gt;</v>
      </c>
      <c r="AP67" s="511"/>
      <c r="AQ67" s="511"/>
      <c r="AR67" s="512"/>
      <c r="AU67" s="22">
        <f>OBJ!B283</f>
        <v>9278452</v>
      </c>
      <c r="AV67" s="23" t="str">
        <f>VLOOKUP(AU67,CENY!$B$11:$G$1034,2,FALSE)</f>
        <v>PUSH TO OPEN SILENT ACTRO YOU MULTISYNCHRO - SPOJKA</v>
      </c>
      <c r="AW67" s="24">
        <f>VLOOKUP(AU67,CENY!$B$11:$G$1034,3,FALSE)</f>
        <v>20</v>
      </c>
      <c r="AX67" s="24"/>
      <c r="AY67" s="25">
        <f>IF((AY1+AY3)&lt;2,SUM(AY1:AY4)*S27,1*(S26)+SUM(AY1:AY4)*S27)</f>
        <v>0</v>
      </c>
      <c r="AZ67" s="107">
        <f>VLOOKUP(AU67,CENY!$B$11:$M$2005,12,FALSE)</f>
        <v>35.33</v>
      </c>
      <c r="BA67" s="107">
        <f t="shared" si="0"/>
        <v>0</v>
      </c>
      <c r="BC67" s="22">
        <f>OBJ!B291</f>
        <v>9256945</v>
      </c>
      <c r="BD67" s="23" t="str">
        <f>VLOOKUP(BC67,CENY!$B$11:$G$1034,2,FALSE)</f>
        <v>QUADRO YOU 10 KG PLNOVÝSUV 270 MM EB21 SILENT SYSTEM PRAVÝ</v>
      </c>
      <c r="BE67" s="24">
        <f>VLOOKUP(BC67,CENY!$B$11:$G$1034,3,FALSE)</f>
        <v>20</v>
      </c>
      <c r="BF67" s="24"/>
      <c r="BG67" s="77">
        <f>AG$19</f>
        <v>0</v>
      </c>
      <c r="BH67" s="107">
        <f>VLOOKUP(BC67,CENY!$B$11:$M$2005,12,FALSE)</f>
        <v>174.19</v>
      </c>
      <c r="BI67" s="107">
        <f t="shared" si="1"/>
        <v>0</v>
      </c>
    </row>
    <row r="68" spans="1:61" ht="12.9" customHeight="1">
      <c r="A68" s="633"/>
      <c r="AU68" s="22">
        <f>OBJ!B284</f>
        <v>9262213</v>
      </c>
      <c r="AV68" s="23" t="str">
        <f>VLOOKUP(AU68,CENY!$B$11:$G$1034,2,FALSE)</f>
        <v>PUSH TO OPEN SILENT SYNCHRO ADAPTÉR FLEXIBILNÍ</v>
      </c>
      <c r="AW68" s="24">
        <f>VLOOKUP(AU68,CENY!$B$11:$G$1034,3,FALSE)</f>
        <v>20</v>
      </c>
      <c r="AX68" s="24"/>
      <c r="AY68" s="25">
        <f>IF((AY1+AY3)&lt;2,SUM(AY1:AY4)*U27,1*(U26)+SUM(AY1:AY4)*U27)</f>
        <v>0</v>
      </c>
      <c r="AZ68" s="107">
        <f>VLOOKUP(AU68,CENY!$B$11:$M$2005,12,FALSE)</f>
        <v>82.35</v>
      </c>
      <c r="BA68" s="107">
        <f t="shared" si="0"/>
        <v>0</v>
      </c>
      <c r="BC68" s="22">
        <f>OBJ!B292</f>
        <v>9256946</v>
      </c>
      <c r="BD68" s="23" t="str">
        <f>VLOOKUP(BC68,CENY!$B$11:$G$1034,2,FALSE)</f>
        <v>QUADRO YOU 10 KG PLNOVÝSUV 300 MM EB21 SILENT SYSTEM LEVÝ</v>
      </c>
      <c r="BE68" s="24">
        <f>VLOOKUP(BC68,CENY!$B$11:$G$1034,3,FALSE)</f>
        <v>20</v>
      </c>
      <c r="BF68" s="24"/>
      <c r="BG68" s="77">
        <f>AG$19</f>
        <v>0</v>
      </c>
      <c r="BH68" s="107">
        <f>VLOOKUP(BC68,CENY!$B$11:$M$2005,12,FALSE)</f>
        <v>172.7</v>
      </c>
      <c r="BI68" s="107">
        <f t="shared" si="1"/>
        <v>0</v>
      </c>
    </row>
    <row r="69" spans="1:61" ht="23.1" customHeight="1">
      <c r="A69" s="633"/>
      <c r="B69" s="104" t="s">
        <v>139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U69" s="22">
        <f>OBJ!B285</f>
        <v>9278453</v>
      </c>
      <c r="AV69" s="23" t="str">
        <f>VLOOKUP(AU69,CENY!$B$11:$G$1034,2,FALSE)</f>
        <v>PUSH TO OPEN SILENT ACTRO YOU SYNCHRO POSUNUTÉ NAPOJENÍ</v>
      </c>
      <c r="AW69" s="24">
        <f>VLOOKUP(AU69,CENY!$B$11:$G$1034,3,FALSE)</f>
        <v>1</v>
      </c>
      <c r="AX69" s="24"/>
      <c r="AY69" s="25">
        <f>IF((AY1+AY3)&lt;2,SUM(AY1:AY4)*W27,1*(W26)+SUM(AY1:AY4)*W27)</f>
        <v>0</v>
      </c>
      <c r="AZ69" s="107">
        <f>VLOOKUP(AU69,CENY!$B$11:$M$2005,12,FALSE)</f>
        <v>783.93</v>
      </c>
      <c r="BA69" s="107">
        <f t="shared" si="0"/>
        <v>0</v>
      </c>
      <c r="BC69" s="22">
        <f>OBJ!B293</f>
        <v>9256947</v>
      </c>
      <c r="BD69" s="23" t="str">
        <f>VLOOKUP(BC69,CENY!$B$11:$G$1034,2,FALSE)</f>
        <v>QUADRO YOU 10 KG PLNOVÝSUV 300 MM EB21 SILENT SYSTEM PRAVÝ</v>
      </c>
      <c r="BE69" s="24">
        <f>VLOOKUP(BC69,CENY!$B$11:$G$1034,3,FALSE)</f>
        <v>20</v>
      </c>
      <c r="BF69" s="24"/>
      <c r="BG69" s="25">
        <f>IF((AY1+AY3)&gt;1,SUM(AY1:AY4)*AI19-1*AI19,SUM(AY1:AY4)*AI19)</f>
        <v>0</v>
      </c>
      <c r="BH69" s="107">
        <f>VLOOKUP(BC69,CENY!$B$11:$M$2005,12,FALSE)</f>
        <v>172.7</v>
      </c>
      <c r="BI69" s="107">
        <f t="shared" si="1"/>
        <v>0</v>
      </c>
    </row>
    <row r="70" spans="1:61" ht="14.4" customHeight="1">
      <c r="A70" s="633"/>
      <c r="AU70" s="22">
        <f>OBJ!B286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25">
        <f>IF((AY1+AY3)&lt;2,SUM(AY1:AY4)*Y27,1*(Y26)+SUM(AY1:AY4)*Y27)</f>
        <v>0</v>
      </c>
      <c r="AZ70" s="107" t="e">
        <f>VLOOKUP(AU70,CENY!$B$11:$M$2005,12,FALSE)</f>
        <v>#N/A</v>
      </c>
      <c r="BA70" s="107" t="e">
        <f>IF(AZ70="","",AZ70*AY70)</f>
        <v>#N/A</v>
      </c>
      <c r="BC70" s="22">
        <f>OBJ!B294</f>
        <v>9256950</v>
      </c>
      <c r="BD70" s="23" t="str">
        <f>VLOOKUP(BC70,CENY!$B$11:$G$1034,2,FALSE)</f>
        <v>QUADRO YOU 10 KG PLNOVÝSUV 350 MM EB21 SILENT SYSTEM LEVÝ</v>
      </c>
      <c r="BE70" s="24">
        <f>VLOOKUP(BC70,CENY!$B$11:$G$1034,3,FALSE)</f>
        <v>20</v>
      </c>
      <c r="BF70" s="24"/>
      <c r="BG70" s="25">
        <f>IF((AY1+AY3)&gt;1,SUM(AY1:AY4)*AI19-1*AI19,SUM(AY1:AY4)*AI19)</f>
        <v>0</v>
      </c>
      <c r="BH70" s="107">
        <f>VLOOKUP(BC70,CENY!$B$11:$M$2005,12,FALSE)</f>
        <v>176.43</v>
      </c>
      <c r="BI70" s="107">
        <f t="shared" si="1"/>
        <v>0</v>
      </c>
    </row>
    <row r="71" spans="1:61" ht="14.4" customHeight="1">
      <c r="A71" s="633"/>
      <c r="AU71" s="22">
        <f>OBJ!B287</f>
        <v>9256953</v>
      </c>
      <c r="AV71" s="23" t="str">
        <f>VLOOKUP(AU71,CENY!$B$11:$G$1034,2,FALSE)</f>
        <v>QUADRO YOU 10 KG PLNOVÝSUV 270 MM EB21 SILENT SYSTEM SADA</v>
      </c>
      <c r="AW71" s="24">
        <f>VLOOKUP(AU71,CENY!$B$11:$G$1034,3,FALSE)</f>
        <v>1</v>
      </c>
      <c r="AX71" s="24"/>
      <c r="AY71" s="25">
        <f>SUM(AY1:AY4)*AA27</f>
        <v>0</v>
      </c>
      <c r="AZ71" s="107">
        <f>VLOOKUP(AU71,CENY!$B$11:$M$2005,12,FALSE)</f>
        <v>413.4</v>
      </c>
      <c r="BA71" s="107">
        <f>IF(AZ71="","",AZ71*AY71)</f>
        <v>0</v>
      </c>
      <c r="BC71" s="22">
        <f>OBJ!B295</f>
        <v>9256951</v>
      </c>
      <c r="BD71" s="23" t="str">
        <f>VLOOKUP(BC71,CENY!$B$11:$G$1034,2,FALSE)</f>
        <v>QUADRO YOU 10 KG PLNOVÝSUV 350 MM EB21 SILENT SYSTEM PRAVÝ</v>
      </c>
      <c r="BE71" s="24">
        <f>VLOOKUP(BC71,CENY!$B$11:$G$1034,3,FALSE)</f>
        <v>20</v>
      </c>
      <c r="BF71" s="24"/>
      <c r="BG71" s="25">
        <f>IF((AY1+AY3)&gt;1,SUM(AY1:AY4)*AK19-1*AK19,SUM(AY1:AY4)*AK19)</f>
        <v>0</v>
      </c>
      <c r="BH71" s="107">
        <f>VLOOKUP(BC71,CENY!$B$11:$M$2005,12,FALSE)</f>
        <v>176.43</v>
      </c>
      <c r="BI71" s="107">
        <f t="shared" si="1"/>
        <v>0</v>
      </c>
    </row>
    <row r="72" spans="1:61" ht="14.4" customHeight="1">
      <c r="A72" s="633"/>
      <c r="AU72" s="22"/>
      <c r="AV72" s="23"/>
      <c r="AW72" s="24"/>
      <c r="AX72" s="24"/>
      <c r="AY72" s="25"/>
      <c r="AZ72" s="107"/>
      <c r="BA72" s="107" t="str">
        <f>IF(AZ72="","",AZ72*AY72)</f>
        <v/>
      </c>
      <c r="BC72" s="22">
        <f>OBJ!B296</f>
        <v>0</v>
      </c>
      <c r="BD72" s="23" t="e">
        <f>VLOOKUP(BC72,CENY!$B$11:$G$1034,2,FALSE)</f>
        <v>#N/A</v>
      </c>
      <c r="BE72" s="24" t="e">
        <f>VLOOKUP(BC72,CENY!$B$11:$G$1034,3,FALSE)</f>
        <v>#N/A</v>
      </c>
      <c r="BF72" s="24"/>
      <c r="BG72" s="25">
        <f>IF((AY1+AY3)&gt;1,SUM(AY1:AY4)*AK19-1*AK19,SUM(AY1:AY4)*AK19)</f>
        <v>0</v>
      </c>
      <c r="BH72" s="107" t="e">
        <f>VLOOKUP(BC72,CENY!$B$11:$M$2005,12,FALSE)</f>
        <v>#N/A</v>
      </c>
      <c r="BI72" s="107" t="e">
        <f t="shared" si="1"/>
        <v>#N/A</v>
      </c>
    </row>
    <row r="73" spans="1:61" ht="14.4" customHeight="1">
      <c r="A73" s="633"/>
      <c r="AU73" s="22">
        <v>1065191</v>
      </c>
      <c r="AV73" s="23" t="e">
        <f>VLOOKUP(AU73,CENY!$B$11:$G$1034,2,FALSE)</f>
        <v>#N/A</v>
      </c>
      <c r="AW73" s="24" t="e">
        <f>VLOOKUP(AU73,CENY!$B$11:$G$1034,3,FALSE)</f>
        <v>#N/A</v>
      </c>
      <c r="AX73" s="24"/>
      <c r="AY73" s="77">
        <f>IF(FORM!AM8=FORM!AU10,((2*(AY1+AY3))*(SUM(O19:Z20)+SUM(Q21:AB21)+SUM(O26:Z26)+SUM(Q27:AB27))),0)</f>
        <v>0</v>
      </c>
      <c r="AZ73" s="107" t="e">
        <f>VLOOKUP(AU73,CENY!$B$11:$M$2005,12,FALSE)</f>
        <v>#N/A</v>
      </c>
      <c r="BA73" s="107" t="e">
        <f t="shared" si="0"/>
        <v>#N/A</v>
      </c>
      <c r="BC73" s="22">
        <f>OBJ!B297</f>
        <v>9256883</v>
      </c>
      <c r="BD73" s="23" t="str">
        <f>VLOOKUP(BC73,CENY!$B$11:$G$1034,2,FALSE)</f>
        <v>QUADRO YOU PLNOVÝSUV 270 MM EB21 SILENT SYSTEM SADA</v>
      </c>
      <c r="BE73" s="24">
        <f>VLOOKUP(BC73,CENY!$B$11:$G$1034,3,FALSE)</f>
        <v>1</v>
      </c>
      <c r="BF73" s="24"/>
      <c r="BG73" s="25">
        <f>IF((AY1+AY3)&gt;1,SUM(AY1:AY4)*AM19-1*AM19,SUM(AY1:AY4)*AM19)</f>
        <v>0</v>
      </c>
      <c r="BH73" s="107">
        <f>VLOOKUP(BC73,CENY!$B$11:$M$2005,12,FALSE)</f>
        <v>372.29</v>
      </c>
      <c r="BI73" s="107">
        <f t="shared" si="1"/>
        <v>0</v>
      </c>
    </row>
    <row r="74" spans="1:61" ht="14.4" customHeight="1">
      <c r="A74" s="633"/>
      <c r="AU74" s="22">
        <v>9002503</v>
      </c>
      <c r="AV74" s="23" t="e">
        <f>VLOOKUP(AU74,CENY!$B$11:$G$1034,2,FALSE)</f>
        <v>#N/A</v>
      </c>
      <c r="AW74" s="24" t="e">
        <f>VLOOKUP(AU74,CENY!$B$11:$G$1034,3,FALSE)</f>
        <v>#N/A</v>
      </c>
      <c r="AX74" s="24"/>
      <c r="AY74" s="77">
        <f>IF(FORM!AM8=FORM!AU10,((2*AY3)*(SUM(O19:Z20)+SUM(Q21:AB21)+SUM(O26:Z26)+SUM(Q27:AB27))),0)</f>
        <v>0</v>
      </c>
      <c r="AZ74" s="107" t="e">
        <f>VLOOKUP(AU74,CENY!$B$11:$M$2005,12,FALSE)</f>
        <v>#N/A</v>
      </c>
      <c r="BA74" s="107" t="e">
        <f>IF(AZ74="","",AZ74*AY74)</f>
        <v>#N/A</v>
      </c>
      <c r="BC74" s="22">
        <f>OBJ!B298</f>
        <v>9256884</v>
      </c>
      <c r="BD74" s="23" t="str">
        <f>VLOOKUP(BC74,CENY!$B$11:$G$1034,2,FALSE)</f>
        <v>QUADRO YOU PLNOVÝSUV 300 MM EB21 SILENT SYSTEM SADA</v>
      </c>
      <c r="BE74" s="24">
        <f>VLOOKUP(BC74,CENY!$B$11:$G$1034,3,FALSE)</f>
        <v>1</v>
      </c>
      <c r="BF74" s="24"/>
      <c r="BG74" s="25">
        <f>IF((AY1+AY3)&gt;1,SUM(AY1:AY4)*AM19-1*AM19,SUM(AY1:AY4)*AM19)</f>
        <v>0</v>
      </c>
      <c r="BH74" s="107">
        <f>VLOOKUP(BC74,CENY!$B$11:$M$2005,12,FALSE)</f>
        <v>369.3</v>
      </c>
      <c r="BI74" s="107">
        <f t="shared" si="1"/>
        <v>0</v>
      </c>
    </row>
    <row r="75" spans="1:61" ht="14.4" customHeight="1">
      <c r="A75" s="633"/>
      <c r="AU75" s="22"/>
      <c r="AV75" s="23"/>
      <c r="AW75" s="24"/>
      <c r="AX75" s="24"/>
      <c r="AY75" s="25"/>
      <c r="AZ75" s="107"/>
      <c r="BA75" s="107" t="str">
        <f>IF(AZ75="","",AZ75*AY75)</f>
        <v/>
      </c>
      <c r="BC75" s="22">
        <f>OBJ!B299</f>
        <v>9256886</v>
      </c>
      <c r="BD75" s="23" t="str">
        <f>VLOOKUP(BC75,CENY!$B$11:$G$1034,2,FALSE)</f>
        <v>QUADRO YOU PLNOVÝSUV 350 MM EB21 SILENT SYSTEM SADA</v>
      </c>
      <c r="BE75" s="24">
        <f>VLOOKUP(BC75,CENY!$B$11:$G$1034,3,FALSE)</f>
        <v>1</v>
      </c>
      <c r="BF75" s="24"/>
      <c r="BG75" s="25">
        <f>IF((AY1+AY3)&gt;1,SUM(AY1:AY4)*AO19-1*AO19,SUM(AY1:AY4)*AO19)</f>
        <v>0</v>
      </c>
      <c r="BH75" s="107">
        <f>VLOOKUP(BC75,CENY!$B$11:$M$2005,12,FALSE)</f>
        <v>376.77</v>
      </c>
      <c r="BI75" s="107">
        <f t="shared" si="1"/>
        <v>0</v>
      </c>
    </row>
    <row r="76" spans="1:61" ht="14.4" customHeight="1">
      <c r="A76" s="633"/>
      <c r="AU76" s="22"/>
      <c r="AV76" s="23"/>
      <c r="AW76" s="24"/>
      <c r="AX76" s="24"/>
      <c r="AY76" s="25"/>
      <c r="AZ76" s="107"/>
      <c r="BA76" s="107" t="str">
        <f t="shared" si="0"/>
        <v/>
      </c>
      <c r="BC76" s="22">
        <f>OBJ!B300</f>
        <v>9256888</v>
      </c>
      <c r="BD76" s="23" t="str">
        <f>VLOOKUP(BC76,CENY!$B$11:$G$1034,2,FALSE)</f>
        <v>QUADRO YOU PLNOVÝSUV 400 MM EB21 SILENT SYSTEM SADA</v>
      </c>
      <c r="BE76" s="24">
        <f>VLOOKUP(BC76,CENY!$B$11:$G$1034,3,FALSE)</f>
        <v>1</v>
      </c>
      <c r="BF76" s="24"/>
      <c r="BG76" s="25">
        <f>IF((AY1+AY3)&gt;1,SUM(AY1:AY4)*AO19-1*AO19,SUM(AY1:AY4)*AO19)</f>
        <v>0</v>
      </c>
      <c r="BH76" s="107">
        <f>VLOOKUP(BC76,CENY!$B$11:$M$2005,12,FALSE)</f>
        <v>384.24</v>
      </c>
      <c r="BI76" s="107">
        <f t="shared" si="1"/>
        <v>0</v>
      </c>
    </row>
    <row r="77" spans="1:61" ht="14.4" customHeight="1">
      <c r="A77" s="633"/>
      <c r="AU77" s="182">
        <f>OBJ!B186</f>
        <v>0</v>
      </c>
      <c r="AV77" s="23" t="e">
        <f>VLOOKUP(AU77,CENY!$B$11:$G$1034,2,FALSE)</f>
        <v>#N/A</v>
      </c>
      <c r="AW77" s="24" t="e">
        <f>VLOOKUP(AU77,CENY!$B$11:$G$1034,3,FALSE)</f>
        <v>#N/A</v>
      </c>
      <c r="AX77" s="24"/>
      <c r="AY77" s="25">
        <f>((AY2+AY4)*((SUM(O19:Z20)+SUM(Q21:AB21)+SUM(O26:Z26)+SUM(Q27:AB27))+1*(SUM(AE19:AP20)+SUM(AG21:AR21)+SUM(AE26:AP26)+SUM(AG27:AR27))))-(AU106*(AY2+AY4))</f>
        <v>0</v>
      </c>
      <c r="AZ77" s="107" t="e">
        <f>VLOOKUP(AU77,CENY!$B$11:$M$2005,12,FALSE)</f>
        <v>#N/A</v>
      </c>
      <c r="BA77" s="107" t="e">
        <f>IF(AZ77="","",AZ77*AY77)</f>
        <v>#N/A</v>
      </c>
      <c r="BC77" s="22">
        <f>OBJ!B301</f>
        <v>9256890</v>
      </c>
      <c r="BD77" s="23" t="str">
        <f>VLOOKUP(BC77,CENY!$B$11:$G$1034,2,FALSE)</f>
        <v>QUADRO YOU PLNOVÝSUV 450 MM EB21 SILENT SYSTEM SADA</v>
      </c>
      <c r="BE77" s="24">
        <f>VLOOKUP(BC77,CENY!$B$11:$G$1034,3,FALSE)</f>
        <v>1</v>
      </c>
      <c r="BF77" s="24"/>
      <c r="BG77" s="77">
        <f>AE$20</f>
        <v>0</v>
      </c>
      <c r="BH77" s="107">
        <f>VLOOKUP(BC77,CENY!$B$11:$M$2005,12,FALSE)</f>
        <v>391.72</v>
      </c>
      <c r="BI77" s="107">
        <f t="shared" si="1"/>
        <v>0</v>
      </c>
    </row>
    <row r="78" spans="1:61" ht="14.4" customHeight="1">
      <c r="A78" s="633"/>
      <c r="AU78" s="182">
        <f>OBJ!B187</f>
        <v>9257269</v>
      </c>
      <c r="AV78" s="23" t="str">
        <f>VLOOKUP(AU78,CENY!$B$11:$G$1034,2,FALSE)</f>
        <v>AVANTECH YOU ALU PROFIL VNITŘNÍ ČELO V101 MM L2000 MM STŘÍBRNÁ</v>
      </c>
      <c r="AW78" s="24">
        <f>VLOOKUP(AU78,CENY!$B$11:$G$1034,3,FALSE)</f>
        <v>1</v>
      </c>
      <c r="AX78" s="24"/>
      <c r="AY78" s="25">
        <f>((AY2)*((SUM(O19:Z20)+SUM(Q21:AB21)+SUM(O26:Z26)+SUM(Q27:AB27))+1*(SUM(AE19:AP20)+SUM(AG21:AR21)+SUM(AE26:AP26)+SUM(AG27:AR27))))-(AU106*(AY2))</f>
        <v>0</v>
      </c>
      <c r="AZ78" s="107">
        <f>VLOOKUP(AU78,CENY!$B$11:$M$2005,12,FALSE)</f>
        <v>1421.71</v>
      </c>
      <c r="BA78" s="107">
        <f>IF(AZ78="","",AZ78*AY78)</f>
        <v>0</v>
      </c>
      <c r="BC78" s="22">
        <f>OBJ!B302</f>
        <v>9256892</v>
      </c>
      <c r="BD78" s="23" t="str">
        <f>VLOOKUP(BC78,CENY!$B$11:$G$1034,2,FALSE)</f>
        <v>QUADRO YOU PLNOVÝSUV 500 MM EB21 SILENT SYSTEM SADA</v>
      </c>
      <c r="BE78" s="24">
        <f>VLOOKUP(BC78,CENY!$B$11:$G$1034,3,FALSE)</f>
        <v>1</v>
      </c>
      <c r="BF78" s="24"/>
      <c r="BG78" s="77">
        <f>AE$20</f>
        <v>0</v>
      </c>
      <c r="BH78" s="107">
        <f>VLOOKUP(BC78,CENY!$B$11:$M$2005,12,FALSE)</f>
        <v>399.19</v>
      </c>
      <c r="BI78" s="107">
        <f t="shared" si="1"/>
        <v>0</v>
      </c>
    </row>
    <row r="79" spans="1:61" ht="14.4" customHeight="1">
      <c r="A79" s="633"/>
      <c r="AU79" s="22">
        <f>OBJ!B188</f>
        <v>9257270</v>
      </c>
      <c r="AV79" s="23" t="str">
        <f>VLOOKUP(AU79,CENY!$B$11:$G$1034,2,FALSE)</f>
        <v>AVANTECH YOU ALU PROFIL VNITŘNÍ ČELO V139 MM L2000 MM STŘÍBRNÁ</v>
      </c>
      <c r="AW79" s="24">
        <f>VLOOKUP(AU79,CENY!$B$11:$G$1034,3,FALSE)</f>
        <v>1</v>
      </c>
      <c r="AX79" s="24"/>
      <c r="AY79" s="25">
        <f>((AY4)*((SUM(O19:Z20)+SUM(Q21:AB21)+SUM(O26:Z26)+SUM(Q27:AB27))+1*(SUM(AE19:AP20)+SUM(AG21:AR21)+SUM(AE26:AP26)+SUM(AG27:AR27))))-(AU106*(AY4))</f>
        <v>0</v>
      </c>
      <c r="AZ79" s="107">
        <f>VLOOKUP(AU79,CENY!$B$11:$M$2005,12,FALSE)</f>
        <v>1700.74</v>
      </c>
      <c r="BA79" s="107">
        <f>IF(AZ79="","",AZ79*AY79)</f>
        <v>0</v>
      </c>
      <c r="BC79" s="22">
        <f>OBJ!B303</f>
        <v>9256894</v>
      </c>
      <c r="BD79" s="23" t="str">
        <f>VLOOKUP(BC79,CENY!$B$11:$G$1034,2,FALSE)</f>
        <v>QUADRO YOU PLNOVÝSUV 550 MM EB21 SILENT SYSTEM SADA</v>
      </c>
      <c r="BE79" s="24">
        <f>VLOOKUP(BC79,CENY!$B$11:$G$1034,3,FALSE)</f>
        <v>1</v>
      </c>
      <c r="BF79" s="24"/>
      <c r="BG79" s="77">
        <f>AG$20</f>
        <v>0</v>
      </c>
      <c r="BH79" s="107">
        <f>VLOOKUP(BC79,CENY!$B$11:$M$2005,12,FALSE)</f>
        <v>412.64</v>
      </c>
      <c r="BI79" s="107">
        <f t="shared" si="1"/>
        <v>0</v>
      </c>
    </row>
    <row r="80" spans="1:61" ht="14.4" customHeight="1">
      <c r="A80" s="633"/>
      <c r="AU80" s="182">
        <f>OBJ!B189</f>
        <v>9257271</v>
      </c>
      <c r="AV80" s="23" t="str">
        <f>VLOOKUP(AU80,CENY!$B$11:$G$1034,2,FALSE)</f>
        <v>AVANTECH YOU ALU PROFIL VNITŘNÍ ČELO V187 MM L2000 MM STŘÍBRNÁ</v>
      </c>
      <c r="AW80" s="24">
        <f>VLOOKUP(AU80,CENY!$B$11:$G$1034,3,FALSE)</f>
        <v>1</v>
      </c>
      <c r="AX80" s="24"/>
      <c r="AY80" s="25">
        <f>((AY4)*((SUM(O19:Z20)+SUM(Q21:AB21)+SUM(O26:Z26)+SUM(Q27:AB27))+1*(SUM(AE19:AP20)+SUM(AG21:AR21)+SUM(AE26:AP26)+SUM(AG27:AR27))))-(AU106*(AY4))</f>
        <v>0</v>
      </c>
      <c r="AZ80" s="107">
        <f>VLOOKUP(AU80,CENY!$B$11:$M$2005,12,FALSE)</f>
        <v>2125.92</v>
      </c>
      <c r="BA80" s="107">
        <f>IF(AZ80="","",AZ80*AY80)</f>
        <v>0</v>
      </c>
      <c r="BC80" s="22">
        <f>OBJ!B304</f>
        <v>9256896</v>
      </c>
      <c r="BD80" s="23" t="str">
        <f>VLOOKUP(BC80,CENY!$B$11:$G$1034,2,FALSE)</f>
        <v>QUADRO YOU PLNOVÝSUV 600 MM EB21 SILENT SYSTEM SADA</v>
      </c>
      <c r="BE80" s="24">
        <f>VLOOKUP(BC80,CENY!$B$11:$G$1034,3,FALSE)</f>
        <v>1</v>
      </c>
      <c r="BF80" s="24"/>
      <c r="BG80" s="77">
        <f>AG$20</f>
        <v>0</v>
      </c>
      <c r="BH80" s="107">
        <f>VLOOKUP(BC80,CENY!$B$11:$M$2005,12,FALSE)</f>
        <v>420.11</v>
      </c>
      <c r="BI80" s="107">
        <f t="shared" si="1"/>
        <v>0</v>
      </c>
    </row>
    <row r="81" spans="1:61" ht="14.4" customHeight="1">
      <c r="A81" s="633"/>
      <c r="AU81" s="22"/>
      <c r="AV81" s="23"/>
      <c r="AW81" s="24"/>
      <c r="AX81" s="24"/>
      <c r="AY81" s="25"/>
      <c r="AZ81" s="107"/>
      <c r="BA81" s="107" t="str">
        <f t="shared" ref="BA81:BA100" si="3">IF(AZ81="","",AZ81*AY81)</f>
        <v/>
      </c>
      <c r="BC81" s="22">
        <f>OBJ!B305</f>
        <v>9256854</v>
      </c>
      <c r="BD81" s="23" t="str">
        <f>VLOOKUP(BC81,CENY!$B$11:$G$1034,2,FALSE)</f>
        <v>QUADRO YOU PLNOVÝSUV 270 MM EB21 SILENT SYSTEM LEVÝ</v>
      </c>
      <c r="BE81" s="24">
        <f>VLOOKUP(BC81,CENY!$B$11:$G$1034,3,FALSE)</f>
        <v>20</v>
      </c>
      <c r="BF81" s="24"/>
      <c r="BG81" s="25">
        <f>IF((AY1+AY3)&gt;1,SUM(AY1:AY4)*AI20-1*AI20,SUM(AY1:AY4)*AI20)</f>
        <v>0</v>
      </c>
      <c r="BH81" s="107">
        <f>VLOOKUP(BC81,CENY!$B$11:$M$2005,12,FALSE)</f>
        <v>174.19</v>
      </c>
      <c r="BI81" s="107">
        <f t="shared" si="1"/>
        <v>0</v>
      </c>
    </row>
    <row r="82" spans="1:61" ht="14.4" customHeight="1" thickBot="1">
      <c r="A82" s="633"/>
      <c r="B82" s="1" t="str">
        <f>verze!E162</f>
        <v>Čelo na vnitřní zásuvku</v>
      </c>
      <c r="O82" s="640" t="str">
        <f>verze!E163</f>
        <v>vnější rozměry zásuvkové skřínky [mm]</v>
      </c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U82" s="22">
        <f>OBJ!B191</f>
        <v>9257611</v>
      </c>
      <c r="AV82" s="23" t="str">
        <f>VLOOKUP(AU82,CENY!$B$11:$G$1034,2,FALSE)</f>
        <v>AVANTECH YOU SADA SPOJEK PRO VNITŘNÍ ČELO K BOKŮM V101 MM STŘÍBRNÁ</v>
      </c>
      <c r="AW82" s="24">
        <f>VLOOKUP(AU82,CENY!$B$11:$G$1034,3,FALSE)</f>
        <v>1</v>
      </c>
      <c r="AX82" s="24"/>
      <c r="AY82" s="25">
        <f>AY2*O84</f>
        <v>0</v>
      </c>
      <c r="AZ82" s="107">
        <f>VLOOKUP(AU82,CENY!$B$11:$M$2005,12,FALSE)</f>
        <v>76.28</v>
      </c>
      <c r="BA82" s="107">
        <f t="shared" si="3"/>
        <v>0</v>
      </c>
      <c r="BC82" s="22">
        <f>OBJ!B306</f>
        <v>9256855</v>
      </c>
      <c r="BD82" s="23" t="str">
        <f>VLOOKUP(BC82,CENY!$B$11:$G$1034,2,FALSE)</f>
        <v>QUADRO YOU PLNOVÝSUV 270 MM EB21 SILENT SYSTEM PRAVÝ</v>
      </c>
      <c r="BE82" s="24">
        <f>VLOOKUP(BC82,CENY!$B$11:$G$1034,3,FALSE)</f>
        <v>20</v>
      </c>
      <c r="BF82" s="24"/>
      <c r="BG82" s="25">
        <f>IF((AY1+AY3)&gt;1,SUM(AY1:AY4)*AI20-1*AI20,SUM(AY1:AY4)*AI20)</f>
        <v>0</v>
      </c>
      <c r="BH82" s="107">
        <f>VLOOKUP(BC82,CENY!$B$11:$M$2005,12,FALSE)</f>
        <v>174.19</v>
      </c>
      <c r="BI82" s="107">
        <f t="shared" si="1"/>
        <v>0</v>
      </c>
    </row>
    <row r="83" spans="1:61" ht="14.4" customHeight="1" thickBot="1">
      <c r="A83" s="633"/>
      <c r="B83" s="109"/>
      <c r="C83" s="109"/>
      <c r="D83" s="109"/>
      <c r="E83" s="109"/>
      <c r="F83" s="109"/>
      <c r="G83" s="109"/>
      <c r="H83" s="81"/>
      <c r="I83" s="81"/>
      <c r="J83" s="81"/>
      <c r="K83" s="81"/>
      <c r="L83" s="81"/>
      <c r="M83" s="81"/>
      <c r="N83" s="81" t="str">
        <f>verze!E166&amp;" "</f>
        <v xml:space="preserve">Šířka korpusu: </v>
      </c>
      <c r="O83" s="569">
        <v>300</v>
      </c>
      <c r="P83" s="570"/>
      <c r="Q83" s="569">
        <v>400</v>
      </c>
      <c r="R83" s="570"/>
      <c r="S83" s="569">
        <v>450</v>
      </c>
      <c r="T83" s="570"/>
      <c r="U83" s="569">
        <v>500</v>
      </c>
      <c r="V83" s="570"/>
      <c r="W83" s="569">
        <v>600</v>
      </c>
      <c r="X83" s="570"/>
      <c r="Y83" s="569">
        <v>800</v>
      </c>
      <c r="Z83" s="570"/>
      <c r="AA83" s="569">
        <v>900</v>
      </c>
      <c r="AB83" s="570"/>
      <c r="AC83" s="569">
        <v>1000</v>
      </c>
      <c r="AD83" s="570"/>
      <c r="AE83" s="569">
        <v>1200</v>
      </c>
      <c r="AF83" s="570"/>
      <c r="AU83" s="22">
        <f>OBJ!B192</f>
        <v>9257612</v>
      </c>
      <c r="AV83" s="23" t="str">
        <f>VLOOKUP(AU83,CENY!$B$11:$G$1034,2,FALSE)</f>
        <v>AVANTECH YOU SADA SPOJEK PRO VNITŘNÍ ČELO K BOKŮM V139 MM STŘÍBRNÁ</v>
      </c>
      <c r="AW83" s="24">
        <f>VLOOKUP(AU83,CENY!$B$11:$G$1034,3,FALSE)</f>
        <v>1</v>
      </c>
      <c r="AX83" s="24"/>
      <c r="AY83" s="25">
        <f>AY2*Q84</f>
        <v>0</v>
      </c>
      <c r="AZ83" s="107">
        <f>VLOOKUP(AU83,CENY!$B$11:$M$2005,12,FALSE)</f>
        <v>96.7</v>
      </c>
      <c r="BA83" s="107">
        <f t="shared" si="3"/>
        <v>0</v>
      </c>
      <c r="BC83" s="22">
        <f>OBJ!B307</f>
        <v>9256856</v>
      </c>
      <c r="BD83" s="23" t="str">
        <f>VLOOKUP(BC83,CENY!$B$11:$G$1034,2,FALSE)</f>
        <v>QUADRO YOU PLNOVÝSUV 300 MM EB21 SILENT SYSTEM LEVÝ</v>
      </c>
      <c r="BE83" s="24">
        <f>VLOOKUP(BC83,CENY!$B$11:$G$1034,3,FALSE)</f>
        <v>20</v>
      </c>
      <c r="BF83" s="24"/>
      <c r="BG83" s="25">
        <f>IF((AY1+AY3)&gt;1,SUM(AY1:AY4)*AK20-1*AK20,SUM(AY1:AY4)*AK20)</f>
        <v>0</v>
      </c>
      <c r="BH83" s="107">
        <f>VLOOKUP(BC83,CENY!$B$11:$M$2005,12,FALSE)</f>
        <v>172.7</v>
      </c>
      <c r="BI83" s="107">
        <f t="shared" si="1"/>
        <v>0</v>
      </c>
    </row>
    <row r="84" spans="1:61" ht="14.4" customHeight="1" thickBot="1">
      <c r="A84" s="633"/>
      <c r="B84" s="183" t="str">
        <f>" "&amp;verze!E167</f>
        <v xml:space="preserve"> ALU čelo</v>
      </c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585"/>
      <c r="N84" s="593"/>
      <c r="O84" s="636"/>
      <c r="P84" s="637"/>
      <c r="Q84" s="636"/>
      <c r="R84" s="637"/>
      <c r="S84" s="636"/>
      <c r="T84" s="637"/>
      <c r="U84" s="636"/>
      <c r="V84" s="637"/>
      <c r="W84" s="636"/>
      <c r="X84" s="637"/>
      <c r="Y84" s="634"/>
      <c r="Z84" s="635"/>
      <c r="AA84" s="638"/>
      <c r="AB84" s="635"/>
      <c r="AC84" s="638"/>
      <c r="AD84" s="635"/>
      <c r="AE84" s="639"/>
      <c r="AF84" s="616"/>
      <c r="AU84" s="22">
        <f>OBJ!B193</f>
        <v>9257613</v>
      </c>
      <c r="AV84" s="23" t="str">
        <f>VLOOKUP(AU84,CENY!$B$11:$G$1034,2,FALSE)</f>
        <v>AVANTECH YOU SADA SPOJEK PRO VNITŘNÍ ČELO K BOKŮM V187 MM STŘÍBRNÁ</v>
      </c>
      <c r="AW84" s="24">
        <f>VLOOKUP(AU84,CENY!$B$11:$G$1034,3,FALSE)</f>
        <v>1</v>
      </c>
      <c r="AX84" s="24"/>
      <c r="AY84" s="25">
        <f>AY2*S84</f>
        <v>0</v>
      </c>
      <c r="AZ84" s="107">
        <f>VLOOKUP(AU84,CENY!$B$11:$M$2005,12,FALSE)</f>
        <v>135.11000000000001</v>
      </c>
      <c r="BA84" s="107">
        <f t="shared" si="3"/>
        <v>0</v>
      </c>
      <c r="BC84" s="22">
        <f>OBJ!B308</f>
        <v>9256857</v>
      </c>
      <c r="BD84" s="23" t="str">
        <f>VLOOKUP(BC84,CENY!$B$11:$G$1034,2,FALSE)</f>
        <v>QUADRO YOU PLNOVÝSUV 300 MM EB21 SILENT SYSTEM PRAVÝ</v>
      </c>
      <c r="BE84" s="24">
        <f>VLOOKUP(BC84,CENY!$B$11:$G$1034,3,FALSE)</f>
        <v>20</v>
      </c>
      <c r="BF84" s="24"/>
      <c r="BG84" s="25">
        <f>IF((AY1+AY3)&gt;1,SUM(AY1:AY4)*AK20-1*AK20,SUM(AY1:AY4)*AK20)</f>
        <v>0</v>
      </c>
      <c r="BH84" s="107">
        <f>VLOOKUP(BC84,CENY!$B$11:$M$2005,12,FALSE)</f>
        <v>172.7</v>
      </c>
      <c r="BI84" s="107">
        <f t="shared" si="1"/>
        <v>0</v>
      </c>
    </row>
    <row r="85" spans="1:61" ht="14.4" customHeight="1">
      <c r="A85" s="633"/>
      <c r="AU85" s="22" t="e">
        <f>OBJ!#REF!</f>
        <v>#REF!</v>
      </c>
      <c r="AV85" s="23" t="e">
        <f>VLOOKUP(AU85,CENY!$B$11:$G$1034,2,FALSE)</f>
        <v>#REF!</v>
      </c>
      <c r="AW85" s="24" t="e">
        <f>VLOOKUP(AU85,CENY!$B$11:$G$1034,3,FALSE)</f>
        <v>#REF!</v>
      </c>
      <c r="AX85" s="24"/>
      <c r="AY85" s="25">
        <f>AY2*U84</f>
        <v>0</v>
      </c>
      <c r="AZ85" s="107" t="e">
        <f>VLOOKUP(AU85,CENY!$B$11:$M$2005,12,FALSE)</f>
        <v>#REF!</v>
      </c>
      <c r="BA85" s="107" t="e">
        <f t="shared" si="3"/>
        <v>#REF!</v>
      </c>
      <c r="BC85" s="22">
        <f>OBJ!B309</f>
        <v>9256860</v>
      </c>
      <c r="BD85" s="23" t="str">
        <f>VLOOKUP(BC85,CENY!$B$11:$G$1034,2,FALSE)</f>
        <v>QUADRO YOU PLNOVÝSUV 350 MM EB21 SILENT SYSTEM LEVÝ</v>
      </c>
      <c r="BE85" s="24">
        <f>VLOOKUP(BC85,CENY!$B$11:$G$1034,3,FALSE)</f>
        <v>20</v>
      </c>
      <c r="BF85" s="24"/>
      <c r="BG85" s="25">
        <f>IF((AY1+AY3)&gt;1,SUM(AY1:AY4)*AM20-1*AM20,SUM(AY1:AY4)*AM20)</f>
        <v>0</v>
      </c>
      <c r="BH85" s="107">
        <f>VLOOKUP(BC85,CENY!$B$11:$M$2005,12,FALSE)</f>
        <v>176.43</v>
      </c>
      <c r="BI85" s="107">
        <f t="shared" si="1"/>
        <v>0</v>
      </c>
    </row>
    <row r="86" spans="1:61" ht="14.4" customHeight="1">
      <c r="A86" s="633"/>
      <c r="AR86" s="177" t="str">
        <f>IF(SUM(O84:AF84)=0,verze!E175&amp;" "&amp;AU104&amp;" "&amp;verze!E176,"")</f>
        <v>Je potřebné vybrat vnitřní čela na 0 skříň (skříně).</v>
      </c>
      <c r="AU86" s="22">
        <f>OBJ!B194</f>
        <v>9257623</v>
      </c>
      <c r="AV86" s="23" t="str">
        <f>VLOOKUP(AU86,CENY!$B$11:$G$1034,2,FALSE)</f>
        <v>AVANTECH YOU SADA SPOJEK PRO VNITŘNÍ ČELO K BOKŮM INLAY V187 MM STŘÍBRNÁ</v>
      </c>
      <c r="AW86" s="24">
        <f>VLOOKUP(AU86,CENY!$B$11:$G$1034,3,FALSE)</f>
        <v>1</v>
      </c>
      <c r="AX86" s="24"/>
      <c r="AY86" s="25">
        <f>AY2*W84</f>
        <v>0</v>
      </c>
      <c r="AZ86" s="107">
        <f>VLOOKUP(AU86,CENY!$B$11:$M$2005,12,FALSE)</f>
        <v>121.83</v>
      </c>
      <c r="BA86" s="107">
        <f t="shared" si="3"/>
        <v>0</v>
      </c>
      <c r="BC86" s="22">
        <f>OBJ!B310</f>
        <v>9256861</v>
      </c>
      <c r="BD86" s="23" t="str">
        <f>VLOOKUP(BC86,CENY!$B$11:$G$1034,2,FALSE)</f>
        <v>QUADRO YOU PLNOVÝSUV 350 MM EB21 SILENT SYSTEM PRAVÝ</v>
      </c>
      <c r="BE86" s="24">
        <f>VLOOKUP(BC86,CENY!$B$11:$G$1034,3,FALSE)</f>
        <v>20</v>
      </c>
      <c r="BF86" s="24"/>
      <c r="BG86" s="25">
        <f>IF((AY1+AY3)&gt;1,SUM(AY1:AY4)*AM20-1*AM20,SUM(AY1:AY4)*AM20)</f>
        <v>0</v>
      </c>
      <c r="BH86" s="107">
        <f>VLOOKUP(BC86,CENY!$B$11:$M$2005,12,FALSE)</f>
        <v>176.43</v>
      </c>
      <c r="BI86" s="107">
        <f t="shared" si="1"/>
        <v>0</v>
      </c>
    </row>
    <row r="87" spans="1:61" ht="14.4" customHeight="1">
      <c r="A87" s="633"/>
      <c r="AR87" s="179" t="str">
        <f>IF(AU106=0,"",IF(AU104=AU106,verze!E174,IF(AU107&lt;0,verze!E177&amp;" "&amp;AU108&amp;" "&amp;verze!E176,verze!E178&amp;" "&amp;AU107&amp;" "&amp;verze!E179)))</f>
        <v/>
      </c>
      <c r="AU87" s="22"/>
      <c r="AV87" s="23"/>
      <c r="AW87" s="24"/>
      <c r="AX87" s="24"/>
      <c r="AY87" s="25"/>
      <c r="AZ87" s="107"/>
      <c r="BA87" s="107"/>
      <c r="BC87" s="22">
        <f>OBJ!B311</f>
        <v>9256864</v>
      </c>
      <c r="BD87" s="23" t="str">
        <f>VLOOKUP(BC87,CENY!$B$11:$G$1034,2,FALSE)</f>
        <v>QUADRO YOU PLNOVÝSUV 400 MM EB21 SILENT SYSTEM LEVÝ</v>
      </c>
      <c r="BE87" s="24">
        <f>VLOOKUP(BC87,CENY!$B$11:$G$1034,3,FALSE)</f>
        <v>20</v>
      </c>
      <c r="BF87" s="24"/>
      <c r="BG87" s="25">
        <f>IF((AY1+AY3)&gt;1,SUM(AY1:AY4)*AO20-1*AO20,SUM(AY1:AY4)*AO20)</f>
        <v>0</v>
      </c>
      <c r="BH87" s="107">
        <f>VLOOKUP(BC87,CENY!$B$11:$M$2005,12,FALSE)</f>
        <v>180.17</v>
      </c>
      <c r="BI87" s="107">
        <f t="shared" si="1"/>
        <v>0</v>
      </c>
    </row>
    <row r="88" spans="1:61" ht="14.4" customHeight="1">
      <c r="A88" s="633"/>
      <c r="AU88" s="22">
        <f>OBJ!B201</f>
        <v>9257734</v>
      </c>
      <c r="AV88" s="23" t="str">
        <f>VLOOKUP(AU88,CENY!$B$11:$G$1034,2,FALSE)</f>
        <v>AVANTECH YOU UNAŠEČ PRO VNITŘNÍ ČELO SADA STŘÍBRNÁ</v>
      </c>
      <c r="AW88" s="24">
        <f>VLOOKUP(AU88,CENY!$B$11:$G$1034,3,FALSE)</f>
        <v>1</v>
      </c>
      <c r="AX88" s="24"/>
      <c r="AY88" s="25">
        <f>AY4*O84</f>
        <v>0</v>
      </c>
      <c r="AZ88" s="107">
        <f>VLOOKUP(AU88,CENY!$B$11:$M$2005,12,FALSE)</f>
        <v>139.51</v>
      </c>
      <c r="BA88" s="107">
        <f t="shared" si="3"/>
        <v>0</v>
      </c>
      <c r="BC88" s="22">
        <f>OBJ!B312</f>
        <v>9256865</v>
      </c>
      <c r="BD88" s="23" t="str">
        <f>VLOOKUP(BC88,CENY!$B$11:$G$1034,2,FALSE)</f>
        <v>QUADRO YOU PLNOVÝSUV 400 MM EB21 SILENT SYSTEM PRAVÝ</v>
      </c>
      <c r="BE88" s="24">
        <f>VLOOKUP(BC88,CENY!$B$11:$G$1034,3,FALSE)</f>
        <v>20</v>
      </c>
      <c r="BF88" s="24"/>
      <c r="BG88" s="25">
        <f>IF((AY1+AY3)&gt;1,SUM(AY1:AY4)*AO20-1*AO20,SUM(AY1:AY4)*AO20)</f>
        <v>0</v>
      </c>
      <c r="BH88" s="107">
        <f>VLOOKUP(BC88,CENY!$B$11:$M$2005,12,FALSE)</f>
        <v>180.17</v>
      </c>
      <c r="BI88" s="107">
        <f t="shared" si="1"/>
        <v>0</v>
      </c>
    </row>
    <row r="89" spans="1:61" ht="14.4" customHeight="1">
      <c r="A89" s="633"/>
      <c r="AU89" s="22">
        <f>OBJ!B202</f>
        <v>0</v>
      </c>
      <c r="AV89" s="23" t="e">
        <f>VLOOKUP(AU89,CENY!$B$11:$G$1034,2,FALSE)</f>
        <v>#N/A</v>
      </c>
      <c r="AW89" s="24" t="e">
        <f>VLOOKUP(AU89,CENY!$B$11:$G$1034,3,FALSE)</f>
        <v>#N/A</v>
      </c>
      <c r="AX89" s="24"/>
      <c r="AY89" s="25">
        <f>AY4*Q84</f>
        <v>0</v>
      </c>
      <c r="AZ89" s="107" t="e">
        <f>VLOOKUP(AU89,CENY!$B$11:$M$2005,12,FALSE)</f>
        <v>#N/A</v>
      </c>
      <c r="BA89" s="107" t="e">
        <f t="shared" si="3"/>
        <v>#N/A</v>
      </c>
      <c r="BC89" s="22">
        <f>OBJ!B313</f>
        <v>9256868</v>
      </c>
      <c r="BD89" s="23" t="str">
        <f>VLOOKUP(BC89,CENY!$B$11:$G$1034,2,FALSE)</f>
        <v>QUADRO YOU PLNOVÝSUV 450 MM EB21 SILENT SYSTEM LEVÝ</v>
      </c>
      <c r="BE89" s="24">
        <f>VLOOKUP(BC89,CENY!$B$11:$G$1034,3,FALSE)</f>
        <v>20</v>
      </c>
      <c r="BF89" s="24"/>
      <c r="BG89" s="77">
        <f>AG$21</f>
        <v>0</v>
      </c>
      <c r="BH89" s="107">
        <f>VLOOKUP(BC89,CENY!$B$11:$M$2005,12,FALSE)</f>
        <v>183.9</v>
      </c>
      <c r="BI89" s="107">
        <f t="shared" si="1"/>
        <v>0</v>
      </c>
    </row>
    <row r="90" spans="1:61" ht="14.4" customHeight="1">
      <c r="A90" s="633"/>
      <c r="AU90" s="22">
        <f>OBJ!B203</f>
        <v>9257663</v>
      </c>
      <c r="AV90" s="23" t="str">
        <f>VLOOKUP(AU90,CENY!$B$11:$G$1034,2,FALSE)</f>
        <v>AVANTECH YOU NOSNÝ PROFIL PRO VNITŘNÍ ČELO INLAY L2000 MM STŘÍBRNÁ</v>
      </c>
      <c r="AW90" s="24">
        <f>VLOOKUP(AU90,CENY!$B$11:$G$1034,3,FALSE)</f>
        <v>1</v>
      </c>
      <c r="AX90" s="24"/>
      <c r="AY90" s="25">
        <f>AY4*S84</f>
        <v>0</v>
      </c>
      <c r="AZ90" s="107">
        <f>VLOOKUP(AU90,CENY!$B$11:$M$2005,12,FALSE)</f>
        <v>710.85</v>
      </c>
      <c r="BA90" s="107">
        <f t="shared" si="3"/>
        <v>0</v>
      </c>
      <c r="BC90" s="22">
        <f>OBJ!B314</f>
        <v>9256869</v>
      </c>
      <c r="BD90" s="23" t="str">
        <f>VLOOKUP(BC90,CENY!$B$11:$G$1034,2,FALSE)</f>
        <v>QUADRO YOU PLNOVÝSUV 450 MM EB21 SILENT SYSTEM PRAVÝ</v>
      </c>
      <c r="BE90" s="24">
        <f>VLOOKUP(BC90,CENY!$B$11:$G$1034,3,FALSE)</f>
        <v>20</v>
      </c>
      <c r="BF90" s="24"/>
      <c r="BG90" s="77">
        <f>AG$21</f>
        <v>0</v>
      </c>
      <c r="BH90" s="107">
        <f>VLOOKUP(BC90,CENY!$B$11:$M$2005,12,FALSE)</f>
        <v>183.9</v>
      </c>
      <c r="BI90" s="107">
        <f t="shared" si="1"/>
        <v>0</v>
      </c>
    </row>
    <row r="91" spans="1:61" ht="14.4" customHeight="1">
      <c r="A91" s="633"/>
      <c r="AU91" s="22">
        <f>OBJ!B204</f>
        <v>9257651</v>
      </c>
      <c r="AV91" s="23" t="str">
        <f>VLOOKUP(AU91,CENY!$B$11:$G$1034,2,FALSE)</f>
        <v>AVANTECH YOU SADA SPOJEK PRO VNITŘNÍ ČELO INLAY K BOKŮM STANDARD V187 MM STŘÍBRNÁ</v>
      </c>
      <c r="AW91" s="24">
        <f>VLOOKUP(AU91,CENY!$B$11:$G$1034,3,FALSE)</f>
        <v>1</v>
      </c>
      <c r="AX91" s="24"/>
      <c r="AY91" s="25">
        <f>AY4*U84</f>
        <v>0</v>
      </c>
      <c r="AZ91" s="107">
        <f>VLOOKUP(AU91,CENY!$B$11:$M$2005,12,FALSE)</f>
        <v>492.14</v>
      </c>
      <c r="BA91" s="107">
        <f>IF(AZ91="","",AZ91*AY91)</f>
        <v>0</v>
      </c>
      <c r="BC91" s="22">
        <f>OBJ!B315</f>
        <v>9256872</v>
      </c>
      <c r="BD91" s="23" t="str">
        <f>VLOOKUP(BC91,CENY!$B$11:$G$1034,2,FALSE)</f>
        <v>QUADRO YOU PLNOVÝSUV 500 MM EB21 SILENT SYSTEM LEVÝ</v>
      </c>
      <c r="BE91" s="24">
        <f>VLOOKUP(BC91,CENY!$B$11:$G$1034,3,FALSE)</f>
        <v>20</v>
      </c>
      <c r="BF91" s="24"/>
      <c r="BG91" s="25">
        <f>IF((AY1+AY3)&lt;2,SUM(AY1:AY4)*AI21,1*(AI20+AI19)+SUM(AY1:AY4)*AI21)</f>
        <v>0</v>
      </c>
      <c r="BH91" s="107">
        <f>VLOOKUP(BC91,CENY!$B$11:$M$2005,12,FALSE)</f>
        <v>187.64</v>
      </c>
      <c r="BI91" s="107">
        <f t="shared" si="1"/>
        <v>0</v>
      </c>
    </row>
    <row r="92" spans="1:61" ht="14.4" customHeight="1">
      <c r="A92" s="633"/>
      <c r="AU92" s="22">
        <f>OBJ!B205</f>
        <v>9257657</v>
      </c>
      <c r="AV92" s="23" t="str">
        <f>VLOOKUP(AU92,CENY!$B$11:$G$1034,2,FALSE)</f>
        <v>AVANTECH YOU SADA SPOJEK PRO VNITŘNÍ ČELO INLAY K BOKŮM INLAY V187 MM STŘÍBRNÁ</v>
      </c>
      <c r="AW92" s="24">
        <f>VLOOKUP(AU92,CENY!$B$11:$G$1034,3,FALSE)</f>
        <v>1</v>
      </c>
      <c r="AX92" s="24"/>
      <c r="AY92" s="25">
        <f>AY4*W84</f>
        <v>0</v>
      </c>
      <c r="AZ92" s="107">
        <f>VLOOKUP(AU92,CENY!$B$11:$M$2005,12,FALSE)</f>
        <v>492.14</v>
      </c>
      <c r="BA92" s="107">
        <f>IF(AZ92="","",AZ92*AY92)</f>
        <v>0</v>
      </c>
      <c r="BC92" s="22">
        <f>OBJ!B316</f>
        <v>9256873</v>
      </c>
      <c r="BD92" s="23" t="str">
        <f>VLOOKUP(BC92,CENY!$B$11:$G$1034,2,FALSE)</f>
        <v>QUADRO YOU PLNOVÝSUV 500 MM EB21 SILENT SYSTEM PRAVÝ</v>
      </c>
      <c r="BE92" s="24">
        <f>VLOOKUP(BC92,CENY!$B$11:$G$1034,3,FALSE)</f>
        <v>20</v>
      </c>
      <c r="BF92" s="24"/>
      <c r="BG92" s="25">
        <f>IF((AY1+AY3)&lt;2,SUM(AY1:AY4)*AI21,1*(AI20+AI19)+SUM(AY1:AY4)*AI21)</f>
        <v>0</v>
      </c>
      <c r="BH92" s="107">
        <f>VLOOKUP(BC92,CENY!$B$11:$M$2005,12,FALSE)</f>
        <v>187.64</v>
      </c>
      <c r="BI92" s="107">
        <f t="shared" ref="BI92:BI124" si="4">IF(BH92="","",BH92*BG92)</f>
        <v>0</v>
      </c>
    </row>
    <row r="93" spans="1:61" ht="14.4" customHeight="1">
      <c r="A93" s="633"/>
      <c r="AU93" s="22"/>
      <c r="AV93" s="23"/>
      <c r="AW93" s="24"/>
      <c r="AX93" s="24"/>
      <c r="AY93" s="25"/>
      <c r="AZ93" s="107"/>
      <c r="BA93" s="107" t="str">
        <f t="shared" si="3"/>
        <v/>
      </c>
      <c r="BC93" s="22">
        <f>OBJ!B317</f>
        <v>9256876</v>
      </c>
      <c r="BD93" s="23" t="str">
        <f>VLOOKUP(BC93,CENY!$B$11:$G$1034,2,FALSE)</f>
        <v>QUADRO YOU PLNOVÝSUV 550 MM EB21 SILENT SYSTEM LEVÝ</v>
      </c>
      <c r="BE93" s="24">
        <f>VLOOKUP(BC93,CENY!$B$11:$G$1034,3,FALSE)</f>
        <v>20</v>
      </c>
      <c r="BF93" s="24"/>
      <c r="BG93" s="25">
        <f>IF((AY1+AY3)&lt;2,SUM(AY1:AY4)*AK21,1*(AK20+AK19)+SUM(AY1:AY4)*AK21)</f>
        <v>0</v>
      </c>
      <c r="BH93" s="107">
        <f>VLOOKUP(BC93,CENY!$B$11:$M$2005,12,FALSE)</f>
        <v>194.36</v>
      </c>
      <c r="BI93" s="107">
        <f t="shared" si="4"/>
        <v>0</v>
      </c>
    </row>
    <row r="94" spans="1:61" ht="14.4" customHeight="1">
      <c r="A94" s="633"/>
      <c r="AU94" s="22"/>
      <c r="AV94" s="23"/>
      <c r="AW94" s="24"/>
      <c r="AX94" s="24"/>
      <c r="AY94" s="25"/>
      <c r="AZ94" s="107"/>
      <c r="BA94" s="107" t="str">
        <f t="shared" si="3"/>
        <v/>
      </c>
      <c r="BC94" s="22">
        <f>OBJ!B318</f>
        <v>9256877</v>
      </c>
      <c r="BD94" s="23" t="str">
        <f>VLOOKUP(BC94,CENY!$B$11:$G$1034,2,FALSE)</f>
        <v>QUADRO YOU PLNOVÝSUV 550 MM EB21 SILENT SYSTEM PRAVÝ</v>
      </c>
      <c r="BE94" s="24">
        <f>VLOOKUP(BC94,CENY!$B$11:$G$1034,3,FALSE)</f>
        <v>20</v>
      </c>
      <c r="BF94" s="24"/>
      <c r="BG94" s="25">
        <f>IF((AY1+AY3)&lt;2,SUM(AY1:AY4)*AK21,1*(AK20+AK19)+SUM(AY1:AY4)*AK21)</f>
        <v>0</v>
      </c>
      <c r="BH94" s="107">
        <f>VLOOKUP(BC94,CENY!$B$11:$M$2005,12,FALSE)</f>
        <v>194.36</v>
      </c>
      <c r="BI94" s="107">
        <f t="shared" si="4"/>
        <v>0</v>
      </c>
    </row>
    <row r="95" spans="1:61" ht="14.4" customHeight="1">
      <c r="A95" s="633"/>
      <c r="AU95" s="291">
        <f>OBJ!B433</f>
        <v>9099540</v>
      </c>
      <c r="AV95" s="292" t="str">
        <f>VLOOKUP(AU95,CENY!$B$11:$G$1034,2,FALSE)</f>
        <v>SENSYS 8657I 165° B12,5 TH52</v>
      </c>
      <c r="AW95" s="24">
        <f>VLOOKUP(AU95,CENY!$B$11:$G$1034,3,FALSE)</f>
        <v>50</v>
      </c>
      <c r="AX95" s="24"/>
      <c r="AY95" s="25">
        <f>VLOOKUP(SUM(AY2:AY4),AZ106:BA113,2,FALSE)*((SUM(O19:Z20)+SUM(Q21:AB21)+SUM(O26:Z26)+SUM(Q27:AB27))+(SUM(AE19:AP20)+SUM(AG21:AR21)+SUM(AE26:AP26)+SUM(AG27:AR27)))</f>
        <v>0</v>
      </c>
      <c r="AZ95" s="107">
        <f>VLOOKUP(AU95,CENY!$B$11:$M$2005,12,FALSE)</f>
        <v>142.76</v>
      </c>
      <c r="BA95" s="107">
        <f t="shared" si="3"/>
        <v>0</v>
      </c>
      <c r="BC95" s="22">
        <f>OBJ!B319</f>
        <v>9256880</v>
      </c>
      <c r="BD95" s="23" t="str">
        <f>VLOOKUP(BC95,CENY!$B$11:$G$1034,2,FALSE)</f>
        <v>QUADRO YOU PLNOVÝSUV 600 MM EB21 SILENT SYSTEM LEVÝ</v>
      </c>
      <c r="BE95" s="24">
        <f>VLOOKUP(BC95,CENY!$B$11:$G$1034,3,FALSE)</f>
        <v>20</v>
      </c>
      <c r="BF95" s="24"/>
      <c r="BG95" s="25">
        <f>IF((AY1+AY3)&lt;2,SUM(AY1:AY4)*AM21,1*(AM20+AM19)+SUM(AY1:AY4)*AM21)</f>
        <v>0</v>
      </c>
      <c r="BH95" s="107">
        <f>VLOOKUP(BC95,CENY!$B$11:$M$2005,12,FALSE)</f>
        <v>198.1</v>
      </c>
      <c r="BI95" s="107">
        <f t="shared" si="4"/>
        <v>0</v>
      </c>
    </row>
    <row r="96" spans="1:61" ht="14.4" customHeight="1">
      <c r="A96" s="633"/>
      <c r="AU96" s="291">
        <f>OBJ!B434</f>
        <v>9099600</v>
      </c>
      <c r="AV96" s="292" t="str">
        <f>VLOOKUP(AU96,CENY!$B$11:$G$1034,2,FALSE)</f>
        <v>SENSYS 8657 165° B12,5 TH52 BEZ TLUMIČE</v>
      </c>
      <c r="AW96" s="24">
        <f>VLOOKUP(AU96,CENY!$B$11:$G$1034,3,FALSE)</f>
        <v>50</v>
      </c>
      <c r="AX96" s="24"/>
      <c r="AY96" s="77">
        <v>0</v>
      </c>
      <c r="AZ96" s="107">
        <f>VLOOKUP(AU96,CENY!$B$11:$M$2005,12,FALSE)</f>
        <v>124.34</v>
      </c>
      <c r="BA96" s="107">
        <f t="shared" si="3"/>
        <v>0</v>
      </c>
      <c r="BC96" s="22">
        <f>OBJ!B320</f>
        <v>9256881</v>
      </c>
      <c r="BD96" s="23" t="str">
        <f>VLOOKUP(BC96,CENY!$B$11:$G$1034,2,FALSE)</f>
        <v>QUADRO YOU PLNOVÝSUV 600 MM EB21 SILENT SYSTEM PRAVÝ</v>
      </c>
      <c r="BE96" s="24">
        <f>VLOOKUP(BC96,CENY!$B$11:$G$1034,3,FALSE)</f>
        <v>20</v>
      </c>
      <c r="BF96" s="24"/>
      <c r="BG96" s="25">
        <f>IF((AY1+AY3)&lt;2,SUM(AY1:AY4)*AM21,1*(AM20+AM19)+SUM(AY1:AY4)*AM21)</f>
        <v>0</v>
      </c>
      <c r="BH96" s="107">
        <f>VLOOKUP(BC96,CENY!$B$11:$M$2005,12,FALSE)</f>
        <v>198.1</v>
      </c>
      <c r="BI96" s="107">
        <f t="shared" si="4"/>
        <v>0</v>
      </c>
    </row>
    <row r="97" spans="1:61" ht="14.4" customHeight="1">
      <c r="A97" s="633"/>
      <c r="AU97" s="291">
        <f>OBJ!B435</f>
        <v>9099660</v>
      </c>
      <c r="AV97" s="292" t="str">
        <f>VLOOKUP(AU97,CENY!$B$11:$G$1034,2,FALSE)</f>
        <v>SENSYS 8687 165° B12,5 TH52 BEZ PRUŽINY</v>
      </c>
      <c r="AW97" s="24">
        <f>VLOOKUP(AU97,CENY!$B$11:$G$1034,3,FALSE)</f>
        <v>50</v>
      </c>
      <c r="AX97" s="24"/>
      <c r="AY97" s="77">
        <v>0</v>
      </c>
      <c r="AZ97" s="107">
        <f>VLOOKUP(AU97,CENY!$B$11:$M$2005,12,FALSE)</f>
        <v>128.94</v>
      </c>
      <c r="BA97" s="107">
        <f t="shared" si="3"/>
        <v>0</v>
      </c>
      <c r="BC97" s="22">
        <f>OBJ!B321</f>
        <v>0</v>
      </c>
      <c r="BD97" s="23" t="e">
        <f>VLOOKUP(BC97,CENY!$B$11:$G$1034,2,FALSE)</f>
        <v>#N/A</v>
      </c>
      <c r="BE97" s="24" t="e">
        <f>VLOOKUP(BC97,CENY!$B$11:$G$1034,3,FALSE)</f>
        <v>#N/A</v>
      </c>
      <c r="BF97" s="24"/>
      <c r="BG97" s="25">
        <f>IF((AY1+AY3)&lt;2,SUM(AY1:AY4)*AO21,1*(AO20+AO19)+SUM(AY1:AY4)*AO21)</f>
        <v>0</v>
      </c>
      <c r="BH97" s="107" t="e">
        <f>VLOOKUP(BC97,CENY!$B$11:$M$2005,12,FALSE)</f>
        <v>#N/A</v>
      </c>
      <c r="BI97" s="107" t="e">
        <f t="shared" si="4"/>
        <v>#N/A</v>
      </c>
    </row>
    <row r="98" spans="1:61" ht="14.4" customHeight="1">
      <c r="A98" s="633"/>
      <c r="AU98" s="291">
        <f>OBJ!B436</f>
        <v>9071576</v>
      </c>
      <c r="AV98" s="292" t="str">
        <f>VLOOKUP(AU98,CENY!$B$11:$G$1034,2,FALSE)</f>
        <v xml:space="preserve">PODLOŽKA 8099 D1,5 </v>
      </c>
      <c r="AW98" s="24">
        <f>VLOOKUP(AU98,CENY!$B$11:$G$1034,3,FALSE)</f>
        <v>200</v>
      </c>
      <c r="AX98" s="24"/>
      <c r="AY98" s="25">
        <f>AY95</f>
        <v>0</v>
      </c>
      <c r="AZ98" s="107">
        <f>VLOOKUP(AU98,CENY!$B$11:$M$2005,12,FALSE)</f>
        <v>7.79</v>
      </c>
      <c r="BA98" s="107">
        <f t="shared" si="3"/>
        <v>0</v>
      </c>
      <c r="BC98" s="22">
        <f>OBJ!B322</f>
        <v>9257894</v>
      </c>
      <c r="BD98" s="23" t="str">
        <f>VLOOKUP(BC98,CENY!$B$11:$G$1034,2,FALSE)</f>
        <v>PUSH TO OPEN SILENT QUADRO YOU 10 KG</v>
      </c>
      <c r="BE98" s="24">
        <f>VLOOKUP(BC98,CENY!$B$11:$G$1034,3,FALSE)</f>
        <v>1</v>
      </c>
      <c r="BF98" s="24"/>
      <c r="BG98" s="25">
        <f>IF((AY1+AY3)&lt;2,SUM(AY1:AY4)*AO21,1*(AO20+AO19)+SUM(AY1:AY4)*AO21)</f>
        <v>0</v>
      </c>
      <c r="BH98" s="107">
        <f>VLOOKUP(BC98,CENY!$B$11:$M$2005,12,FALSE)</f>
        <v>544.37</v>
      </c>
      <c r="BI98" s="107">
        <f t="shared" si="4"/>
        <v>0</v>
      </c>
    </row>
    <row r="99" spans="1:61" ht="14.4" customHeight="1">
      <c r="A99" s="633"/>
      <c r="AU99" s="291">
        <f>OBJ!B437</f>
        <v>9071671</v>
      </c>
      <c r="AV99" s="292" t="str">
        <f>VLOOKUP(AU99,CENY!$B$11:$G$1034,2,FALSE)</f>
        <v>PODLOŽKA 8099 D1,5 EXCENTR VRUTY</v>
      </c>
      <c r="AW99" s="24">
        <f>VLOOKUP(AU99,CENY!$B$11:$G$1034,3,FALSE)</f>
        <v>200</v>
      </c>
      <c r="AX99" s="24"/>
      <c r="AY99" s="77">
        <v>0</v>
      </c>
      <c r="AZ99" s="107">
        <f>VLOOKUP(AU99,CENY!$B$11:$M$2005,12,FALSE)</f>
        <v>15.98</v>
      </c>
      <c r="BA99" s="107">
        <f t="shared" si="3"/>
        <v>0</v>
      </c>
      <c r="BC99" s="22">
        <f>OBJ!B323</f>
        <v>9257895</v>
      </c>
      <c r="BD99" s="23" t="str">
        <f>VLOOKUP(BC99,CENY!$B$11:$G$1034,2,FALSE)</f>
        <v>PUSH TO OPEN SILENT QUADRO YOU 20 KG</v>
      </c>
      <c r="BE99" s="24">
        <f>VLOOKUP(BC99,CENY!$B$11:$G$1034,3,FALSE)</f>
        <v>1</v>
      </c>
      <c r="BF99" s="24"/>
      <c r="BG99" s="25">
        <f>SUM(AY1:AY4)*AQ21</f>
        <v>0</v>
      </c>
      <c r="BH99" s="107">
        <f>VLOOKUP(BC99,CENY!$B$11:$M$2005,12,FALSE)</f>
        <v>544.37</v>
      </c>
      <c r="BI99" s="107">
        <f t="shared" si="4"/>
        <v>0</v>
      </c>
    </row>
    <row r="100" spans="1:61" ht="14.4" customHeight="1">
      <c r="A100" s="633"/>
      <c r="AU100" s="22"/>
      <c r="AV100" s="23"/>
      <c r="AW100" s="24"/>
      <c r="AX100" s="24"/>
      <c r="AY100" s="25"/>
      <c r="AZ100" s="107"/>
      <c r="BA100" s="107" t="str">
        <f t="shared" si="3"/>
        <v/>
      </c>
      <c r="BC100" s="22">
        <f>OBJ!B324</f>
        <v>9257896</v>
      </c>
      <c r="BD100" s="23" t="str">
        <f>VLOOKUP(BC100,CENY!$B$11:$G$1034,2,FALSE)</f>
        <v>PUSH TO OPEN SILENT QUADRO YOU 30 KG</v>
      </c>
      <c r="BE100" s="24">
        <f>VLOOKUP(BC100,CENY!$B$11:$G$1034,3,FALSE)</f>
        <v>1</v>
      </c>
      <c r="BF100" s="24"/>
      <c r="BG100" s="25">
        <f>SUM(AY1:AY4)*AQ21</f>
        <v>0</v>
      </c>
      <c r="BH100" s="107">
        <f>VLOOKUP(BC100,CENY!$B$11:$M$2005,12,FALSE)</f>
        <v>544.37</v>
      </c>
      <c r="BI100" s="107">
        <f t="shared" si="4"/>
        <v>0</v>
      </c>
    </row>
    <row r="101" spans="1:61">
      <c r="A101" s="633"/>
      <c r="BC101" s="22">
        <f>OBJ!B325</f>
        <v>0</v>
      </c>
      <c r="BD101" s="23" t="e">
        <f>VLOOKUP(BC101,CENY!$B$11:$G$1034,2,FALSE)</f>
        <v>#N/A</v>
      </c>
      <c r="BE101" s="24" t="e">
        <f>VLOOKUP(BC101,CENY!$B$11:$G$1034,3,FALSE)</f>
        <v>#N/A</v>
      </c>
      <c r="BF101" s="24"/>
      <c r="BG101" s="77">
        <f>AE$26</f>
        <v>0</v>
      </c>
      <c r="BH101" s="107" t="e">
        <f>VLOOKUP(BC101,CENY!$B$11:$M$2005,12,FALSE)</f>
        <v>#N/A</v>
      </c>
      <c r="BI101" s="107" t="e">
        <f t="shared" si="4"/>
        <v>#N/A</v>
      </c>
    </row>
    <row r="102" spans="1:61">
      <c r="A102" s="633"/>
      <c r="AU102" s="111">
        <f>1*(SUM(O19:Z20)+SUM(Q21:AB21)+SUM(O26:Z26)+SUM(Q27:AB27))</f>
        <v>0</v>
      </c>
      <c r="AV102" s="111" t="str">
        <f>verze!E174</f>
        <v>Počet vnitřních čel nyní pasuje s počtem zásuvek.</v>
      </c>
      <c r="BC102" s="22">
        <f>OBJ!B326</f>
        <v>9256928</v>
      </c>
      <c r="BD102" s="23" t="str">
        <f>VLOOKUP(BC102,CENY!$B$11:$G$1034,2,FALSE)</f>
        <v>QUADRO YOU PLNOVÝSUV 270 MM EB21 PUSH TO OPEN SADA</v>
      </c>
      <c r="BE102" s="24">
        <f>VLOOKUP(BC102,CENY!$B$11:$G$1034,3,FALSE)</f>
        <v>1</v>
      </c>
      <c r="BF102" s="24"/>
      <c r="BG102" s="77">
        <f>AE$26</f>
        <v>0</v>
      </c>
      <c r="BH102" s="107">
        <f>VLOOKUP(BC102,CENY!$B$11:$M$2005,12,FALSE)</f>
        <v>413.4</v>
      </c>
      <c r="BI102" s="107">
        <f t="shared" si="4"/>
        <v>0</v>
      </c>
    </row>
    <row r="103" spans="1:61">
      <c r="A103" s="633"/>
      <c r="AU103" s="111">
        <f>1*(SUM(AE19:AP20)+SUM(AG21:AR21)+SUM(AE26:AP26)+SUM(AG27:AR27))</f>
        <v>0</v>
      </c>
      <c r="BC103" s="22">
        <f>OBJ!B327</f>
        <v>9256929</v>
      </c>
      <c r="BD103" s="23" t="str">
        <f>VLOOKUP(BC103,CENY!$B$11:$G$1034,2,FALSE)</f>
        <v>QUADRO YOU PLNOVÝSUV 300 MM EB21 PUSH TO OPEN SADA</v>
      </c>
      <c r="BE103" s="24">
        <f>VLOOKUP(BC103,CENY!$B$11:$G$1034,3,FALSE)</f>
        <v>1</v>
      </c>
      <c r="BF103" s="24"/>
      <c r="BG103" s="77">
        <f>AG$26</f>
        <v>0</v>
      </c>
      <c r="BH103" s="107">
        <f>VLOOKUP(BC103,CENY!$B$11:$M$2005,12,FALSE)</f>
        <v>414.13</v>
      </c>
      <c r="BI103" s="107">
        <f t="shared" si="4"/>
        <v>0</v>
      </c>
    </row>
    <row r="104" spans="1:61">
      <c r="A104" s="633"/>
      <c r="AU104" s="178">
        <f>AU103+AU102</f>
        <v>0</v>
      </c>
      <c r="BC104" s="22">
        <f>OBJ!B328</f>
        <v>9256931</v>
      </c>
      <c r="BD104" s="23" t="str">
        <f>VLOOKUP(BC104,CENY!$B$11:$G$1034,2,FALSE)</f>
        <v>QUADRO YOU PLNOVÝSUV 350 MM EB21 PUSH TO OPEN SADA</v>
      </c>
      <c r="BE104" s="24">
        <f>VLOOKUP(BC104,CENY!$B$11:$G$1034,3,FALSE)</f>
        <v>1</v>
      </c>
      <c r="BF104" s="24"/>
      <c r="BG104" s="77">
        <f>AG$26</f>
        <v>0</v>
      </c>
      <c r="BH104" s="107">
        <f>VLOOKUP(BC104,CENY!$B$11:$M$2005,12,FALSE)</f>
        <v>421.61</v>
      </c>
      <c r="BI104" s="107">
        <f t="shared" si="4"/>
        <v>0</v>
      </c>
    </row>
    <row r="105" spans="1:61">
      <c r="A105" s="633"/>
      <c r="AZ105" s="293" t="s">
        <v>307</v>
      </c>
      <c r="BA105" s="293" t="s">
        <v>308</v>
      </c>
      <c r="BC105" s="22">
        <f>OBJ!B329</f>
        <v>9256933</v>
      </c>
      <c r="BD105" s="23" t="str">
        <f>VLOOKUP(BC105,CENY!$B$11:$G$1034,2,FALSE)</f>
        <v>QUADRO YOU PLNOVÝSUV 400 MM EB21 PUSH TO OPEN SADA</v>
      </c>
      <c r="BE105" s="24">
        <f>VLOOKUP(BC105,CENY!$B$11:$G$1034,3,FALSE)</f>
        <v>1</v>
      </c>
      <c r="BF105" s="24"/>
      <c r="BG105" s="25">
        <f>IF((AY1+AY3)&gt;1,SUM(AY1:AY4)*AI26-1*AI26,SUM(AY1:AY4)*AI26)</f>
        <v>0</v>
      </c>
      <c r="BH105" s="107">
        <f>VLOOKUP(BC105,CENY!$B$11:$M$2005,12,FALSE)</f>
        <v>429.08</v>
      </c>
      <c r="BI105" s="107">
        <f t="shared" si="4"/>
        <v>0</v>
      </c>
    </row>
    <row r="106" spans="1:61">
      <c r="AU106" s="178">
        <f>SUM(O84:AF84)</f>
        <v>0</v>
      </c>
      <c r="AZ106" s="294">
        <v>1</v>
      </c>
      <c r="BA106" s="294">
        <v>2</v>
      </c>
      <c r="BC106" s="22">
        <f>OBJ!B330</f>
        <v>9256935</v>
      </c>
      <c r="BD106" s="23" t="str">
        <f>VLOOKUP(BC106,CENY!$B$11:$G$1034,2,FALSE)</f>
        <v>QUADRO YOU PLNOVÝSUV 450 MM EB21 PUSH TO OPEN SADA</v>
      </c>
      <c r="BE106" s="24">
        <f>VLOOKUP(BC106,CENY!$B$11:$G$1034,3,FALSE)</f>
        <v>1</v>
      </c>
      <c r="BF106" s="24"/>
      <c r="BG106" s="25">
        <f>IF((AY1+AY3)&gt;1,SUM(AY1:AY4)*AI26-1*AI26,SUM(AY1:AY4)*AI26)</f>
        <v>0</v>
      </c>
      <c r="BH106" s="107">
        <f>VLOOKUP(BC106,CENY!$B$11:$M$2005,12,FALSE)</f>
        <v>436.55</v>
      </c>
      <c r="BI106" s="107">
        <f t="shared" si="4"/>
        <v>0</v>
      </c>
    </row>
    <row r="107" spans="1:61">
      <c r="AU107" s="111">
        <f>AU106-AU104</f>
        <v>0</v>
      </c>
      <c r="AZ107" s="294">
        <v>2</v>
      </c>
      <c r="BA107" s="294">
        <v>2</v>
      </c>
      <c r="BC107" s="22">
        <f>OBJ!B331</f>
        <v>9256937</v>
      </c>
      <c r="BD107" s="23" t="str">
        <f>VLOOKUP(BC107,CENY!$B$11:$G$1034,2,FALSE)</f>
        <v>QUADRO YOU PLNOVÝSUV 500 MM EB21 PUSH TO OPEN SADA</v>
      </c>
      <c r="BE107" s="24">
        <f>VLOOKUP(BC107,CENY!$B$11:$G$1034,3,FALSE)</f>
        <v>1</v>
      </c>
      <c r="BF107" s="24"/>
      <c r="BG107" s="25">
        <f>IF((AY1+AY3)&gt;1,SUM(AY1:AY4)*AK26-1*AK26,SUM(AY1:AY4)*AK26)</f>
        <v>0</v>
      </c>
      <c r="BH107" s="107">
        <f>VLOOKUP(BC107,CENY!$B$11:$M$2005,12,FALSE)</f>
        <v>444.02</v>
      </c>
      <c r="BI107" s="107">
        <f t="shared" si="4"/>
        <v>0</v>
      </c>
    </row>
    <row r="108" spans="1:61">
      <c r="AU108" s="111">
        <f>AU104-AU106</f>
        <v>0</v>
      </c>
      <c r="AZ108" s="294">
        <v>3</v>
      </c>
      <c r="BA108" s="294">
        <v>3</v>
      </c>
      <c r="BC108" s="22">
        <f>OBJ!B332</f>
        <v>9256939</v>
      </c>
      <c r="BD108" s="23" t="str">
        <f>VLOOKUP(BC108,CENY!$B$11:$G$1034,2,FALSE)</f>
        <v>QUADRO YOU PLNOVÝSUV 550 MM EB21 PUSH TO OPEN SADA</v>
      </c>
      <c r="BE108" s="24">
        <f>VLOOKUP(BC108,CENY!$B$11:$G$1034,3,FALSE)</f>
        <v>1</v>
      </c>
      <c r="BF108" s="24"/>
      <c r="BG108" s="25">
        <f>IF((AY1+AY3)&gt;1,SUM(AY1:AY4)*AK26-1*AK26,SUM(AY1:AY4)*AK26)</f>
        <v>0</v>
      </c>
      <c r="BH108" s="107">
        <f>VLOOKUP(BC108,CENY!$B$11:$M$2005,12,FALSE)</f>
        <v>457.48</v>
      </c>
      <c r="BI108" s="107">
        <f t="shared" si="4"/>
        <v>0</v>
      </c>
    </row>
    <row r="109" spans="1:61">
      <c r="AZ109" s="294">
        <v>4</v>
      </c>
      <c r="BA109" s="294">
        <v>3</v>
      </c>
      <c r="BC109" s="22">
        <f>OBJ!B333</f>
        <v>9256941</v>
      </c>
      <c r="BD109" s="23" t="str">
        <f>VLOOKUP(BC109,CENY!$B$11:$G$1034,2,FALSE)</f>
        <v>QUADRO YOU PLNOVÝSUV 600 MM EB21 PUSH TO OPEN SADA</v>
      </c>
      <c r="BE109" s="24">
        <f>VLOOKUP(BC109,CENY!$B$11:$G$1034,3,FALSE)</f>
        <v>1</v>
      </c>
      <c r="BF109" s="24"/>
      <c r="BG109" s="25">
        <f>IF((AY1+AY3)&gt;1,SUM(AY1:AY4)*AM26-1*AM26,SUM(AY1:AY4)*AM26)</f>
        <v>0</v>
      </c>
      <c r="BH109" s="107">
        <f>VLOOKUP(BC109,CENY!$B$11:$M$2005,12,FALSE)</f>
        <v>464.95</v>
      </c>
      <c r="BI109" s="107">
        <f t="shared" si="4"/>
        <v>0</v>
      </c>
    </row>
    <row r="110" spans="1:61">
      <c r="AZ110" s="294">
        <v>5</v>
      </c>
      <c r="BA110" s="294">
        <v>4</v>
      </c>
      <c r="BC110" s="22">
        <f>OBJ!B334</f>
        <v>9256899</v>
      </c>
      <c r="BD110" s="23" t="str">
        <f>VLOOKUP(BC110,CENY!$B$11:$G$1034,2,FALSE)</f>
        <v>QUADRO YOU PLNOVÝSUV 270 MM EB21 PUSH TO OPEN LEVÝ</v>
      </c>
      <c r="BE110" s="24">
        <f>VLOOKUP(BC110,CENY!$B$11:$G$1034,3,FALSE)</f>
        <v>20</v>
      </c>
      <c r="BF110" s="24"/>
      <c r="BG110" s="25">
        <f>IF((AY1+AY3)&gt;1,SUM(AY1:AY4)*AM26-1*AM26,SUM(AY1:AY4)*AM26)</f>
        <v>0</v>
      </c>
      <c r="BH110" s="107">
        <f>VLOOKUP(BC110,CENY!$B$11:$M$2005,12,FALSE)</f>
        <v>194.74</v>
      </c>
      <c r="BI110" s="107">
        <f t="shared" si="4"/>
        <v>0</v>
      </c>
    </row>
    <row r="111" spans="1:61">
      <c r="AZ111" s="294">
        <v>6</v>
      </c>
      <c r="BA111" s="294">
        <v>5</v>
      </c>
      <c r="BC111" s="22">
        <f>OBJ!B335</f>
        <v>9256900</v>
      </c>
      <c r="BD111" s="23" t="str">
        <f>VLOOKUP(BC111,CENY!$B$11:$G$1034,2,FALSE)</f>
        <v>QUADRO YOU PLNOVÝSUV 270 MM EB21 PUSH TO OPEN PRAVÝ</v>
      </c>
      <c r="BE111" s="24">
        <f>VLOOKUP(BC111,CENY!$B$11:$G$1034,3,FALSE)</f>
        <v>20</v>
      </c>
      <c r="BF111" s="24"/>
      <c r="BG111" s="25">
        <f>IF((AY1+AY3)&gt;1,SUM(AY1:AY4)*AO26-1*AO26,SUM(AY1:AY4)*AO26)</f>
        <v>0</v>
      </c>
      <c r="BH111" s="107">
        <f>VLOOKUP(BC111,CENY!$B$11:$M$2005,12,FALSE)</f>
        <v>194.74</v>
      </c>
      <c r="BI111" s="107">
        <f t="shared" si="4"/>
        <v>0</v>
      </c>
    </row>
    <row r="112" spans="1:61">
      <c r="AZ112" s="294">
        <v>7</v>
      </c>
      <c r="BA112" s="294">
        <v>5</v>
      </c>
      <c r="BC112" s="22">
        <f>OBJ!B336</f>
        <v>9256901</v>
      </c>
      <c r="BD112" s="23" t="str">
        <f>VLOOKUP(BC112,CENY!$B$11:$G$1034,2,FALSE)</f>
        <v>QUADRO YOU PLNOVÝSUV 300 MM EB21 PUSH TO OPEN LEVÝ</v>
      </c>
      <c r="BE112" s="24">
        <f>VLOOKUP(BC112,CENY!$B$11:$G$1034,3,FALSE)</f>
        <v>20</v>
      </c>
      <c r="BF112" s="24"/>
      <c r="BG112" s="25">
        <f>IF((AY1+AY3)&gt;1,SUM(AY1:AY4)*AO26-1*AO26,SUM(AY1:AY4)*AO26)</f>
        <v>0</v>
      </c>
      <c r="BH112" s="107">
        <f>VLOOKUP(BC112,CENY!$B$11:$M$2005,12,FALSE)</f>
        <v>195.11</v>
      </c>
      <c r="BI112" s="107">
        <f t="shared" si="4"/>
        <v>0</v>
      </c>
    </row>
    <row r="113" spans="52:61">
      <c r="AZ113" s="294">
        <v>8</v>
      </c>
      <c r="BA113" s="294">
        <v>5</v>
      </c>
      <c r="BC113" s="22">
        <f>OBJ!B337</f>
        <v>9256902</v>
      </c>
      <c r="BD113" s="23" t="str">
        <f>VLOOKUP(BC113,CENY!$B$11:$G$1034,2,FALSE)</f>
        <v>QUADRO YOU PLNOVÝSUV 300 MM EB21 PUSH TO OPEN PRAVÝ</v>
      </c>
      <c r="BE113" s="24">
        <f>VLOOKUP(BC113,CENY!$B$11:$G$1034,3,FALSE)</f>
        <v>20</v>
      </c>
      <c r="BF113" s="24"/>
      <c r="BG113" s="77">
        <f>AG$27</f>
        <v>0</v>
      </c>
      <c r="BH113" s="107">
        <f>VLOOKUP(BC113,CENY!$B$11:$M$2005,12,FALSE)</f>
        <v>195.11</v>
      </c>
      <c r="BI113" s="107">
        <f t="shared" si="4"/>
        <v>0</v>
      </c>
    </row>
    <row r="114" spans="52:61">
      <c r="BC114" s="22">
        <f>OBJ!B338</f>
        <v>9256905</v>
      </c>
      <c r="BD114" s="23" t="str">
        <f>VLOOKUP(BC114,CENY!$B$11:$G$1034,2,FALSE)</f>
        <v>QUADRO YOU PLNOVÝSUV 350 MM EB21 PUSH TO OPEN LEVÝ</v>
      </c>
      <c r="BE114" s="24">
        <f>VLOOKUP(BC114,CENY!$B$11:$G$1034,3,FALSE)</f>
        <v>20</v>
      </c>
      <c r="BF114" s="24"/>
      <c r="BG114" s="77">
        <f>AG$27</f>
        <v>0</v>
      </c>
      <c r="BH114" s="107">
        <f>VLOOKUP(BC114,CENY!$B$11:$M$2005,12,FALSE)</f>
        <v>198.85</v>
      </c>
      <c r="BI114" s="107">
        <f t="shared" si="4"/>
        <v>0</v>
      </c>
    </row>
    <row r="115" spans="52:61">
      <c r="BC115" s="22">
        <f>OBJ!B339</f>
        <v>9256906</v>
      </c>
      <c r="BD115" s="23" t="str">
        <f>VLOOKUP(BC115,CENY!$B$11:$G$1034,2,FALSE)</f>
        <v>QUADRO YOU PLNOVÝSUV 350 MM EB21 PUSH TO OPEN PRAVÝ</v>
      </c>
      <c r="BE115" s="24">
        <f>VLOOKUP(BC115,CENY!$B$11:$G$1034,3,FALSE)</f>
        <v>20</v>
      </c>
      <c r="BF115" s="24"/>
      <c r="BG115" s="25">
        <f>IF((AY1+AY3)&lt;2,SUM(AY1:AY4)*AI27,1*(AI26)+SUM(AY1:AY4)*AI27)</f>
        <v>0</v>
      </c>
      <c r="BH115" s="107">
        <f>VLOOKUP(BC115,CENY!$B$11:$M$2005,12,FALSE)</f>
        <v>198.85</v>
      </c>
      <c r="BI115" s="107">
        <f t="shared" si="4"/>
        <v>0</v>
      </c>
    </row>
    <row r="116" spans="52:61">
      <c r="BC116" s="22">
        <f>OBJ!B340</f>
        <v>9256909</v>
      </c>
      <c r="BD116" s="23" t="str">
        <f>VLOOKUP(BC116,CENY!$B$11:$G$1034,2,FALSE)</f>
        <v>QUADRO YOU PLNOVÝSUV 400 MM EB21 PUSH TO OPEN LEVÝ</v>
      </c>
      <c r="BE116" s="24">
        <f>VLOOKUP(BC116,CENY!$B$11:$G$1034,3,FALSE)</f>
        <v>20</v>
      </c>
      <c r="BF116" s="24"/>
      <c r="BG116" s="25">
        <f>IF((AY1+AY3)&lt;2,SUM(AY1:AY4)*AI27,1*(AI26)+SUM(AY1:AY4)*AI27)</f>
        <v>0</v>
      </c>
      <c r="BH116" s="107">
        <f>VLOOKUP(BC116,CENY!$B$11:$M$2005,12,FALSE)</f>
        <v>202.58</v>
      </c>
      <c r="BI116" s="107">
        <f t="shared" si="4"/>
        <v>0</v>
      </c>
    </row>
    <row r="117" spans="52:61">
      <c r="BC117" s="22">
        <f>OBJ!B341</f>
        <v>9256910</v>
      </c>
      <c r="BD117" s="23" t="str">
        <f>VLOOKUP(BC117,CENY!$B$11:$G$1034,2,FALSE)</f>
        <v>QUADRO YOU PLNOVÝSUV 400 MM EB21 PUSH TO OPEN PRAVÝ</v>
      </c>
      <c r="BE117" s="24">
        <f>VLOOKUP(BC117,CENY!$B$11:$G$1034,3,FALSE)</f>
        <v>20</v>
      </c>
      <c r="BF117" s="24"/>
      <c r="BG117" s="25">
        <f>IF((AY1+AY3)&lt;2,SUM(AY1:AY4)*AK27,1*(AK26)+SUM(AY1:AY4)*AK27)</f>
        <v>0</v>
      </c>
      <c r="BH117" s="107">
        <f>VLOOKUP(BC117,CENY!$B$11:$M$2005,12,FALSE)</f>
        <v>202.58</v>
      </c>
      <c r="BI117" s="107">
        <f t="shared" si="4"/>
        <v>0</v>
      </c>
    </row>
    <row r="118" spans="52:61">
      <c r="BC118" s="22">
        <f>OBJ!B342</f>
        <v>9256913</v>
      </c>
      <c r="BD118" s="23" t="str">
        <f>VLOOKUP(BC118,CENY!$B$11:$G$1034,2,FALSE)</f>
        <v>QUADRO YOU PLNOVÝSUV 450 MM EB21 PUSH TO OPEN LEVÝ</v>
      </c>
      <c r="BE118" s="24">
        <f>VLOOKUP(BC118,CENY!$B$11:$G$1034,3,FALSE)</f>
        <v>20</v>
      </c>
      <c r="BF118" s="24"/>
      <c r="BG118" s="25">
        <f>IF((AY1+AY3)&lt;2,SUM(AY1:AY4)*AK27,1*(AK26)+SUM(AY1:AY4)*AK27)</f>
        <v>0</v>
      </c>
      <c r="BH118" s="107">
        <f>VLOOKUP(BC118,CENY!$B$11:$M$2005,12,FALSE)</f>
        <v>206.32</v>
      </c>
      <c r="BI118" s="107">
        <f t="shared" si="4"/>
        <v>0</v>
      </c>
    </row>
    <row r="119" spans="52:61">
      <c r="BC119" s="22">
        <f>OBJ!B343</f>
        <v>9256914</v>
      </c>
      <c r="BD119" s="23" t="str">
        <f>VLOOKUP(BC119,CENY!$B$11:$G$1034,2,FALSE)</f>
        <v>QUADRO YOU PLNOVÝSUV 450 MM EB21 PUSH TO OPEN PRAVÝ</v>
      </c>
      <c r="BE119" s="24">
        <f>VLOOKUP(BC119,CENY!$B$11:$G$1034,3,FALSE)</f>
        <v>20</v>
      </c>
      <c r="BF119" s="24"/>
      <c r="BG119" s="25">
        <f>IF((AY1+AY3)&lt;2,SUM(AY1:AY4)*AM27,1*(AM26)+SUM(AY1:AY4)*AM27)</f>
        <v>0</v>
      </c>
      <c r="BH119" s="107">
        <f>VLOOKUP(BC119,CENY!$B$11:$M$2005,12,FALSE)</f>
        <v>206.32</v>
      </c>
      <c r="BI119" s="107">
        <f t="shared" si="4"/>
        <v>0</v>
      </c>
    </row>
    <row r="120" spans="52:61">
      <c r="BC120" s="22">
        <f>OBJ!B344</f>
        <v>9256917</v>
      </c>
      <c r="BD120" s="23" t="str">
        <f>VLOOKUP(BC120,CENY!$B$11:$G$1034,2,FALSE)</f>
        <v>QUADRO YOU PLNOVÝSUV 500 MM EB21 PUSH TO OPEN LEVÝ</v>
      </c>
      <c r="BE120" s="24">
        <f>VLOOKUP(BC120,CENY!$B$11:$G$1034,3,FALSE)</f>
        <v>20</v>
      </c>
      <c r="BF120" s="24"/>
      <c r="BG120" s="25">
        <f>IF((AY1+AY3)&lt;2,SUM(AY1:AY4)*AM27,1*(AM26)+SUM(AY1:AY4)*AM27)</f>
        <v>0</v>
      </c>
      <c r="BH120" s="107">
        <f>VLOOKUP(BC120,CENY!$B$11:$M$2005,12,FALSE)</f>
        <v>210.06</v>
      </c>
      <c r="BI120" s="107">
        <f t="shared" si="4"/>
        <v>0</v>
      </c>
    </row>
    <row r="121" spans="52:61">
      <c r="BC121" s="22">
        <f>OBJ!B345</f>
        <v>9256918</v>
      </c>
      <c r="BD121" s="23" t="str">
        <f>VLOOKUP(BC121,CENY!$B$11:$G$1034,2,FALSE)</f>
        <v>QUADRO YOU PLNOVÝSUV 500 MM EB21 PUSH TO OPEN PRAVÝ</v>
      </c>
      <c r="BE121" s="24">
        <f>VLOOKUP(BC121,CENY!$B$11:$G$1034,3,FALSE)</f>
        <v>20</v>
      </c>
      <c r="BF121" s="24"/>
      <c r="BG121" s="25">
        <f>IF((AY1+AY3)&lt;2,SUM(AY1:AY4)*AO27,1*(AO26)+SUM(AY1:AY4)*AO27)</f>
        <v>0</v>
      </c>
      <c r="BH121" s="107">
        <f>VLOOKUP(BC121,CENY!$B$11:$M$2005,12,FALSE)</f>
        <v>210.06</v>
      </c>
      <c r="BI121" s="107">
        <f t="shared" si="4"/>
        <v>0</v>
      </c>
    </row>
    <row r="122" spans="52:61">
      <c r="BC122" s="22">
        <f>OBJ!B346</f>
        <v>9256921</v>
      </c>
      <c r="BD122" s="23" t="str">
        <f>VLOOKUP(BC122,CENY!$B$11:$G$1034,2,FALSE)</f>
        <v>QUADRO YOU PLNOVÝSUV 550 MM EB21 PUSH TO OPEN LEVÝ</v>
      </c>
      <c r="BE122" s="24">
        <f>VLOOKUP(BC122,CENY!$B$11:$G$1034,3,FALSE)</f>
        <v>20</v>
      </c>
      <c r="BF122" s="24"/>
      <c r="BG122" s="25">
        <f>IF((AY1+AY3)&lt;2,SUM(AY1:AY4)*AO27,1*(AO26)+SUM(AY1:AY4)*AO27)</f>
        <v>0</v>
      </c>
      <c r="BH122" s="107">
        <f>VLOOKUP(BC122,CENY!$B$11:$M$2005,12,FALSE)</f>
        <v>216.78</v>
      </c>
      <c r="BI122" s="107">
        <f t="shared" si="4"/>
        <v>0</v>
      </c>
    </row>
    <row r="123" spans="52:61">
      <c r="BC123" s="22">
        <f>OBJ!B347</f>
        <v>9256922</v>
      </c>
      <c r="BD123" s="23" t="str">
        <f>VLOOKUP(BC123,CENY!$B$11:$G$1034,2,FALSE)</f>
        <v>QUADRO YOU PLNOVÝSUV 550 MM EB21 PUSH TO OPEN PRAVÝ</v>
      </c>
      <c r="BE123" s="24">
        <f>VLOOKUP(BC123,CENY!$B$11:$G$1034,3,FALSE)</f>
        <v>20</v>
      </c>
      <c r="BF123" s="24"/>
      <c r="BG123" s="25">
        <f>SUM(AY1:AY4)*AQ27</f>
        <v>0</v>
      </c>
      <c r="BH123" s="107">
        <f>VLOOKUP(BC123,CENY!$B$11:$M$2005,12,FALSE)</f>
        <v>216.78</v>
      </c>
      <c r="BI123" s="107">
        <f t="shared" si="4"/>
        <v>0</v>
      </c>
    </row>
    <row r="124" spans="52:61">
      <c r="BC124" s="22">
        <f>OBJ!B348</f>
        <v>9256925</v>
      </c>
      <c r="BD124" s="23" t="str">
        <f>VLOOKUP(BC124,CENY!$B$11:$G$1034,2,FALSE)</f>
        <v>QUADRO YOU PLNOVÝSUV 600 MM EB21 PUSH TO OPEN LEVÝ</v>
      </c>
      <c r="BE124" s="24">
        <f>VLOOKUP(BC124,CENY!$B$11:$G$1034,3,FALSE)</f>
        <v>20</v>
      </c>
      <c r="BF124" s="24"/>
      <c r="BG124" s="25">
        <f>SUM(AY1:AY4)*AQ27</f>
        <v>0</v>
      </c>
      <c r="BH124" s="107">
        <f>VLOOKUP(BC124,CENY!$B$11:$M$2005,12,FALSE)</f>
        <v>223.51</v>
      </c>
      <c r="BI124" s="107">
        <f t="shared" si="4"/>
        <v>0</v>
      </c>
    </row>
    <row r="125" spans="52:61">
      <c r="BC125" s="22"/>
      <c r="BD125" s="23"/>
      <c r="BE125" s="24"/>
      <c r="BF125" s="24"/>
      <c r="BG125" s="25"/>
      <c r="BH125" s="107"/>
      <c r="BI125" s="107"/>
    </row>
    <row r="126" spans="52:61">
      <c r="BC126" s="22"/>
      <c r="BD126" s="23"/>
      <c r="BE126" s="24"/>
      <c r="BF126" s="24"/>
      <c r="BG126" s="25"/>
      <c r="BH126" s="107"/>
      <c r="BI126" s="107"/>
    </row>
    <row r="127" spans="52:61">
      <c r="BC127" s="22"/>
      <c r="BD127" s="23"/>
      <c r="BE127" s="24"/>
      <c r="BF127" s="24"/>
      <c r="BG127" s="25"/>
      <c r="BH127" s="107"/>
      <c r="BI127" s="107" t="str">
        <f t="shared" ref="BI127:BI134" si="5">IF(BH127="","",BH127*BG127)</f>
        <v/>
      </c>
    </row>
    <row r="128" spans="52:61">
      <c r="BC128" s="22"/>
      <c r="BD128" s="23"/>
      <c r="BE128" s="24"/>
      <c r="BF128" s="24"/>
      <c r="BG128" s="25"/>
      <c r="BH128" s="107"/>
      <c r="BI128" s="107" t="str">
        <f t="shared" si="5"/>
        <v/>
      </c>
    </row>
    <row r="129" spans="55:61">
      <c r="BC129" s="22"/>
      <c r="BD129" s="23"/>
      <c r="BE129" s="24"/>
      <c r="BF129" s="24"/>
      <c r="BG129" s="25"/>
      <c r="BH129" s="107"/>
      <c r="BI129" s="107" t="str">
        <f t="shared" si="5"/>
        <v/>
      </c>
    </row>
    <row r="130" spans="55:61">
      <c r="BC130" s="22"/>
      <c r="BD130" s="23"/>
      <c r="BE130" s="24"/>
      <c r="BF130" s="24"/>
      <c r="BG130" s="25"/>
      <c r="BH130" s="107"/>
      <c r="BI130" s="107" t="str">
        <f t="shared" si="5"/>
        <v/>
      </c>
    </row>
    <row r="131" spans="55:61">
      <c r="BC131" s="22"/>
      <c r="BD131" s="23"/>
      <c r="BE131" s="24"/>
      <c r="BF131" s="24"/>
      <c r="BG131" s="25"/>
      <c r="BH131" s="107"/>
      <c r="BI131" s="107" t="str">
        <f t="shared" si="5"/>
        <v/>
      </c>
    </row>
    <row r="132" spans="55:61">
      <c r="BC132" s="22"/>
      <c r="BD132" s="23"/>
      <c r="BE132" s="24"/>
      <c r="BF132" s="24"/>
      <c r="BG132" s="25"/>
      <c r="BH132" s="107"/>
      <c r="BI132" s="107" t="str">
        <f t="shared" si="5"/>
        <v/>
      </c>
    </row>
    <row r="133" spans="55:61">
      <c r="BC133" s="22"/>
      <c r="BD133" s="23"/>
      <c r="BE133" s="24"/>
      <c r="BF133" s="24"/>
      <c r="BG133" s="25"/>
      <c r="BH133" s="107"/>
      <c r="BI133" s="107" t="str">
        <f t="shared" si="5"/>
        <v/>
      </c>
    </row>
    <row r="134" spans="55:61">
      <c r="BC134" s="22"/>
      <c r="BD134" s="23"/>
      <c r="BE134" s="24"/>
      <c r="BF134" s="24"/>
      <c r="BG134" s="25"/>
      <c r="BH134" s="107"/>
      <c r="BI134" s="107" t="str">
        <f t="shared" si="5"/>
        <v/>
      </c>
    </row>
    <row r="135" spans="55:61">
      <c r="BC135" s="22"/>
      <c r="BD135" s="23"/>
      <c r="BE135" s="24"/>
      <c r="BF135" s="24"/>
      <c r="BG135" s="25"/>
      <c r="BH135" s="107"/>
      <c r="BI135" s="107"/>
    </row>
    <row r="136" spans="55:61">
      <c r="BC136" s="22"/>
      <c r="BD136" s="23"/>
      <c r="BE136" s="24"/>
      <c r="BF136" s="24"/>
      <c r="BG136" s="25"/>
      <c r="BH136" s="107"/>
      <c r="BI136" s="107"/>
    </row>
    <row r="137" spans="55:61">
      <c r="BC137" s="22"/>
      <c r="BD137" s="23"/>
      <c r="BE137" s="24"/>
      <c r="BF137" s="24"/>
      <c r="BG137" s="25"/>
      <c r="BH137" s="107"/>
      <c r="BI137" s="107"/>
    </row>
    <row r="138" spans="55:61">
      <c r="BC138" s="22"/>
      <c r="BD138" s="23"/>
      <c r="BE138" s="24"/>
      <c r="BF138" s="24"/>
      <c r="BG138" s="25"/>
      <c r="BH138" s="107"/>
      <c r="BI138" s="107"/>
    </row>
    <row r="139" spans="55:61">
      <c r="BC139" s="22"/>
      <c r="BD139" s="23"/>
      <c r="BE139" s="24"/>
      <c r="BF139" s="24"/>
      <c r="BG139" s="25"/>
      <c r="BH139" s="107"/>
      <c r="BI139" s="107"/>
    </row>
    <row r="140" spans="55:61">
      <c r="BC140" s="22"/>
      <c r="BD140" s="23"/>
      <c r="BE140" s="24"/>
      <c r="BF140" s="24"/>
      <c r="BG140" s="25"/>
      <c r="BH140" s="107"/>
      <c r="BI140" s="107"/>
    </row>
    <row r="141" spans="55:61">
      <c r="BC141" s="22"/>
      <c r="BD141" s="23"/>
      <c r="BE141" s="24"/>
      <c r="BF141" s="24"/>
      <c r="BG141" s="25"/>
      <c r="BH141" s="107"/>
      <c r="BI141" s="107"/>
    </row>
    <row r="142" spans="55:61">
      <c r="BC142" s="22"/>
      <c r="BD142" s="23"/>
      <c r="BE142" s="24"/>
      <c r="BF142" s="24"/>
      <c r="BG142" s="25"/>
      <c r="BH142" s="107"/>
      <c r="BI142" s="107"/>
    </row>
    <row r="143" spans="55:61">
      <c r="BC143" s="22"/>
      <c r="BD143" s="23"/>
      <c r="BE143" s="24"/>
      <c r="BF143" s="24"/>
      <c r="BG143" s="25"/>
      <c r="BH143" s="107"/>
      <c r="BI143" s="107"/>
    </row>
    <row r="144" spans="55:61">
      <c r="BC144" s="22"/>
      <c r="BD144" s="23"/>
      <c r="BE144" s="24"/>
      <c r="BF144" s="24"/>
      <c r="BG144" s="25"/>
      <c r="BH144" s="107"/>
      <c r="BI144" s="107"/>
    </row>
    <row r="145" spans="55:61">
      <c r="BC145" s="22"/>
      <c r="BD145" s="23"/>
      <c r="BE145" s="24"/>
      <c r="BF145" s="24"/>
      <c r="BG145" s="25"/>
      <c r="BH145" s="107"/>
      <c r="BI145" s="107"/>
    </row>
    <row r="146" spans="55:61">
      <c r="BC146" s="22"/>
      <c r="BD146" s="23"/>
      <c r="BE146" s="24"/>
      <c r="BF146" s="24"/>
      <c r="BG146" s="25"/>
      <c r="BH146" s="107"/>
      <c r="BI146" s="107"/>
    </row>
    <row r="147" spans="55:61">
      <c r="BC147" s="22"/>
      <c r="BD147" s="23"/>
      <c r="BE147" s="24"/>
      <c r="BF147" s="24"/>
      <c r="BG147" s="25"/>
      <c r="BH147" s="107"/>
      <c r="BI147" s="107"/>
    </row>
    <row r="148" spans="55:61">
      <c r="BC148" s="22"/>
      <c r="BD148" s="23"/>
      <c r="BE148" s="24"/>
      <c r="BF148" s="24"/>
      <c r="BG148" s="25"/>
      <c r="BH148" s="107"/>
      <c r="BI148" s="107"/>
    </row>
    <row r="149" spans="55:61">
      <c r="BC149" s="22"/>
      <c r="BD149" s="23"/>
      <c r="BE149" s="24"/>
      <c r="BF149" s="24"/>
      <c r="BG149" s="25"/>
      <c r="BH149" s="107"/>
      <c r="BI149" s="107"/>
    </row>
    <row r="150" spans="55:61">
      <c r="BC150" s="22"/>
      <c r="BD150" s="23"/>
      <c r="BE150" s="24"/>
      <c r="BF150" s="24"/>
      <c r="BG150" s="25"/>
      <c r="BH150" s="107"/>
      <c r="BI150" s="107"/>
    </row>
    <row r="151" spans="55:61">
      <c r="BC151" s="22"/>
      <c r="BD151" s="23"/>
      <c r="BE151" s="24"/>
      <c r="BF151" s="24"/>
      <c r="BG151" s="25"/>
      <c r="BH151" s="107"/>
      <c r="BI151" s="107"/>
    </row>
    <row r="152" spans="55:61">
      <c r="BC152" s="22"/>
      <c r="BD152" s="23"/>
      <c r="BE152" s="24"/>
      <c r="BF152" s="24"/>
      <c r="BG152" s="25"/>
      <c r="BH152" s="107"/>
      <c r="BI152" s="107"/>
    </row>
    <row r="153" spans="55:61">
      <c r="BC153" s="22"/>
      <c r="BD153" s="23"/>
      <c r="BE153" s="24"/>
      <c r="BF153" s="24"/>
      <c r="BG153" s="25"/>
      <c r="BH153" s="107"/>
      <c r="BI153" s="107"/>
    </row>
    <row r="154" spans="55:61">
      <c r="BC154" s="22"/>
      <c r="BD154" s="23"/>
      <c r="BE154" s="24"/>
      <c r="BF154" s="24"/>
      <c r="BG154" s="25"/>
      <c r="BH154" s="107"/>
      <c r="BI154" s="107"/>
    </row>
    <row r="155" spans="55:61">
      <c r="BC155" s="22"/>
      <c r="BD155" s="23"/>
      <c r="BE155" s="24"/>
      <c r="BF155" s="24"/>
      <c r="BG155" s="25"/>
      <c r="BH155" s="107"/>
      <c r="BI155" s="107"/>
    </row>
    <row r="156" spans="55:61">
      <c r="BC156" s="22"/>
      <c r="BD156" s="23"/>
      <c r="BE156" s="24"/>
      <c r="BF156" s="24"/>
      <c r="BG156" s="25"/>
      <c r="BH156" s="107"/>
      <c r="BI156" s="107"/>
    </row>
    <row r="157" spans="55:61">
      <c r="BC157" s="22"/>
      <c r="BD157" s="23"/>
      <c r="BE157" s="24"/>
      <c r="BF157" s="24"/>
      <c r="BG157" s="25"/>
      <c r="BH157" s="107"/>
      <c r="BI157" s="107"/>
    </row>
    <row r="158" spans="55:61">
      <c r="BC158" s="22"/>
      <c r="BD158" s="23"/>
      <c r="BE158" s="24"/>
      <c r="BF158" s="24"/>
      <c r="BG158" s="25"/>
      <c r="BH158" s="107"/>
      <c r="BI158" s="107"/>
    </row>
    <row r="159" spans="55:61">
      <c r="BC159" s="22"/>
      <c r="BD159" s="23"/>
      <c r="BE159" s="24"/>
      <c r="BF159" s="24"/>
      <c r="BG159" s="25"/>
      <c r="BH159" s="107"/>
      <c r="BI159" s="107"/>
    </row>
    <row r="160" spans="55:61">
      <c r="BC160" s="22"/>
      <c r="BD160" s="23"/>
      <c r="BE160" s="24"/>
      <c r="BF160" s="24"/>
      <c r="BG160" s="25"/>
      <c r="BH160" s="107"/>
      <c r="BI160" s="107"/>
    </row>
  </sheetData>
  <sheetProtection password="DD97" sheet="1"/>
  <mergeCells count="174">
    <mergeCell ref="AC84:AD84"/>
    <mergeCell ref="AE84:AF84"/>
    <mergeCell ref="AA83:AB83"/>
    <mergeCell ref="AC83:AD83"/>
    <mergeCell ref="AE83:AF83"/>
    <mergeCell ref="O84:P84"/>
    <mergeCell ref="Q84:R84"/>
    <mergeCell ref="S84:T84"/>
    <mergeCell ref="U84:V84"/>
    <mergeCell ref="W84:X84"/>
    <mergeCell ref="AA84:AB84"/>
    <mergeCell ref="AA67:AE67"/>
    <mergeCell ref="AI67:AM67"/>
    <mergeCell ref="AO67:AR67"/>
    <mergeCell ref="O82:AF82"/>
    <mergeCell ref="O83:P83"/>
    <mergeCell ref="Q83:R83"/>
    <mergeCell ref="S83:T83"/>
    <mergeCell ref="U83:V83"/>
    <mergeCell ref="W83:X83"/>
    <mergeCell ref="A66:A105"/>
    <mergeCell ref="B67:E67"/>
    <mergeCell ref="G67:K67"/>
    <mergeCell ref="O67:S67"/>
    <mergeCell ref="U67:Y67"/>
    <mergeCell ref="W27:X27"/>
    <mergeCell ref="Y27:Z27"/>
    <mergeCell ref="Y83:Z83"/>
    <mergeCell ref="Y84:Z84"/>
    <mergeCell ref="M84:N84"/>
    <mergeCell ref="O30:S31"/>
    <mergeCell ref="AQ26:AR26"/>
    <mergeCell ref="B27:G27"/>
    <mergeCell ref="H27:L27"/>
    <mergeCell ref="M27:N27"/>
    <mergeCell ref="O27:P27"/>
    <mergeCell ref="Q27:R27"/>
    <mergeCell ref="S27:T27"/>
    <mergeCell ref="U27:V27"/>
    <mergeCell ref="Y26:Z26"/>
    <mergeCell ref="AA26:AB26"/>
    <mergeCell ref="AE26:AF26"/>
    <mergeCell ref="AG26:AH26"/>
    <mergeCell ref="AI26:AJ26"/>
    <mergeCell ref="AK26:AL26"/>
    <mergeCell ref="AK27:AL27"/>
    <mergeCell ref="AM27:AN27"/>
    <mergeCell ref="AO27:AP27"/>
    <mergeCell ref="AQ27:AR27"/>
    <mergeCell ref="AA27:AB27"/>
    <mergeCell ref="AE27:AF27"/>
    <mergeCell ref="AG27:AH27"/>
    <mergeCell ref="AI27:AJ27"/>
    <mergeCell ref="AO25:AP25"/>
    <mergeCell ref="AQ25:AR25"/>
    <mergeCell ref="B26:G26"/>
    <mergeCell ref="H26:L26"/>
    <mergeCell ref="M26:N26"/>
    <mergeCell ref="O26:P26"/>
    <mergeCell ref="Q26:R26"/>
    <mergeCell ref="S26:T26"/>
    <mergeCell ref="U26:V26"/>
    <mergeCell ref="W26:X26"/>
    <mergeCell ref="AA25:AB25"/>
    <mergeCell ref="AE25:AF25"/>
    <mergeCell ref="AG25:AH25"/>
    <mergeCell ref="AI25:AJ25"/>
    <mergeCell ref="AK25:AL25"/>
    <mergeCell ref="AM25:AN25"/>
    <mergeCell ref="O25:P25"/>
    <mergeCell ref="Q25:R25"/>
    <mergeCell ref="S25:T25"/>
    <mergeCell ref="U25:V25"/>
    <mergeCell ref="W25:X25"/>
    <mergeCell ref="Y25:Z25"/>
    <mergeCell ref="AM26:AN26"/>
    <mergeCell ref="AO26:AP26"/>
    <mergeCell ref="O24:AB24"/>
    <mergeCell ref="AE24:AR24"/>
    <mergeCell ref="U21:V21"/>
    <mergeCell ref="W21:X21"/>
    <mergeCell ref="Y21:Z21"/>
    <mergeCell ref="AA21:AB21"/>
    <mergeCell ref="AE21:AF21"/>
    <mergeCell ref="AG21:AH21"/>
    <mergeCell ref="AO20:AP20"/>
    <mergeCell ref="AE20:AF20"/>
    <mergeCell ref="AG20:AH20"/>
    <mergeCell ref="AI20:AJ20"/>
    <mergeCell ref="AO21:AP21"/>
    <mergeCell ref="AQ21:AR21"/>
    <mergeCell ref="B21:G21"/>
    <mergeCell ref="H21:L21"/>
    <mergeCell ref="M21:N21"/>
    <mergeCell ref="O21:P21"/>
    <mergeCell ref="Q21:R21"/>
    <mergeCell ref="S21:T21"/>
    <mergeCell ref="AM19:AN19"/>
    <mergeCell ref="AO19:AP19"/>
    <mergeCell ref="AQ19:AR19"/>
    <mergeCell ref="AK19:AL19"/>
    <mergeCell ref="AI21:AJ21"/>
    <mergeCell ref="AK21:AL21"/>
    <mergeCell ref="AM21:AN21"/>
    <mergeCell ref="AQ20:AR20"/>
    <mergeCell ref="AK20:AL20"/>
    <mergeCell ref="AM20:AN20"/>
    <mergeCell ref="B20:G20"/>
    <mergeCell ref="H20:L20"/>
    <mergeCell ref="M20:N20"/>
    <mergeCell ref="O20:P20"/>
    <mergeCell ref="Q20:R20"/>
    <mergeCell ref="S20:T20"/>
    <mergeCell ref="U20:V20"/>
    <mergeCell ref="Y19:Z19"/>
    <mergeCell ref="AE19:AF19"/>
    <mergeCell ref="AG19:AH19"/>
    <mergeCell ref="AI19:AJ19"/>
    <mergeCell ref="W20:X20"/>
    <mergeCell ref="Y20:Z20"/>
    <mergeCell ref="AA20:AB20"/>
    <mergeCell ref="AO18:AP18"/>
    <mergeCell ref="AQ18:AR18"/>
    <mergeCell ref="AE18:AF18"/>
    <mergeCell ref="AG18:AH18"/>
    <mergeCell ref="AI18:AJ18"/>
    <mergeCell ref="AK18:AL18"/>
    <mergeCell ref="AM18:AN18"/>
    <mergeCell ref="B19:G19"/>
    <mergeCell ref="H19:L19"/>
    <mergeCell ref="M19:N19"/>
    <mergeCell ref="O19:P19"/>
    <mergeCell ref="Q19:R19"/>
    <mergeCell ref="S19:T19"/>
    <mergeCell ref="U19:V19"/>
    <mergeCell ref="W19:X19"/>
    <mergeCell ref="AA18:AB18"/>
    <mergeCell ref="O18:P18"/>
    <mergeCell ref="Q18:R18"/>
    <mergeCell ref="S18:T18"/>
    <mergeCell ref="U18:V18"/>
    <mergeCell ref="W18:X18"/>
    <mergeCell ref="Y18:Z18"/>
    <mergeCell ref="AA19:AB19"/>
    <mergeCell ref="B13:E13"/>
    <mergeCell ref="F13:I13"/>
    <mergeCell ref="J13:K13"/>
    <mergeCell ref="AP15:AQ15"/>
    <mergeCell ref="O17:AB17"/>
    <mergeCell ref="AE17:AR17"/>
    <mergeCell ref="B10:E10"/>
    <mergeCell ref="F10:K10"/>
    <mergeCell ref="B11:E11"/>
    <mergeCell ref="F11:I11"/>
    <mergeCell ref="J11:K11"/>
    <mergeCell ref="B12:E12"/>
    <mergeCell ref="F12:I12"/>
    <mergeCell ref="J12:K12"/>
    <mergeCell ref="AA2:AE2"/>
    <mergeCell ref="B8:E8"/>
    <mergeCell ref="F8:K8"/>
    <mergeCell ref="B9:E9"/>
    <mergeCell ref="F9:K9"/>
    <mergeCell ref="AP9:AQ9"/>
    <mergeCell ref="AI2:AM2"/>
    <mergeCell ref="AO2:AR2"/>
    <mergeCell ref="B6:E6"/>
    <mergeCell ref="F6:K6"/>
    <mergeCell ref="B7:E7"/>
    <mergeCell ref="F7:K7"/>
    <mergeCell ref="B2:E2"/>
    <mergeCell ref="G2:K2"/>
    <mergeCell ref="O2:S2"/>
    <mergeCell ref="U2:Y2"/>
  </mergeCells>
  <conditionalFormatting sqref="BG5:BG160 AY5:AY100">
    <cfRule type="cellIs" dxfId="688" priority="2" stopIfTrue="1" operator="equal">
      <formula>0</formula>
    </cfRule>
  </conditionalFormatting>
  <conditionalFormatting sqref="AR87">
    <cfRule type="expression" dxfId="687" priority="1" stopIfTrue="1">
      <formula>$AV$102=AR87</formula>
    </cfRule>
  </conditionalFormatting>
  <hyperlinks>
    <hyperlink ref="O2:S2" location="MENU!A5" display="MENU!A5"/>
    <hyperlink ref="M69" location="MENU!A1" display="MENU!A1"/>
    <hyperlink ref="B67:E67" location="'potr-ot-R'!A1" display="'potr-ot-R'!A1"/>
    <hyperlink ref="O30:S31" location="'potr-ot-R'!A66" display="'potr-ot-R'!A66"/>
  </hyperlink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  <ignoredErrors>
    <ignoredError sqref="F11:K13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rgb="FFFFFF00"/>
  </sheetPr>
  <dimension ref="A1:BK135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1230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SUM(BB5:BB990)</f>
        <v>0</v>
      </c>
      <c r="BD4" s="105" t="s">
        <v>40</v>
      </c>
      <c r="BK4" s="444">
        <f>SUM(BK5:BK985)</f>
        <v>0</v>
      </c>
    </row>
    <row r="5" spans="1:63" ht="14.4" customHeight="1">
      <c r="AU5" s="441">
        <f>OBJ!B39</f>
        <v>9255244</v>
      </c>
      <c r="AV5" s="23" t="str">
        <f>VLOOKUP(AU5,CENY!$B$11:$G$1034,2,FALSE)</f>
        <v>AVANTECH YOU BOKY V SADĚ V101 MM NL270 MM STŘÍBRNÁ</v>
      </c>
      <c r="AW5" s="24">
        <f>VLOOKUP(AU5,CENY!$B$11:$G$1034,3,FALSE)</f>
        <v>1</v>
      </c>
      <c r="AX5" s="499">
        <v>4</v>
      </c>
      <c r="AY5" s="25">
        <f>O19+O20+O27+O28+O30</f>
        <v>0</v>
      </c>
      <c r="AZ5" s="451">
        <f>IF(AY5="","",IF($AW$4=1,AY5,0))</f>
        <v>0</v>
      </c>
      <c r="BA5" s="107">
        <f>VLOOKUP(AU5,CENY!$B$11:$M$2005,12,FALSE)</f>
        <v>561.98</v>
      </c>
      <c r="BB5" s="107">
        <f t="shared" ref="BB5:BB66" si="0">IF(BA5="","",BA5*AY5)</f>
        <v>0</v>
      </c>
      <c r="BD5" s="441">
        <f>OBJ!B50</f>
        <v>9255008</v>
      </c>
      <c r="BE5" s="23" t="str">
        <f>VLOOKUP(BD5,CENY!$B$11:$G$1034,2,FALSE)</f>
        <v>AVANTECH YOU BOK V101 MM NL270 MM STŘÍBRNÝ LEVÝ</v>
      </c>
      <c r="BF5" s="24">
        <f>VLOOKUP(BD5,CENY!$B$11:$G$1034,3,FALSE)</f>
        <v>20</v>
      </c>
      <c r="BG5" s="498"/>
      <c r="BH5" s="25">
        <f>AY5</f>
        <v>0</v>
      </c>
      <c r="BI5" s="451">
        <f>IF(BH5="","",IF($AW$4=0,BH5,0))</f>
        <v>0</v>
      </c>
      <c r="BJ5" s="107">
        <f>VLOOKUP(BD5,CENY!$B$11:$M$2005,12,FALSE)</f>
        <v>177.84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389</v>
      </c>
      <c r="G6" s="554"/>
      <c r="H6" s="554"/>
      <c r="I6" s="554"/>
      <c r="J6" s="554"/>
      <c r="K6" s="554"/>
      <c r="AU6" s="441">
        <f>OBJ!B40</f>
        <v>9255245</v>
      </c>
      <c r="AV6" s="23" t="str">
        <f>VLOOKUP(AU6,CENY!$B$11:$G$1034,2,FALSE)</f>
        <v>AVANTECH YOU BOKY V SADĚ V101 MM NL300 MM STŘÍBRNÁ</v>
      </c>
      <c r="AW6" s="24">
        <f>VLOOKUP(AU6,CENY!$B$11:$G$1034,3,FALSE)</f>
        <v>1</v>
      </c>
      <c r="AX6" s="499">
        <v>4</v>
      </c>
      <c r="AY6" s="25">
        <f>Q19+Q20+Q27+Q28+Q30</f>
        <v>0</v>
      </c>
      <c r="AZ6" s="451">
        <f t="shared" ref="AZ6:AZ67" si="1">IF(AY6="","",IF($AW$4=1,AY6,0))</f>
        <v>0</v>
      </c>
      <c r="BA6" s="107">
        <f>VLOOKUP(AU6,CENY!$B$11:$M$2005,12,FALSE)</f>
        <v>566.15</v>
      </c>
      <c r="BB6" s="107">
        <f t="shared" si="0"/>
        <v>0</v>
      </c>
      <c r="BD6" s="441">
        <f>OBJ!B51</f>
        <v>9255009</v>
      </c>
      <c r="BE6" s="23" t="str">
        <f>VLOOKUP(BD6,CENY!$B$11:$G$1034,2,FALSE)</f>
        <v>AVANTECH YOU BOK V101 MM NL270 MM STŘÍBRNÝ PRAVÝ</v>
      </c>
      <c r="BF6" s="24">
        <f>VLOOKUP(BD6,CENY!$B$11:$G$1034,3,FALSE)</f>
        <v>20</v>
      </c>
      <c r="BG6" s="498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177.84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OBJ!B41</f>
        <v>9255246</v>
      </c>
      <c r="AV7" s="23" t="str">
        <f>VLOOKUP(AU7,CENY!$B$11:$G$1034,2,FALSE)</f>
        <v>AVANTECH YOU BOKY V SADĚ V101 MM NL350 MM STŘÍBRNÁ</v>
      </c>
      <c r="AW7" s="24">
        <f>VLOOKUP(AU7,CENY!$B$11:$G$1034,3,FALSE)</f>
        <v>1</v>
      </c>
      <c r="AX7" s="499">
        <v>6</v>
      </c>
      <c r="AY7" s="25">
        <f>S19+S20+S27+S28+S30</f>
        <v>0</v>
      </c>
      <c r="AZ7" s="451">
        <f t="shared" si="1"/>
        <v>0</v>
      </c>
      <c r="BA7" s="107">
        <f>VLOOKUP(AU7,CENY!$B$11:$M$2005,12,FALSE)</f>
        <v>573.11</v>
      </c>
      <c r="BB7" s="107">
        <f t="shared" si="0"/>
        <v>0</v>
      </c>
      <c r="BD7" s="441">
        <f>OBJ!B52</f>
        <v>9255010</v>
      </c>
      <c r="BE7" s="23" t="str">
        <f>VLOOKUP(BD7,CENY!$B$11:$G$1034,2,FALSE)</f>
        <v>AVANTECH YOU BOK V101 MM NL300 MM STŘÍBRNÝ LEVÝ</v>
      </c>
      <c r="BF7" s="24">
        <f>VLOOKUP(BD7,CENY!$B$11:$G$1034,3,FALSE)</f>
        <v>20</v>
      </c>
      <c r="BG7" s="498"/>
      <c r="BH7" s="25">
        <f>AY6</f>
        <v>0</v>
      </c>
      <c r="BI7" s="451">
        <f t="shared" si="2"/>
        <v>0</v>
      </c>
      <c r="BJ7" s="107">
        <f>VLOOKUP(BD7,CENY!$B$11:$M$2005,12,FALSE)</f>
        <v>179.82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OBJ!B42</f>
        <v>9255247</v>
      </c>
      <c r="AV8" s="23" t="str">
        <f>VLOOKUP(AU8,CENY!$B$11:$G$1034,2,FALSE)</f>
        <v>AVANTECH YOU BOKY V SADĚ V101 MM NL400 MM STŘÍBRNÁ</v>
      </c>
      <c r="AW8" s="24">
        <f>VLOOKUP(AU8,CENY!$B$11:$G$1034,3,FALSE)</f>
        <v>1</v>
      </c>
      <c r="AX8" s="499">
        <v>6</v>
      </c>
      <c r="AY8" s="25">
        <f>U20+U28+U30</f>
        <v>0</v>
      </c>
      <c r="AZ8" s="451">
        <f t="shared" si="1"/>
        <v>0</v>
      </c>
      <c r="BA8" s="107">
        <f>VLOOKUP(AU8,CENY!$B$11:$M$2005,12,FALSE)</f>
        <v>580.07000000000005</v>
      </c>
      <c r="BB8" s="107">
        <f t="shared" si="0"/>
        <v>0</v>
      </c>
      <c r="BD8" s="441">
        <f>OBJ!B53</f>
        <v>9255011</v>
      </c>
      <c r="BE8" s="23" t="str">
        <f>VLOOKUP(BD8,CENY!$B$11:$G$1034,2,FALSE)</f>
        <v>AVANTECH YOU BOK V101 MM NL300 MM STŘÍBRNÝ PRAVÝ</v>
      </c>
      <c r="BF8" s="24">
        <f>VLOOKUP(BD8,CENY!$B$11:$G$1034,3,FALSE)</f>
        <v>20</v>
      </c>
      <c r="BG8" s="498"/>
      <c r="BH8" s="25">
        <f>AY6</f>
        <v>0</v>
      </c>
      <c r="BI8" s="451">
        <f t="shared" si="2"/>
        <v>0</v>
      </c>
      <c r="BJ8" s="107">
        <f>VLOOKUP(BD8,CENY!$B$11:$M$2005,12,FALSE)</f>
        <v>179.82</v>
      </c>
      <c r="BK8" s="107">
        <f t="shared" si="3"/>
        <v>0</v>
      </c>
    </row>
    <row r="9" spans="1:63" ht="14.4" customHeight="1">
      <c r="B9" s="555"/>
      <c r="C9" s="563"/>
      <c r="D9" s="563"/>
      <c r="E9" s="564"/>
      <c r="F9" s="565"/>
      <c r="G9" s="566"/>
      <c r="H9" s="566"/>
      <c r="I9" s="566"/>
      <c r="J9" s="566"/>
      <c r="K9" s="567"/>
      <c r="AU9" s="441">
        <f>OBJ!B43</f>
        <v>9255248</v>
      </c>
      <c r="AV9" s="23" t="str">
        <f>VLOOKUP(AU9,CENY!$B$11:$G$1034,2,FALSE)</f>
        <v>AVANTECH YOU BOKY V SADĚ V101 MM NL450 MM STŘÍBRNÁ</v>
      </c>
      <c r="AW9" s="24">
        <f>VLOOKUP(AU9,CENY!$B$11:$G$1034,3,FALSE)</f>
        <v>1</v>
      </c>
      <c r="AX9" s="499">
        <v>6</v>
      </c>
      <c r="AY9" s="25">
        <f>W20+W22+W28+W30</f>
        <v>0</v>
      </c>
      <c r="AZ9" s="451">
        <f t="shared" si="1"/>
        <v>0</v>
      </c>
      <c r="BA9" s="107">
        <f>VLOOKUP(AU9,CENY!$B$11:$M$2005,12,FALSE)</f>
        <v>587.04</v>
      </c>
      <c r="BB9" s="107">
        <f t="shared" si="0"/>
        <v>0</v>
      </c>
      <c r="BD9" s="441">
        <f>OBJ!B54</f>
        <v>9255012</v>
      </c>
      <c r="BE9" s="23" t="str">
        <f>VLOOKUP(BD9,CENY!$B$11:$G$1034,2,FALSE)</f>
        <v>AVANTECH YOU BOK V101 MM NL350 MM STŘÍBRNÝ LEVÝ</v>
      </c>
      <c r="BF9" s="24">
        <f>VLOOKUP(BD9,CENY!$B$11:$G$1034,3,FALSE)</f>
        <v>20</v>
      </c>
      <c r="BG9" s="498"/>
      <c r="BH9" s="25">
        <f>AY7</f>
        <v>0</v>
      </c>
      <c r="BI9" s="451">
        <f t="shared" si="2"/>
        <v>0</v>
      </c>
      <c r="BJ9" s="107">
        <f>VLOOKUP(BD9,CENY!$B$11:$M$2005,12,FALSE)</f>
        <v>183.13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OBJ!B44</f>
        <v>9255249</v>
      </c>
      <c r="AV10" s="23" t="str">
        <f>VLOOKUP(AU10,CENY!$B$11:$G$1034,2,FALSE)</f>
        <v>AVANTECH YOU BOKY V SADĚ V101 MM NL500 MM STŘÍBRNÁ</v>
      </c>
      <c r="AW10" s="24">
        <f>VLOOKUP(AU10,CENY!$B$11:$G$1034,3,FALSE)</f>
        <v>1</v>
      </c>
      <c r="AX10" s="499">
        <v>8</v>
      </c>
      <c r="AY10" s="25">
        <f>Y20+Y22+Y28+Y30</f>
        <v>0</v>
      </c>
      <c r="AZ10" s="451">
        <f t="shared" si="1"/>
        <v>0</v>
      </c>
      <c r="BA10" s="107">
        <f>VLOOKUP(AU10,CENY!$B$11:$M$2005,12,FALSE)</f>
        <v>594</v>
      </c>
      <c r="BB10" s="107">
        <f t="shared" si="0"/>
        <v>0</v>
      </c>
      <c r="BD10" s="441">
        <f>OBJ!B55</f>
        <v>9255013</v>
      </c>
      <c r="BE10" s="23" t="str">
        <f>VLOOKUP(BD10,CENY!$B$11:$G$1034,2,FALSE)</f>
        <v>AVANTECH YOU BOK V101 MM NL350 MM STŘÍBRNÝ PRAVÝ</v>
      </c>
      <c r="BF10" s="24">
        <f>VLOOKUP(BD10,CENY!$B$11:$G$1034,3,FALSE)</f>
        <v>20</v>
      </c>
      <c r="BG10" s="498"/>
      <c r="BH10" s="25">
        <f>AY7</f>
        <v>0</v>
      </c>
      <c r="BI10" s="451">
        <f t="shared" si="2"/>
        <v>0</v>
      </c>
      <c r="BJ10" s="107">
        <f>VLOOKUP(BD10,CENY!$B$11:$M$2005,12,FALSE)</f>
        <v>183.13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OBJ!B45</f>
        <v>9255250</v>
      </c>
      <c r="AV11" s="23" t="str">
        <f>VLOOKUP(AU11,CENY!$B$11:$G$1034,2,FALSE)</f>
        <v>AVANTECH YOU BOKY V SADĚ V101 MM NL550 MM STŘÍBRNÁ</v>
      </c>
      <c r="AW11" s="24">
        <f>VLOOKUP(AU11,CENY!$B$11:$G$1034,3,FALSE)</f>
        <v>1</v>
      </c>
      <c r="AX11" s="499">
        <v>8</v>
      </c>
      <c r="AY11" s="25">
        <f>AA20+AA22+AA28+AA30</f>
        <v>0</v>
      </c>
      <c r="AZ11" s="451">
        <f t="shared" si="1"/>
        <v>0</v>
      </c>
      <c r="BA11" s="107">
        <f>VLOOKUP(AU11,CENY!$B$11:$M$2005,12,FALSE)</f>
        <v>600.96</v>
      </c>
      <c r="BB11" s="107">
        <f t="shared" si="0"/>
        <v>0</v>
      </c>
      <c r="BD11" s="441">
        <f>OBJ!B56</f>
        <v>9255014</v>
      </c>
      <c r="BE11" s="23" t="str">
        <f>VLOOKUP(BD11,CENY!$B$11:$G$1034,2,FALSE)</f>
        <v>AVANTECH YOU BOK V101 MM NL400 MM STŘÍBRNÝ LEVÝ</v>
      </c>
      <c r="BF11" s="24">
        <f>VLOOKUP(BD11,CENY!$B$11:$G$1034,3,FALSE)</f>
        <v>20</v>
      </c>
      <c r="BG11" s="498"/>
      <c r="BH11" s="25">
        <f>AY8</f>
        <v>0</v>
      </c>
      <c r="BI11" s="451">
        <f t="shared" si="2"/>
        <v>0</v>
      </c>
      <c r="BJ11" s="107">
        <f>VLOOKUP(BD11,CENY!$B$11:$M$2005,12,FALSE)</f>
        <v>186.44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6"/>
      <c r="G12" s="557"/>
      <c r="H12" s="557"/>
      <c r="I12" s="557"/>
      <c r="J12" s="558"/>
      <c r="K12" s="559"/>
      <c r="AU12" s="441">
        <f>OBJ!B46</f>
        <v>9255251</v>
      </c>
      <c r="AV12" s="23" t="str">
        <f>VLOOKUP(AU12,CENY!$B$11:$G$1034,2,FALSE)</f>
        <v>AVANTECH YOU BOKY V SADĚ V101 MM NL600 MM STŘÍBRNÁ</v>
      </c>
      <c r="AW12" s="24">
        <f>VLOOKUP(AU12,CENY!$B$11:$G$1034,3,FALSE)</f>
        <v>1</v>
      </c>
      <c r="AX12" s="499">
        <v>8</v>
      </c>
      <c r="AY12" s="25">
        <f>AC20+AC22+AC28+AC30</f>
        <v>0</v>
      </c>
      <c r="AZ12" s="451">
        <f t="shared" si="1"/>
        <v>0</v>
      </c>
      <c r="BA12" s="107">
        <f>VLOOKUP(AU12,CENY!$B$11:$M$2005,12,FALSE)</f>
        <v>611.46</v>
      </c>
      <c r="BB12" s="107">
        <f t="shared" si="0"/>
        <v>0</v>
      </c>
      <c r="BD12" s="441">
        <f>OBJ!B57</f>
        <v>9255015</v>
      </c>
      <c r="BE12" s="23" t="str">
        <f>VLOOKUP(BD12,CENY!$B$11:$G$1034,2,FALSE)</f>
        <v>AVANTECH YOU BOK V101 MM NL400 MM STŘÍBRNÝ PRAVÝ</v>
      </c>
      <c r="BF12" s="24">
        <f>VLOOKUP(BD12,CENY!$B$11:$G$1034,3,FALSE)</f>
        <v>20</v>
      </c>
      <c r="BG12" s="498"/>
      <c r="BH12" s="25">
        <f>AY8</f>
        <v>0</v>
      </c>
      <c r="BI12" s="451">
        <f t="shared" si="2"/>
        <v>0</v>
      </c>
      <c r="BJ12" s="107">
        <f>VLOOKUP(BD12,CENY!$B$11:$M$2005,12,FALSE)</f>
        <v>186.44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OBJ!B47</f>
        <v>9255252</v>
      </c>
      <c r="AV13" s="23" t="str">
        <f>VLOOKUP(AU13,CENY!$B$11:$G$1034,2,FALSE)</f>
        <v>AVANTECH YOU BOKY V SADĚ V101 MM NL650 MM STŘÍBRNÁ</v>
      </c>
      <c r="AW13" s="24">
        <f>VLOOKUP(AU13,CENY!$B$11:$G$1034,3,FALSE)</f>
        <v>1</v>
      </c>
      <c r="AX13" s="499">
        <v>10</v>
      </c>
      <c r="AY13" s="25">
        <f>AE22</f>
        <v>0</v>
      </c>
      <c r="AZ13" s="451">
        <f t="shared" si="1"/>
        <v>0</v>
      </c>
      <c r="BA13" s="107">
        <f>VLOOKUP(AU13,CENY!$B$11:$M$2005,12,FALSE)</f>
        <v>625.73</v>
      </c>
      <c r="BB13" s="107">
        <f t="shared" si="0"/>
        <v>0</v>
      </c>
      <c r="BD13" s="441">
        <f>OBJ!B58</f>
        <v>9255016</v>
      </c>
      <c r="BE13" s="23" t="str">
        <f>VLOOKUP(BD13,CENY!$B$11:$G$1034,2,FALSE)</f>
        <v>AVANTECH YOU BOK V101 MM NL450 MM STŘÍBRNÝ LEVÝ</v>
      </c>
      <c r="BF13" s="24">
        <f>VLOOKUP(BD13,CENY!$B$11:$G$1034,3,FALSE)</f>
        <v>20</v>
      </c>
      <c r="BG13" s="498"/>
      <c r="BH13" s="25">
        <f>AY9</f>
        <v>0</v>
      </c>
      <c r="BI13" s="451">
        <f t="shared" si="2"/>
        <v>0</v>
      </c>
      <c r="BJ13" s="107">
        <f>VLOOKUP(BD13,CENY!$B$11:$M$2005,12,FALSE)</f>
        <v>189.75</v>
      </c>
      <c r="BK13" s="107">
        <f t="shared" si="3"/>
        <v>0</v>
      </c>
    </row>
    <row r="14" spans="1:63" ht="14.4" customHeight="1">
      <c r="AU14" s="441"/>
      <c r="AV14" s="23"/>
      <c r="AW14" s="24"/>
      <c r="AX14" s="24"/>
      <c r="AY14" s="25"/>
      <c r="AZ14" s="451" t="str">
        <f t="shared" si="1"/>
        <v/>
      </c>
      <c r="BA14" s="107"/>
      <c r="BB14" s="107" t="str">
        <f t="shared" si="0"/>
        <v/>
      </c>
      <c r="BD14" s="441">
        <f>OBJ!B59</f>
        <v>9255017</v>
      </c>
      <c r="BE14" s="23" t="str">
        <f>VLOOKUP(BD14,CENY!$B$11:$G$1034,2,FALSE)</f>
        <v>AVANTECH YOU BOK V101 MM NL450 MM STŘÍBRNÝ PRAVÝ</v>
      </c>
      <c r="BF14" s="24">
        <f>VLOOKUP(BD14,CENY!$B$11:$G$1034,3,FALSE)</f>
        <v>20</v>
      </c>
      <c r="BG14" s="498"/>
      <c r="BH14" s="25">
        <f>AY9</f>
        <v>0</v>
      </c>
      <c r="BI14" s="451">
        <f t="shared" si="2"/>
        <v>0</v>
      </c>
      <c r="BJ14" s="107">
        <f>VLOOKUP(BD14,CENY!$B$11:$M$2005,12,FALSE)</f>
        <v>189.75</v>
      </c>
      <c r="BK14" s="107">
        <f t="shared" si="3"/>
        <v>0</v>
      </c>
    </row>
    <row r="15" spans="1:63" ht="14.4" customHeight="1">
      <c r="AU15" s="441">
        <f>OBJ!B71</f>
        <v>9255804</v>
      </c>
      <c r="AV15" s="23" t="str">
        <f>VLOOKUP(AU15,CENY!$B$11:$G$1034,2,FALSE)</f>
        <v>AVANTECH YOU DEKORATIVNÍ PROFIL NL270 MM STŘÍBRNÝ</v>
      </c>
      <c r="AW15" s="24">
        <f>VLOOKUP(AU15,CENY!$B$11:$G$1034,3,FALSE)</f>
        <v>200</v>
      </c>
      <c r="AX15" s="24"/>
      <c r="AY15" s="25">
        <f>IF(FORM!AM18=FORM!AU16,0,2*(O19+O20+O27+O28+O30))</f>
        <v>0</v>
      </c>
      <c r="AZ15" s="451">
        <f t="shared" si="1"/>
        <v>0</v>
      </c>
      <c r="BA15" s="107">
        <f>VLOOKUP(AU15,CENY!$B$11:$M$2005,12,FALSE)</f>
        <v>9.18</v>
      </c>
      <c r="BB15" s="107">
        <f t="shared" si="0"/>
        <v>0</v>
      </c>
      <c r="BD15" s="441">
        <f>OBJ!B60</f>
        <v>9255018</v>
      </c>
      <c r="BE15" s="23" t="str">
        <f>VLOOKUP(BD15,CENY!$B$11:$G$1034,2,FALSE)</f>
        <v>AVANTECH YOU BOK V101 MM NL500 MM STŘÍBRNÝ LEVÝ</v>
      </c>
      <c r="BF15" s="24">
        <f>VLOOKUP(BD15,CENY!$B$11:$G$1034,3,FALSE)</f>
        <v>20</v>
      </c>
      <c r="BG15" s="498"/>
      <c r="BH15" s="25">
        <f>AY10</f>
        <v>0</v>
      </c>
      <c r="BI15" s="451">
        <f t="shared" si="2"/>
        <v>0</v>
      </c>
      <c r="BJ15" s="107">
        <f>VLOOKUP(BD15,CENY!$B$11:$M$2005,12,FALSE)</f>
        <v>193.06</v>
      </c>
      <c r="BK15" s="107">
        <f t="shared" si="3"/>
        <v>0</v>
      </c>
    </row>
    <row r="16" spans="1:63" ht="14.4" customHeight="1">
      <c r="AU16" s="441">
        <f>OBJ!B72</f>
        <v>9255805</v>
      </c>
      <c r="AV16" s="23" t="str">
        <f>VLOOKUP(AU16,CENY!$B$11:$G$1034,2,FALSE)</f>
        <v>AVANTECH YOU DEKORATIVNÍ PROFIL NL300 MM STŘÍBRNÝ</v>
      </c>
      <c r="AW16" s="24">
        <f>VLOOKUP(AU16,CENY!$B$11:$G$1034,3,FALSE)</f>
        <v>200</v>
      </c>
      <c r="AX16" s="24"/>
      <c r="AY16" s="25">
        <f>IF(FORM!AM18=FORM!AU16,0,2*(Q19+Q20+Q27+Q28+Q30))</f>
        <v>0</v>
      </c>
      <c r="AZ16" s="451">
        <f t="shared" si="1"/>
        <v>0</v>
      </c>
      <c r="BA16" s="107">
        <f>VLOOKUP(AU16,CENY!$B$11:$M$2005,12,FALSE)</f>
        <v>9.2799999999999994</v>
      </c>
      <c r="BB16" s="107">
        <f t="shared" si="0"/>
        <v>0</v>
      </c>
      <c r="BD16" s="441">
        <f>OBJ!B61</f>
        <v>9255019</v>
      </c>
      <c r="BE16" s="23" t="str">
        <f>VLOOKUP(BD16,CENY!$B$11:$G$1034,2,FALSE)</f>
        <v>AVANTECH YOU BOK V101 MM NL500 MM STŘÍBRNÝ PRAVÝ</v>
      </c>
      <c r="BF16" s="24">
        <f>VLOOKUP(BD16,CENY!$B$11:$G$1034,3,FALSE)</f>
        <v>20</v>
      </c>
      <c r="BG16" s="498"/>
      <c r="BH16" s="25">
        <f>AY10</f>
        <v>0</v>
      </c>
      <c r="BI16" s="451">
        <f t="shared" si="2"/>
        <v>0</v>
      </c>
      <c r="BJ16" s="107">
        <f>VLOOKUP(BD16,CENY!$B$11:$M$2005,12,FALSE)</f>
        <v>193.06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OBJ!B73</f>
        <v>9255806</v>
      </c>
      <c r="AV17" s="23" t="str">
        <f>VLOOKUP(AU17,CENY!$B$11:$G$1034,2,FALSE)</f>
        <v>AVANTECH YOU DEKORATIVNÍ PROFIL NL350 MM STŘÍBRNÝ</v>
      </c>
      <c r="AW17" s="24">
        <f>VLOOKUP(AU17,CENY!$B$11:$G$1034,3,FALSE)</f>
        <v>200</v>
      </c>
      <c r="AX17" s="24"/>
      <c r="AY17" s="25">
        <f>IF(FORM!AM18=FORM!AU16,0,2*(S19+S20+S27+S28+S30))</f>
        <v>0</v>
      </c>
      <c r="AZ17" s="451">
        <f t="shared" si="1"/>
        <v>0</v>
      </c>
      <c r="BA17" s="107">
        <f>VLOOKUP(AU17,CENY!$B$11:$M$2005,12,FALSE)</f>
        <v>9.4499999999999993</v>
      </c>
      <c r="BB17" s="107">
        <f t="shared" si="0"/>
        <v>0</v>
      </c>
      <c r="BD17" s="441">
        <f>OBJ!B62</f>
        <v>9255020</v>
      </c>
      <c r="BE17" s="23" t="str">
        <f>VLOOKUP(BD17,CENY!$B$11:$G$1034,2,FALSE)</f>
        <v>AVANTECH YOU BOK V101 MM NL550 MM STŘÍBRNÝ LEVÝ</v>
      </c>
      <c r="BF17" s="24">
        <f>VLOOKUP(BD17,CENY!$B$11:$G$1034,3,FALSE)</f>
        <v>20</v>
      </c>
      <c r="BG17" s="498"/>
      <c r="BH17" s="25">
        <f>AY11</f>
        <v>0</v>
      </c>
      <c r="BI17" s="451">
        <f t="shared" si="2"/>
        <v>0</v>
      </c>
      <c r="BJ17" s="107">
        <f>VLOOKUP(BD17,CENY!$B$11:$M$2005,12,FALSE)</f>
        <v>196.37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OBJ!B74</f>
        <v>9255807</v>
      </c>
      <c r="AV18" s="23" t="str">
        <f>VLOOKUP(AU18,CENY!$B$11:$G$1034,2,FALSE)</f>
        <v>AVANTECH YOU DEKORATIVNÍ PROFIL NL400 MM STŘÍBRNÝ</v>
      </c>
      <c r="AW18" s="24">
        <f>VLOOKUP(AU18,CENY!$B$11:$G$1034,3,FALSE)</f>
        <v>200</v>
      </c>
      <c r="AX18" s="24"/>
      <c r="AY18" s="25">
        <f>IF(FORM!AM18=FORM!AU16,0,2*(U20+U28+U30))</f>
        <v>0</v>
      </c>
      <c r="AZ18" s="451">
        <f t="shared" si="1"/>
        <v>0</v>
      </c>
      <c r="BA18" s="107">
        <f>VLOOKUP(AU18,CENY!$B$11:$M$2005,12,FALSE)</f>
        <v>9.6199999999999992</v>
      </c>
      <c r="BB18" s="107">
        <f t="shared" si="0"/>
        <v>0</v>
      </c>
      <c r="BD18" s="441">
        <f>OBJ!B63</f>
        <v>9255021</v>
      </c>
      <c r="BE18" s="23" t="str">
        <f>VLOOKUP(BD18,CENY!$B$11:$G$1034,2,FALSE)</f>
        <v>AVANTECH YOU BOK V101 MM NL550 MM STŘÍBRNÝ PRAVÝ</v>
      </c>
      <c r="BF18" s="24">
        <f>VLOOKUP(BD18,CENY!$B$11:$G$1034,3,FALSE)</f>
        <v>20</v>
      </c>
      <c r="BG18" s="498"/>
      <c r="BH18" s="25">
        <f>AY11</f>
        <v>0</v>
      </c>
      <c r="BI18" s="451">
        <f t="shared" si="2"/>
        <v>0</v>
      </c>
      <c r="BJ18" s="107">
        <f>VLOOKUP(BD18,CENY!$B$11:$M$2005,12,FALSE)</f>
        <v>196.37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617"/>
      <c r="P19" s="618"/>
      <c r="Q19" s="617"/>
      <c r="R19" s="618"/>
      <c r="S19" s="617"/>
      <c r="T19" s="618"/>
      <c r="U19" s="383"/>
      <c r="V19" s="384"/>
      <c r="W19" s="383"/>
      <c r="X19" s="384"/>
      <c r="Y19" s="383"/>
      <c r="Z19" s="384"/>
      <c r="AA19" s="383"/>
      <c r="AB19" s="384"/>
      <c r="AC19" s="383"/>
      <c r="AD19" s="384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OBJ!B75</f>
        <v>9255808</v>
      </c>
      <c r="AV19" s="23" t="str">
        <f>VLOOKUP(AU19,CENY!$B$11:$G$1034,2,FALSE)</f>
        <v>AVANTECH YOU DEKORATIVNÍ PROFIL NL450 MM STŘÍBRNÝ</v>
      </c>
      <c r="AW19" s="24">
        <f>VLOOKUP(AU19,CENY!$B$11:$G$1034,3,FALSE)</f>
        <v>200</v>
      </c>
      <c r="AX19" s="24"/>
      <c r="AY19" s="25">
        <f>IF(FORM!AM18=FORM!AU16,0,2*(W20+W22+W28+W30))</f>
        <v>0</v>
      </c>
      <c r="AZ19" s="451">
        <f t="shared" si="1"/>
        <v>0</v>
      </c>
      <c r="BA19" s="107">
        <f>VLOOKUP(AU19,CENY!$B$11:$M$2005,12,FALSE)</f>
        <v>9.8000000000000007</v>
      </c>
      <c r="BB19" s="107">
        <f t="shared" si="0"/>
        <v>0</v>
      </c>
      <c r="BD19" s="441">
        <f>OBJ!B64</f>
        <v>9255022</v>
      </c>
      <c r="BE19" s="23" t="str">
        <f>VLOOKUP(BD19,CENY!$B$11:$G$1034,2,FALSE)</f>
        <v>AVANTECH YOU BOK V101 MM NL600 MM STŘÍBRNÝ LEVÝ</v>
      </c>
      <c r="BF19" s="24">
        <f>VLOOKUP(BD19,CENY!$B$11:$G$1034,3,FALSE)</f>
        <v>20</v>
      </c>
      <c r="BG19" s="498"/>
      <c r="BH19" s="25">
        <f>AY12</f>
        <v>0</v>
      </c>
      <c r="BI19" s="451">
        <f t="shared" si="2"/>
        <v>0</v>
      </c>
      <c r="BJ19" s="107">
        <f>VLOOKUP(BD19,CENY!$B$11:$M$2005,12,FALSE)</f>
        <v>201.36</v>
      </c>
      <c r="BK19" s="107">
        <f t="shared" si="3"/>
        <v>0</v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589"/>
      <c r="P20" s="590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>
        <f>OBJ!B76</f>
        <v>9255809</v>
      </c>
      <c r="AV20" s="23" t="str">
        <f>VLOOKUP(AU20,CENY!$B$11:$G$1034,2,FALSE)</f>
        <v>AVANTECH YOU DEKORATIVNÍ PROFIL NL500 MM STŘÍBRNÝ</v>
      </c>
      <c r="AW20" s="24">
        <f>VLOOKUP(AU20,CENY!$B$11:$G$1034,3,FALSE)</f>
        <v>200</v>
      </c>
      <c r="AX20" s="24"/>
      <c r="AY20" s="25">
        <f>IF(FORM!AM18=FORM!AU16,0,2*(Y20+Y22+Y28+Y30))</f>
        <v>0</v>
      </c>
      <c r="AZ20" s="451">
        <f t="shared" si="1"/>
        <v>0</v>
      </c>
      <c r="BA20" s="107">
        <f>VLOOKUP(AU20,CENY!$B$11:$M$2005,12,FALSE)</f>
        <v>9.9700000000000006</v>
      </c>
      <c r="BB20" s="107">
        <f t="shared" si="0"/>
        <v>0</v>
      </c>
      <c r="BD20" s="441">
        <f>OBJ!B65</f>
        <v>9255023</v>
      </c>
      <c r="BE20" s="23" t="str">
        <f>VLOOKUP(BD20,CENY!$B$11:$G$1034,2,FALSE)</f>
        <v>AVANTECH YOU BOK V101 MM NL600 MM STŘÍBRNÝ PRAVÝ</v>
      </c>
      <c r="BF20" s="24">
        <f>VLOOKUP(BD20,CENY!$B$11:$G$1034,3,FALSE)</f>
        <v>20</v>
      </c>
      <c r="BG20" s="498"/>
      <c r="BH20" s="25">
        <f>AY12</f>
        <v>0</v>
      </c>
      <c r="BI20" s="451">
        <f t="shared" si="2"/>
        <v>0</v>
      </c>
      <c r="BJ20" s="107">
        <f>VLOOKUP(BD20,CENY!$B$11:$M$2005,12,FALSE)</f>
        <v>201.36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383"/>
      <c r="P21" s="384"/>
      <c r="Q21" s="383"/>
      <c r="R21" s="384"/>
      <c r="S21" s="383"/>
      <c r="T21" s="384"/>
      <c r="U21" s="383"/>
      <c r="V21" s="384"/>
      <c r="W21" s="383"/>
      <c r="X21" s="384"/>
      <c r="Y21" s="383"/>
      <c r="Z21" s="384"/>
      <c r="AA21" s="383"/>
      <c r="AB21" s="384"/>
      <c r="AC21" s="383"/>
      <c r="AD21" s="384"/>
      <c r="AE21" s="383"/>
      <c r="AF21" s="384"/>
      <c r="AI21" s="387"/>
      <c r="AJ21" s="388"/>
      <c r="AK21" s="387"/>
      <c r="AL21" s="388"/>
      <c r="AM21" s="386" t="s">
        <v>406</v>
      </c>
      <c r="AN21" s="596"/>
      <c r="AO21" s="596"/>
      <c r="AU21" s="441">
        <f>OBJ!B77</f>
        <v>9255810</v>
      </c>
      <c r="AV21" s="23" t="str">
        <f>VLOOKUP(AU21,CENY!$B$11:$G$1034,2,FALSE)</f>
        <v>AVANTECH YOU DEKORATIVNÍ PROFIL NL550 MM STŘÍBRNÝ</v>
      </c>
      <c r="AW21" s="24">
        <f>VLOOKUP(AU21,CENY!$B$11:$G$1034,3,FALSE)</f>
        <v>200</v>
      </c>
      <c r="AX21" s="24"/>
      <c r="AY21" s="25">
        <f>IF(FORM!AM18=FORM!AU16,0,2*(AA20+AA22+AA28+AA30))</f>
        <v>0</v>
      </c>
      <c r="AZ21" s="451">
        <f t="shared" si="1"/>
        <v>0</v>
      </c>
      <c r="BA21" s="107">
        <f>VLOOKUP(AU21,CENY!$B$11:$M$2005,12,FALSE)</f>
        <v>10.14</v>
      </c>
      <c r="BB21" s="107">
        <f t="shared" si="0"/>
        <v>0</v>
      </c>
      <c r="BD21" s="441">
        <f>OBJ!B66</f>
        <v>9255024</v>
      </c>
      <c r="BE21" s="23" t="str">
        <f>VLOOKUP(BD21,CENY!$B$11:$G$1034,2,FALSE)</f>
        <v>AVANTECH YOU BOK V101 MM NL650 MM STŘÍBRNÝ LEVÝ</v>
      </c>
      <c r="BF21" s="24">
        <f>VLOOKUP(BD21,CENY!$B$11:$G$1034,3,FALSE)</f>
        <v>20</v>
      </c>
      <c r="BG21" s="498"/>
      <c r="BH21" s="25">
        <f>AY13</f>
        <v>0</v>
      </c>
      <c r="BI21" s="451">
        <f t="shared" si="2"/>
        <v>0</v>
      </c>
      <c r="BJ21" s="107">
        <f>VLOOKUP(BD21,CENY!$B$11:$M$2005,12,FALSE)</f>
        <v>208.15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643"/>
      <c r="AF22" s="644"/>
      <c r="AI22" s="387"/>
      <c r="AJ22" s="388"/>
      <c r="AK22" s="387"/>
      <c r="AL22" s="388"/>
      <c r="AM22" s="386" t="s">
        <v>407</v>
      </c>
      <c r="AN22" s="594"/>
      <c r="AO22" s="594"/>
      <c r="AU22" s="441">
        <f>OBJ!B78</f>
        <v>9255811</v>
      </c>
      <c r="AV22" s="23" t="str">
        <f>VLOOKUP(AU22,CENY!$B$11:$G$1034,2,FALSE)</f>
        <v>AVANTECH YOU DEKORATIVNÍ PROFIL NL600 MM STŘÍBRNÝ</v>
      </c>
      <c r="AW22" s="24">
        <f>VLOOKUP(AU22,CENY!$B$11:$G$1034,3,FALSE)</f>
        <v>200</v>
      </c>
      <c r="AX22" s="24"/>
      <c r="AY22" s="25">
        <f>IF(FORM!AM18=FORM!AU16,0,2*(AC20+AC22+AC28+AC30))</f>
        <v>0</v>
      </c>
      <c r="AZ22" s="451">
        <f t="shared" si="1"/>
        <v>0</v>
      </c>
      <c r="BA22" s="107">
        <f>VLOOKUP(AU22,CENY!$B$11:$M$2005,12,FALSE)</f>
        <v>10.39</v>
      </c>
      <c r="BB22" s="107">
        <f t="shared" si="0"/>
        <v>0</v>
      </c>
      <c r="BD22" s="441">
        <f>OBJ!B67</f>
        <v>9255025</v>
      </c>
      <c r="BE22" s="23" t="str">
        <f>VLOOKUP(BD22,CENY!$B$11:$G$1034,2,FALSE)</f>
        <v>AVANTECH YOU BOK V101 MM NL650 MM STŘÍBRNÝ PRAVÝ</v>
      </c>
      <c r="BF22" s="24">
        <f>VLOOKUP(BD22,CENY!$B$11:$G$1034,3,FALSE)</f>
        <v>20</v>
      </c>
      <c r="BG22" s="498"/>
      <c r="BH22" s="25">
        <f>AY13</f>
        <v>0</v>
      </c>
      <c r="BI22" s="451">
        <f t="shared" si="2"/>
        <v>0</v>
      </c>
      <c r="BJ22" s="107">
        <f>VLOOKUP(BD22,CENY!$B$11:$M$2005,12,FALSE)</f>
        <v>208.15</v>
      </c>
      <c r="BK22" s="107">
        <f t="shared" si="3"/>
        <v>0</v>
      </c>
    </row>
    <row r="23" spans="2:63" ht="14.4" customHeight="1">
      <c r="O23" s="4"/>
      <c r="P23" s="4"/>
      <c r="AU23" s="441">
        <f>OBJ!B79</f>
        <v>9255812</v>
      </c>
      <c r="AV23" s="23" t="str">
        <f>VLOOKUP(AU23,CENY!$B$11:$G$1034,2,FALSE)</f>
        <v>AVANTECH YOU DEKORATIVNÍ PROFIL NL650 MM STŘÍBRNÝ</v>
      </c>
      <c r="AW23" s="24">
        <f>VLOOKUP(AU23,CENY!$B$11:$G$1034,3,FALSE)</f>
        <v>200</v>
      </c>
      <c r="AX23" s="24"/>
      <c r="AY23" s="25">
        <f>IF(FORM!AM18=FORM!AU16,0,2*AE22)</f>
        <v>0</v>
      </c>
      <c r="AZ23" s="451">
        <f t="shared" si="1"/>
        <v>0</v>
      </c>
      <c r="BA23" s="107">
        <f>VLOOKUP(AU23,CENY!$B$11:$M$2005,12,FALSE)</f>
        <v>10.74</v>
      </c>
      <c r="BB23" s="107">
        <f t="shared" si="0"/>
        <v>0</v>
      </c>
      <c r="BD23" s="441"/>
      <c r="BE23" s="23"/>
      <c r="BF23" s="24"/>
      <c r="BG23" s="24"/>
      <c r="BH23" s="25"/>
      <c r="BI23" s="451" t="str">
        <f t="shared" si="2"/>
        <v/>
      </c>
      <c r="BJ23" s="107"/>
      <c r="BK23" s="107" t="str">
        <f t="shared" si="3"/>
        <v/>
      </c>
    </row>
    <row r="24" spans="2:63" ht="14.4" customHeight="1">
      <c r="AU24" s="441"/>
      <c r="AV24" s="23"/>
      <c r="AW24" s="24"/>
      <c r="AX24" s="24"/>
      <c r="AY24" s="25"/>
      <c r="AZ24" s="451" t="str">
        <f t="shared" si="1"/>
        <v/>
      </c>
      <c r="BA24" s="107"/>
      <c r="BB24" s="107" t="str">
        <f t="shared" si="0"/>
        <v/>
      </c>
      <c r="BD24" s="441">
        <f>OBJ!B69</f>
        <v>9255835</v>
      </c>
      <c r="BE24" s="23" t="str">
        <f>VLOOKUP(BD24,CENY!$B$11:$G$1034,2,FALSE)</f>
        <v>AVANTECH YOU PŘÍCHYTKA ČELA V101 MM K NAŠROUBOVÁNÍ</v>
      </c>
      <c r="BF24" s="24">
        <f>VLOOKUP(BD24,CENY!$B$11:$G$1034,3,FALSE)</f>
        <v>200</v>
      </c>
      <c r="BG24" s="24"/>
      <c r="BH24" s="25">
        <f>2*(SUM(O19:T19)+SUM(O20:AD20)+SUM(W22:AF22)+SUM(O27:T27)+SUM(O28:AD28)+SUM(O30:AD30))</f>
        <v>0</v>
      </c>
      <c r="BI24" s="451">
        <f t="shared" si="2"/>
        <v>0</v>
      </c>
      <c r="BJ24" s="107">
        <f>VLOOKUP(BD24,CENY!$B$11:$M$2005,12,FALSE)</f>
        <v>26.57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OBJ!B226</f>
        <v>9256968</v>
      </c>
      <c r="AV25" s="23" t="str">
        <f>VLOOKUP(AU25,CENY!$B$11:$G$1034,2,FALSE)</f>
        <v>ACTRO YOU 10KG PLNOVÝSUV 270 MM EB21 SILENT SYSTEM SADA</v>
      </c>
      <c r="AW25" s="24">
        <f>VLOOKUP(AU25,CENY!$B$11:$G$1034,3,FALSE)</f>
        <v>1</v>
      </c>
      <c r="AX25" s="499">
        <v>4</v>
      </c>
      <c r="AY25" s="25">
        <f>O19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OBJ!B48</f>
        <v>9257702</v>
      </c>
      <c r="BE25" s="23" t="str">
        <f>VLOOKUP(BD25,CENY!$B$11:$G$1034,2,FALSE)</f>
        <v>AVANTECH YOU STABILIZÁTOR ZAD V101/139/187/251 MM</v>
      </c>
      <c r="BF25" s="24">
        <f>VLOOKUP(BD25,CENY!$B$11:$G$1034,3,FALSE)</f>
        <v>200</v>
      </c>
      <c r="BG25" s="24"/>
      <c r="BH25" s="25">
        <f>2*(SUM(O19:T19)+SUM(O20:AD20)+SUM(W22:AF22)+SUM(O27:T27)+SUM(O28:AD28)+SUM(O30:AD30))</f>
        <v>0</v>
      </c>
      <c r="BI25" s="451">
        <f t="shared" si="2"/>
        <v>0</v>
      </c>
      <c r="BJ25" s="107">
        <f>VLOOKUP(BD25,CENY!$B$11:$M$2005,12,FALSE)</f>
        <v>13.29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OBJ!B227</f>
        <v>9256969</v>
      </c>
      <c r="AV26" s="23" t="str">
        <f>VLOOKUP(AU26,CENY!$B$11:$G$1034,2,FALSE)</f>
        <v>ACTRO YOU 10KG PLNOVÝSUV 300 MM EB21 SILENT SYSTEM SADA</v>
      </c>
      <c r="AW26" s="24">
        <f>VLOOKUP(AU26,CENY!$B$11:$G$1034,3,FALSE)</f>
        <v>1</v>
      </c>
      <c r="AX26" s="499">
        <v>4</v>
      </c>
      <c r="AY26" s="25">
        <f>Q19</f>
        <v>0</v>
      </c>
      <c r="AZ26" s="451">
        <f t="shared" si="1"/>
        <v>0</v>
      </c>
      <c r="BA26" s="107">
        <f>VLOOKUP(AU26,CENY!$B$11:$M$2005,12,FALSE)</f>
        <v>561.63</v>
      </c>
      <c r="BB26" s="107">
        <f t="shared" si="0"/>
        <v>0</v>
      </c>
      <c r="BD26" s="22"/>
      <c r="BE26" s="23"/>
      <c r="BF26" s="24"/>
      <c r="BG26" s="24"/>
      <c r="BH26" s="25"/>
      <c r="BI26" s="451" t="str">
        <f t="shared" si="2"/>
        <v/>
      </c>
      <c r="BJ26" s="107"/>
      <c r="BK26" s="107" t="str">
        <f t="shared" si="3"/>
        <v/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617"/>
      <c r="P27" s="618"/>
      <c r="Q27" s="617"/>
      <c r="R27" s="618"/>
      <c r="S27" s="617"/>
      <c r="T27" s="618"/>
      <c r="U27" s="383"/>
      <c r="V27" s="384"/>
      <c r="W27" s="383"/>
      <c r="X27" s="384"/>
      <c r="Y27" s="383"/>
      <c r="Z27" s="384"/>
      <c r="AA27" s="383"/>
      <c r="AB27" s="384"/>
      <c r="AC27" s="383"/>
      <c r="AD27" s="384"/>
      <c r="AI27" s="389"/>
      <c r="AJ27" s="390"/>
      <c r="AK27" s="389"/>
      <c r="AL27" s="390"/>
      <c r="AM27" s="391" t="s">
        <v>405</v>
      </c>
      <c r="AN27" s="576"/>
      <c r="AO27" s="576"/>
      <c r="AU27" s="441">
        <f>OBJ!B228</f>
        <v>9256971</v>
      </c>
      <c r="AV27" s="23" t="str">
        <f>VLOOKUP(AU27,CENY!$B$11:$G$1034,2,FALSE)</f>
        <v>ACTRO YOU 10KG PLNOVÝSUV 350 MM EB21 SILENT SYSTEM SADA</v>
      </c>
      <c r="AW27" s="24">
        <f>VLOOKUP(AU27,CENY!$B$11:$G$1034,3,FALSE)</f>
        <v>1</v>
      </c>
      <c r="AX27" s="499">
        <v>4</v>
      </c>
      <c r="AY27" s="25">
        <f>S19</f>
        <v>0</v>
      </c>
      <c r="AZ27" s="451">
        <f t="shared" si="1"/>
        <v>0</v>
      </c>
      <c r="BA27" s="107">
        <f>VLOOKUP(AU27,CENY!$B$11:$M$2005,12,FALSE)</f>
        <v>561.63</v>
      </c>
      <c r="BB27" s="107">
        <f t="shared" si="0"/>
        <v>0</v>
      </c>
      <c r="BD27" s="441">
        <f>OBJ!B71</f>
        <v>9255804</v>
      </c>
      <c r="BE27" s="23" t="str">
        <f>VLOOKUP(BD27,CENY!$B$11:$G$1034,2,FALSE)</f>
        <v>AVANTECH YOU DEKORATIVNÍ PROFIL NL270 MM STŘÍBRNÝ</v>
      </c>
      <c r="BF27" s="24">
        <f>VLOOKUP(BD27,CENY!$B$11:$G$1034,3,FALSE)</f>
        <v>200</v>
      </c>
      <c r="BG27" s="24"/>
      <c r="BH27" s="25">
        <f>2*(O19+O20+O27+O28+O30)</f>
        <v>0</v>
      </c>
      <c r="BI27" s="451">
        <f t="shared" si="2"/>
        <v>0</v>
      </c>
      <c r="BJ27" s="107">
        <f>VLOOKUP(BD27,CENY!$B$11:$M$2005,12,FALSE)</f>
        <v>9.18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589"/>
      <c r="P28" s="590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22"/>
      <c r="AV28" s="23"/>
      <c r="AW28" s="24"/>
      <c r="AX28" s="24"/>
      <c r="AY28" s="25"/>
      <c r="AZ28" s="451" t="str">
        <f t="shared" si="1"/>
        <v/>
      </c>
      <c r="BA28" s="107"/>
      <c r="BB28" s="107" t="str">
        <f t="shared" si="0"/>
        <v/>
      </c>
      <c r="BD28" s="441">
        <f>OBJ!B72</f>
        <v>9255805</v>
      </c>
      <c r="BE28" s="23" t="str">
        <f>VLOOKUP(BD28,CENY!$B$11:$G$1034,2,FALSE)</f>
        <v>AVANTECH YOU DEKORATIVNÍ PROFIL NL300 MM STŘÍBRNÝ</v>
      </c>
      <c r="BF28" s="24">
        <f>VLOOKUP(BD28,CENY!$B$11:$G$1034,3,FALSE)</f>
        <v>200</v>
      </c>
      <c r="BG28" s="24"/>
      <c r="BH28" s="25">
        <f>2*(Q19+Q20+Q27+Q28+Q30)</f>
        <v>0</v>
      </c>
      <c r="BI28" s="451">
        <f t="shared" si="2"/>
        <v>0</v>
      </c>
      <c r="BJ28" s="107">
        <f>VLOOKUP(BD28,CENY!$B$11:$M$2005,12,FALSE)</f>
        <v>9.2799999999999994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383"/>
      <c r="P29" s="384"/>
      <c r="Q29" s="383"/>
      <c r="R29" s="384"/>
      <c r="S29" s="383"/>
      <c r="T29" s="384"/>
      <c r="U29" s="383"/>
      <c r="V29" s="384"/>
      <c r="W29" s="383"/>
      <c r="X29" s="384"/>
      <c r="Y29" s="383"/>
      <c r="Z29" s="384"/>
      <c r="AA29" s="383"/>
      <c r="AB29" s="384"/>
      <c r="AC29" s="383"/>
      <c r="AD29" s="384"/>
      <c r="AI29" s="387"/>
      <c r="AJ29" s="388"/>
      <c r="AK29" s="387"/>
      <c r="AL29" s="388"/>
      <c r="AM29" s="386" t="s">
        <v>408</v>
      </c>
      <c r="AN29" s="599"/>
      <c r="AO29" s="599"/>
      <c r="AU29" s="441">
        <f>OBJ!B236</f>
        <v>9256999</v>
      </c>
      <c r="AV29" s="23" t="str">
        <f>VLOOKUP(AU29,CENY!$B$11:$G$1034,2,FALSE)</f>
        <v>ACTRO YOU 40KG PLNOVÝSUV 270 MM EB21 SILENT SYSTEM SADA</v>
      </c>
      <c r="AW29" s="24">
        <f>VLOOKUP(AU29,CENY!$B$11:$G$1034,3,FALSE)</f>
        <v>1</v>
      </c>
      <c r="AX29" s="499">
        <v>8</v>
      </c>
      <c r="AY29" s="25">
        <f>O20</f>
        <v>0</v>
      </c>
      <c r="AZ29" s="451">
        <f t="shared" si="1"/>
        <v>0</v>
      </c>
      <c r="BA29" s="107">
        <f>VLOOKUP(AU29,CENY!$B$11:$M$2005,12,FALSE)</f>
        <v>561.63</v>
      </c>
      <c r="BB29" s="107">
        <f t="shared" si="0"/>
        <v>0</v>
      </c>
      <c r="BD29" s="441">
        <f>OBJ!B73</f>
        <v>9255806</v>
      </c>
      <c r="BE29" s="23" t="str">
        <f>VLOOKUP(BD29,CENY!$B$11:$G$1034,2,FALSE)</f>
        <v>AVANTECH YOU DEKORATIVNÍ PROFIL NL350 MM STŘÍBRNÝ</v>
      </c>
      <c r="BF29" s="24">
        <f>VLOOKUP(BD29,CENY!$B$11:$G$1034,3,FALSE)</f>
        <v>200</v>
      </c>
      <c r="BG29" s="24"/>
      <c r="BH29" s="25">
        <f>2*(S19+S20+S27+S28+S30)</f>
        <v>0</v>
      </c>
      <c r="BI29" s="451">
        <f t="shared" si="2"/>
        <v>0</v>
      </c>
      <c r="BJ29" s="107">
        <f>VLOOKUP(BD29,CENY!$B$11:$M$2005,12,FALSE)</f>
        <v>9.4499999999999993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589"/>
      <c r="P30" s="590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OBJ!B237</f>
        <v>9257000</v>
      </c>
      <c r="AV30" s="23" t="str">
        <f>VLOOKUP(AU30,CENY!$B$11:$G$1034,2,FALSE)</f>
        <v>ACTRO YOU 40KG PLNOVÝSUV 300 MM EB21 SILENT SYSTEM SADA</v>
      </c>
      <c r="AW30" s="24">
        <f>VLOOKUP(AU30,CENY!$B$11:$G$1034,3,FALSE)</f>
        <v>1</v>
      </c>
      <c r="AX30" s="499">
        <v>8</v>
      </c>
      <c r="AY30" s="25">
        <f>Q20</f>
        <v>0</v>
      </c>
      <c r="AZ30" s="451">
        <f t="shared" si="1"/>
        <v>0</v>
      </c>
      <c r="BA30" s="107">
        <f>VLOOKUP(AU30,CENY!$B$11:$M$2005,12,FALSE)</f>
        <v>561.63</v>
      </c>
      <c r="BB30" s="107">
        <f t="shared" si="0"/>
        <v>0</v>
      </c>
      <c r="BD30" s="441">
        <f>OBJ!B74</f>
        <v>9255807</v>
      </c>
      <c r="BE30" s="23" t="str">
        <f>VLOOKUP(BD30,CENY!$B$11:$G$1034,2,FALSE)</f>
        <v>AVANTECH YOU DEKORATIVNÍ PROFIL NL400 MM STŘÍBRNÝ</v>
      </c>
      <c r="BF30" s="24">
        <f>VLOOKUP(BD30,CENY!$B$11:$G$1034,3,FALSE)</f>
        <v>200</v>
      </c>
      <c r="BG30" s="24"/>
      <c r="BH30" s="25">
        <f>2*(U20+U28+U30)</f>
        <v>0</v>
      </c>
      <c r="BI30" s="451">
        <f t="shared" si="2"/>
        <v>0</v>
      </c>
      <c r="BJ30" s="107">
        <f>VLOOKUP(BD30,CENY!$B$11:$M$2005,12,FALSE)</f>
        <v>9.6199999999999992</v>
      </c>
      <c r="BK30" s="107">
        <f t="shared" si="3"/>
        <v>0</v>
      </c>
    </row>
    <row r="31" spans="2:63" ht="14.4" customHeight="1">
      <c r="AU31" s="441">
        <f>OBJ!B238</f>
        <v>9257002</v>
      </c>
      <c r="AV31" s="23" t="str">
        <f>VLOOKUP(AU31,CENY!$B$11:$G$1034,2,FALSE)</f>
        <v>ACTRO YOU 40KG PLNOVÝSUV 350 MM EB21 SILENT SYSTEM SADA</v>
      </c>
      <c r="AW31" s="24">
        <f>VLOOKUP(AU31,CENY!$B$11:$G$1034,3,FALSE)</f>
        <v>1</v>
      </c>
      <c r="AX31" s="499">
        <v>8</v>
      </c>
      <c r="AY31" s="25">
        <f>S20</f>
        <v>0</v>
      </c>
      <c r="AZ31" s="451">
        <f t="shared" si="1"/>
        <v>0</v>
      </c>
      <c r="BA31" s="107">
        <f>VLOOKUP(AU31,CENY!$B$11:$M$2005,12,FALSE)</f>
        <v>561.63</v>
      </c>
      <c r="BB31" s="107">
        <f t="shared" si="0"/>
        <v>0</v>
      </c>
      <c r="BD31" s="441">
        <f>OBJ!B75</f>
        <v>9255808</v>
      </c>
      <c r="BE31" s="23" t="str">
        <f>VLOOKUP(BD31,CENY!$B$11:$G$1034,2,FALSE)</f>
        <v>AVANTECH YOU DEKORATIVNÍ PROFIL NL450 MM STŘÍBRNÝ</v>
      </c>
      <c r="BF31" s="24">
        <f>VLOOKUP(BD31,CENY!$B$11:$G$1034,3,FALSE)</f>
        <v>200</v>
      </c>
      <c r="BG31" s="24"/>
      <c r="BH31" s="25">
        <f>2*(W20+W22+W28+W30)</f>
        <v>0</v>
      </c>
      <c r="BI31" s="451">
        <f t="shared" si="2"/>
        <v>0</v>
      </c>
      <c r="BJ31" s="107">
        <f>VLOOKUP(BD31,CENY!$B$11:$M$2005,12,FALSE)</f>
        <v>9.8000000000000007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OBJ!B239</f>
        <v>9257004</v>
      </c>
      <c r="AV32" s="23" t="str">
        <f>VLOOKUP(AU32,CENY!$B$11:$G$1034,2,FALSE)</f>
        <v>ACTRO YOU 40KG PLNOVÝSUV 400 MM EB21 SILENT SYSTEM SADA</v>
      </c>
      <c r="AW32" s="24">
        <f>VLOOKUP(AU32,CENY!$B$11:$G$1034,3,FALSE)</f>
        <v>1</v>
      </c>
      <c r="AX32" s="499">
        <v>8</v>
      </c>
      <c r="AY32" s="25">
        <f>U20</f>
        <v>0</v>
      </c>
      <c r="AZ32" s="451">
        <f t="shared" si="1"/>
        <v>0</v>
      </c>
      <c r="BA32" s="107">
        <f>VLOOKUP(AU32,CENY!$B$11:$M$2005,12,FALSE)</f>
        <v>567.85</v>
      </c>
      <c r="BB32" s="107">
        <f t="shared" si="0"/>
        <v>0</v>
      </c>
      <c r="BD32" s="441">
        <f>OBJ!B76</f>
        <v>9255809</v>
      </c>
      <c r="BE32" s="23" t="str">
        <f>VLOOKUP(BD32,CENY!$B$11:$G$1034,2,FALSE)</f>
        <v>AVANTECH YOU DEKORATIVNÍ PROFIL NL500 MM STŘÍBRNÝ</v>
      </c>
      <c r="BF32" s="24">
        <f>VLOOKUP(BD32,CENY!$B$11:$G$1034,3,FALSE)</f>
        <v>200</v>
      </c>
      <c r="BG32" s="24"/>
      <c r="BH32" s="25">
        <f>2*(Y20+Y22+Y28+Y30)</f>
        <v>0</v>
      </c>
      <c r="BI32" s="451">
        <f t="shared" si="2"/>
        <v>0</v>
      </c>
      <c r="BJ32" s="107">
        <f>VLOOKUP(BD32,CENY!$B$11:$M$2005,12,FALSE)</f>
        <v>9.9700000000000006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OBJ!B240</f>
        <v>9257006</v>
      </c>
      <c r="AV33" s="23" t="str">
        <f>VLOOKUP(AU33,CENY!$B$11:$G$1034,2,FALSE)</f>
        <v>ACTRO YOU 40KG PLNOVÝSUV 450 MM EB21 SILENT SYSTEM SADA</v>
      </c>
      <c r="AW33" s="24">
        <f>VLOOKUP(AU33,CENY!$B$11:$G$1034,3,FALSE)</f>
        <v>1</v>
      </c>
      <c r="AX33" s="499">
        <v>10</v>
      </c>
      <c r="AY33" s="25">
        <f>W20</f>
        <v>0</v>
      </c>
      <c r="AZ33" s="451">
        <f t="shared" si="1"/>
        <v>0</v>
      </c>
      <c r="BA33" s="107">
        <f>VLOOKUP(AU33,CENY!$B$11:$M$2005,12,FALSE)</f>
        <v>574.04</v>
      </c>
      <c r="BB33" s="107">
        <f t="shared" si="0"/>
        <v>0</v>
      </c>
      <c r="BD33" s="441">
        <f>OBJ!B77</f>
        <v>9255810</v>
      </c>
      <c r="BE33" s="23" t="str">
        <f>VLOOKUP(BD33,CENY!$B$11:$G$1034,2,FALSE)</f>
        <v>AVANTECH YOU DEKORATIVNÍ PROFIL NL550 MM STŘÍBRNÝ</v>
      </c>
      <c r="BF33" s="24">
        <f>VLOOKUP(BD33,CENY!$B$11:$G$1034,3,FALSE)</f>
        <v>200</v>
      </c>
      <c r="BG33" s="24"/>
      <c r="BH33" s="25">
        <f>2*(AA20+AA22+AA28+AA30)</f>
        <v>0</v>
      </c>
      <c r="BI33" s="451">
        <f t="shared" si="2"/>
        <v>0</v>
      </c>
      <c r="BJ33" s="107">
        <f>VLOOKUP(BD33,CENY!$B$11:$M$2005,12,FALSE)</f>
        <v>10.14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OBJ!B241</f>
        <v>9257008</v>
      </c>
      <c r="AV34" s="23" t="str">
        <f>VLOOKUP(AU34,CENY!$B$11:$G$1034,2,FALSE)</f>
        <v>ACTRO YOU 40KG PLNOVÝSUV 500 MM EB21 SILENT SYSTEM SADA</v>
      </c>
      <c r="AW34" s="24">
        <f>VLOOKUP(AU34,CENY!$B$11:$G$1034,3,FALSE)</f>
        <v>1</v>
      </c>
      <c r="AX34" s="499">
        <v>10</v>
      </c>
      <c r="AY34" s="25">
        <f>Y20</f>
        <v>0</v>
      </c>
      <c r="AZ34" s="451">
        <f t="shared" si="1"/>
        <v>0</v>
      </c>
      <c r="BA34" s="107">
        <f>VLOOKUP(AU34,CENY!$B$11:$M$2005,12,FALSE)</f>
        <v>580.26</v>
      </c>
      <c r="BB34" s="107">
        <f t="shared" si="0"/>
        <v>0</v>
      </c>
      <c r="BD34" s="441">
        <f>OBJ!B78</f>
        <v>9255811</v>
      </c>
      <c r="BE34" s="23" t="str">
        <f>VLOOKUP(BD34,CENY!$B$11:$G$1034,2,FALSE)</f>
        <v>AVANTECH YOU DEKORATIVNÍ PROFIL NL600 MM STŘÍBRNÝ</v>
      </c>
      <c r="BF34" s="24">
        <f>VLOOKUP(BD34,CENY!$B$11:$G$1034,3,FALSE)</f>
        <v>200</v>
      </c>
      <c r="BG34" s="24"/>
      <c r="BH34" s="25">
        <f>2*(AC20+AC22+AC28+AC30)</f>
        <v>0</v>
      </c>
      <c r="BI34" s="451">
        <f t="shared" si="2"/>
        <v>0</v>
      </c>
      <c r="BJ34" s="107">
        <f>VLOOKUP(BD34,CENY!$B$11:$M$2005,12,FALSE)</f>
        <v>10.39</v>
      </c>
      <c r="BK34" s="107">
        <f t="shared" si="3"/>
        <v>0</v>
      </c>
    </row>
    <row r="35" spans="2:63" ht="14.4" customHeight="1">
      <c r="AU35" s="441">
        <f>OBJ!B242</f>
        <v>9257010</v>
      </c>
      <c r="AV35" s="23" t="str">
        <f>VLOOKUP(AU35,CENY!$B$11:$G$1034,2,FALSE)</f>
        <v>ACTRO YOU 40KG PLNOVÝSUV 550 MM EB21 SILENT SYSTEM SADA</v>
      </c>
      <c r="AW35" s="24">
        <f>VLOOKUP(AU35,CENY!$B$11:$G$1034,3,FALSE)</f>
        <v>1</v>
      </c>
      <c r="AX35" s="499">
        <v>10</v>
      </c>
      <c r="AY35" s="25">
        <f>AA20</f>
        <v>0</v>
      </c>
      <c r="AZ35" s="451">
        <f t="shared" si="1"/>
        <v>0</v>
      </c>
      <c r="BA35" s="107">
        <f>VLOOKUP(AU35,CENY!$B$11:$M$2005,12,FALSE)</f>
        <v>613.44000000000005</v>
      </c>
      <c r="BB35" s="107">
        <f t="shared" si="0"/>
        <v>0</v>
      </c>
      <c r="BD35" s="441">
        <f>OBJ!B79</f>
        <v>9255812</v>
      </c>
      <c r="BE35" s="23" t="str">
        <f>VLOOKUP(BD35,CENY!$B$11:$G$1034,2,FALSE)</f>
        <v>AVANTECH YOU DEKORATIVNÍ PROFIL NL650 MM STŘÍBRNÝ</v>
      </c>
      <c r="BF35" s="24">
        <f>VLOOKUP(BD35,CENY!$B$11:$G$1034,3,FALSE)</f>
        <v>200</v>
      </c>
      <c r="BG35" s="24"/>
      <c r="BH35" s="25">
        <f>2*AE22</f>
        <v>0</v>
      </c>
      <c r="BI35" s="451">
        <f t="shared" si="2"/>
        <v>0</v>
      </c>
      <c r="BJ35" s="107">
        <f>VLOOKUP(BD35,CENY!$B$11:$M$2005,12,FALSE)</f>
        <v>10.74</v>
      </c>
      <c r="BK35" s="107">
        <f t="shared" si="3"/>
        <v>0</v>
      </c>
    </row>
    <row r="36" spans="2:63" ht="14.4" customHeight="1">
      <c r="AU36" s="441">
        <f>OBJ!B243</f>
        <v>9268681</v>
      </c>
      <c r="AV36" s="23" t="str">
        <f>VLOOKUP(AU36,CENY!$B$11:$G$1034,2,FALSE)</f>
        <v>ACTRO YOU 40KG PLNOVÝSUV 600 MM EB21 SILENT SYSTÉM SADA</v>
      </c>
      <c r="AW36" s="24">
        <f>VLOOKUP(AU36,CENY!$B$11:$G$1034,3,FALSE)</f>
        <v>1</v>
      </c>
      <c r="AX36" s="499">
        <v>10</v>
      </c>
      <c r="AY36" s="25">
        <f>AC20</f>
        <v>0</v>
      </c>
      <c r="AZ36" s="451">
        <f t="shared" si="1"/>
        <v>0</v>
      </c>
      <c r="BA36" s="107">
        <f>VLOOKUP(AU36,CENY!$B$11:$M$2005,12,FALSE)</f>
        <v>620.78</v>
      </c>
      <c r="BB36" s="107">
        <f t="shared" si="0"/>
        <v>0</v>
      </c>
      <c r="BD36" s="441"/>
      <c r="BE36" s="23"/>
      <c r="BF36" s="24"/>
      <c r="BG36" s="24"/>
      <c r="BH36" s="25"/>
      <c r="BI36" s="451" t="str">
        <f t="shared" si="2"/>
        <v/>
      </c>
      <c r="BJ36" s="107"/>
      <c r="BK36" s="107" t="str">
        <f t="shared" si="3"/>
        <v/>
      </c>
    </row>
    <row r="37" spans="2:63" ht="14.4" customHeight="1">
      <c r="AU37" s="441"/>
      <c r="AV37" s="23"/>
      <c r="AW37" s="24"/>
      <c r="AX37" s="24"/>
      <c r="AY37" s="25"/>
      <c r="AZ37" s="451" t="str">
        <f t="shared" si="1"/>
        <v/>
      </c>
      <c r="BA37" s="107"/>
      <c r="BB37" s="107" t="str">
        <f t="shared" si="0"/>
        <v/>
      </c>
      <c r="BD37" s="441">
        <f>OBJ!B229</f>
        <v>9256959</v>
      </c>
      <c r="BE37" s="23" t="str">
        <f>VLOOKUP(BD37,CENY!$B$11:$G$1034,2,FALSE)</f>
        <v>ACTRO YOU 10KG PLNOVÝSUV 270 MM EB21 SILENT SYSTEM LEVÝ</v>
      </c>
      <c r="BF37" s="24">
        <f>VLOOKUP(BD37,CENY!$B$11:$G$1034,3,FALSE)</f>
        <v>10</v>
      </c>
      <c r="BG37" s="24"/>
      <c r="BH37" s="25">
        <f>AY25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OBJ!B261</f>
        <v>9257034</v>
      </c>
      <c r="AV38" s="23" t="str">
        <f>VLOOKUP(AU38,CENY!$B$11:$G$1034,2,FALSE)</f>
        <v>ACTRO YOU 70KG PLNOVÝSUV 450 MM EB21 SILENT SYSTEM SADA</v>
      </c>
      <c r="AW38" s="24">
        <f>VLOOKUP(AU38,CENY!$B$11:$G$1034,3,FALSE)</f>
        <v>1</v>
      </c>
      <c r="AX38" s="499">
        <v>10</v>
      </c>
      <c r="AY38" s="25">
        <f>W22</f>
        <v>0</v>
      </c>
      <c r="AZ38" s="451">
        <f t="shared" si="1"/>
        <v>0</v>
      </c>
      <c r="BA38" s="107">
        <f>VLOOKUP(AU38,CENY!$B$11:$M$2005,12,FALSE)</f>
        <v>691.9</v>
      </c>
      <c r="BB38" s="107">
        <f t="shared" si="0"/>
        <v>0</v>
      </c>
      <c r="BD38" s="441">
        <f>OBJ!B230</f>
        <v>9256960</v>
      </c>
      <c r="BE38" s="23" t="str">
        <f>VLOOKUP(BD38,CENY!$B$11:$G$1034,2,FALSE)</f>
        <v>ACTRO YOU 10KG PLNOVÝSUV 270 MM EB21 SILENT SYSTEM PRAVÝ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OBJ!B262</f>
        <v>9257036</v>
      </c>
      <c r="AV39" s="23" t="str">
        <f>VLOOKUP(AU39,CENY!$B$11:$G$1034,2,FALSE)</f>
        <v>ACTRO YOU 70KG PLNOVÝSUV 500 MM EB21 SILENT SYSTEM SADA</v>
      </c>
      <c r="AW39" s="24">
        <f>VLOOKUP(AU39,CENY!$B$11:$G$1034,3,FALSE)</f>
        <v>1</v>
      </c>
      <c r="AX39" s="499">
        <v>10</v>
      </c>
      <c r="AY39" s="25">
        <f>Y22</f>
        <v>0</v>
      </c>
      <c r="AZ39" s="451">
        <f t="shared" si="1"/>
        <v>0</v>
      </c>
      <c r="BA39" s="107">
        <f>VLOOKUP(AU39,CENY!$B$11:$M$2005,12,FALSE)</f>
        <v>698.13</v>
      </c>
      <c r="BB39" s="107">
        <f t="shared" si="0"/>
        <v>0</v>
      </c>
      <c r="BD39" s="441">
        <f>OBJ!B231</f>
        <v>9256961</v>
      </c>
      <c r="BE39" s="23" t="str">
        <f>VLOOKUP(BD39,CENY!$B$11:$G$1034,2,FALSE)</f>
        <v>ACTRO YOU 10KG PLNOVÝSUV 300 MM EB21 SILENT SYSTEM LEVÝ</v>
      </c>
      <c r="BF39" s="24">
        <f>VLOOKUP(BD39,CENY!$B$11:$G$1034,3,FALSE)</f>
        <v>10</v>
      </c>
      <c r="BG39" s="24"/>
      <c r="BH39" s="25">
        <f>AY26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OBJ!B263</f>
        <v>9257038</v>
      </c>
      <c r="AV40" s="23" t="str">
        <f>VLOOKUP(AU40,CENY!$B$11:$G$1034,2,FALSE)</f>
        <v>ACTRO YOU 70KG PLNOVÝSUV 550 MM EB21 SILENT SYSTEM SADA</v>
      </c>
      <c r="AW40" s="24">
        <f>VLOOKUP(AU40,CENY!$B$11:$G$1034,3,FALSE)</f>
        <v>1</v>
      </c>
      <c r="AX40" s="499">
        <v>10</v>
      </c>
      <c r="AY40" s="25">
        <f>AA22</f>
        <v>0</v>
      </c>
      <c r="AZ40" s="451">
        <f t="shared" si="1"/>
        <v>0</v>
      </c>
      <c r="BA40" s="107">
        <f>VLOOKUP(AU40,CENY!$B$11:$M$2005,12,FALSE)</f>
        <v>731.3</v>
      </c>
      <c r="BB40" s="107">
        <f t="shared" si="0"/>
        <v>0</v>
      </c>
      <c r="BD40" s="441">
        <f>OBJ!B232</f>
        <v>9256962</v>
      </c>
      <c r="BE40" s="23" t="str">
        <f>VLOOKUP(BD40,CENY!$B$11:$G$1034,2,FALSE)</f>
        <v>ACTRO YOU 10KG PLNOVÝSUV 300 MM EB21 SILENT SYSTEM PRAVÝ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243.93</v>
      </c>
      <c r="BK40" s="107">
        <f t="shared" si="3"/>
        <v>0</v>
      </c>
    </row>
    <row r="41" spans="2:63" ht="14.4" customHeight="1">
      <c r="AU41" s="441">
        <f>OBJ!B264</f>
        <v>9257040</v>
      </c>
      <c r="AV41" s="23" t="str">
        <f>VLOOKUP(AU41,CENY!$B$11:$G$1034,2,FALSE)</f>
        <v>ACTRO YOU 70KG PLNOVÝSUV 600 MM EB21 SILENT SYSTEM SADA</v>
      </c>
      <c r="AW41" s="24">
        <f>VLOOKUP(AU41,CENY!$B$11:$G$1034,3,FALSE)</f>
        <v>1</v>
      </c>
      <c r="AX41" s="499">
        <v>10</v>
      </c>
      <c r="AY41" s="25">
        <f>AC22</f>
        <v>0</v>
      </c>
      <c r="AZ41" s="451">
        <f t="shared" si="1"/>
        <v>0</v>
      </c>
      <c r="BA41" s="107">
        <f>VLOOKUP(AU41,CENY!$B$11:$M$2005,12,FALSE)</f>
        <v>798.31</v>
      </c>
      <c r="BB41" s="107">
        <f t="shared" si="0"/>
        <v>0</v>
      </c>
      <c r="BD41" s="441">
        <f>OBJ!B233</f>
        <v>9256965</v>
      </c>
      <c r="BE41" s="23" t="str">
        <f>VLOOKUP(BD41,CENY!$B$11:$G$1034,2,FALSE)</f>
        <v>ACTRO YOU 10KG PLNOVÝSUV 350 MM EB21 SILENT SYSTEM LEVÝ</v>
      </c>
      <c r="BF41" s="24">
        <f>VLOOKUP(BD41,CENY!$B$11:$G$1034,3,FALSE)</f>
        <v>10</v>
      </c>
      <c r="BG41" s="24"/>
      <c r="BH41" s="25">
        <f>AY27</f>
        <v>0</v>
      </c>
      <c r="BI41" s="451">
        <f t="shared" si="2"/>
        <v>0</v>
      </c>
      <c r="BJ41" s="107">
        <f>VLOOKUP(BD41,CENY!$B$11:$M$2005,12,FALSE)</f>
        <v>243.93</v>
      </c>
      <c r="BK41" s="107">
        <f t="shared" si="3"/>
        <v>0</v>
      </c>
    </row>
    <row r="42" spans="2:63" ht="14.4" customHeight="1">
      <c r="AU42" s="441">
        <f>OBJ!B265</f>
        <v>9257041</v>
      </c>
      <c r="AV42" s="23" t="str">
        <f>VLOOKUP(AU42,CENY!$B$11:$G$1034,2,FALSE)</f>
        <v>ACTRO YOU 70KG PLNOVÝSUV 650 MM EB21 SILENT SYSTEM SADA</v>
      </c>
      <c r="AW42" s="24">
        <f>VLOOKUP(AU42,CENY!$B$11:$G$1034,3,FALSE)</f>
        <v>1</v>
      </c>
      <c r="AX42" s="499">
        <v>10</v>
      </c>
      <c r="AY42" s="25">
        <f>AE22</f>
        <v>0</v>
      </c>
      <c r="AZ42" s="451">
        <f t="shared" si="1"/>
        <v>0</v>
      </c>
      <c r="BA42" s="107">
        <f>VLOOKUP(AU42,CENY!$B$11:$M$2005,12,FALSE)</f>
        <v>828.55</v>
      </c>
      <c r="BB42" s="107">
        <f t="shared" si="0"/>
        <v>0</v>
      </c>
      <c r="BD42" s="441">
        <f>OBJ!B234</f>
        <v>9256966</v>
      </c>
      <c r="BE42" s="23" t="str">
        <f>VLOOKUP(BD42,CENY!$B$11:$G$1034,2,FALSE)</f>
        <v>ACTRO YOU 10KG PLNOVÝSUV 350 MM EB21 SILENT SYSTEM PRAVÝ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243.93</v>
      </c>
      <c r="BK42" s="107">
        <f t="shared" si="3"/>
        <v>0</v>
      </c>
    </row>
    <row r="43" spans="2:63" ht="14.4" customHeight="1">
      <c r="AU43" s="441"/>
      <c r="AV43" s="23"/>
      <c r="AW43" s="24"/>
      <c r="AX43" s="24"/>
      <c r="AY43" s="25"/>
      <c r="AZ43" s="451" t="str">
        <f t="shared" si="1"/>
        <v/>
      </c>
      <c r="BA43" s="107"/>
      <c r="BB43" s="107" t="str">
        <f t="shared" si="0"/>
        <v/>
      </c>
      <c r="BD43" s="441"/>
      <c r="BE43" s="23"/>
      <c r="BF43" s="24"/>
      <c r="BG43" s="24"/>
      <c r="BH43" s="25"/>
      <c r="BI43" s="451" t="str">
        <f t="shared" si="2"/>
        <v/>
      </c>
      <c r="BJ43" s="107"/>
      <c r="BK43" s="107" t="str">
        <f t="shared" si="3"/>
        <v/>
      </c>
    </row>
    <row r="44" spans="2:63" ht="14.4" customHeight="1">
      <c r="AU44" s="441">
        <f>OBJ!B277</f>
        <v>9257890</v>
      </c>
      <c r="AV44" s="23" t="str">
        <f>VLOOKUP(AU44,CENY!$B$11:$G$1034,2,FALSE)</f>
        <v>PUSH TO OPEN SILENT ACTRO YOU / ACTRO 5D 10 KG</v>
      </c>
      <c r="AW44" s="24">
        <f>VLOOKUP(AU44,CENY!$B$11:$G$1034,3,FALSE)</f>
        <v>1</v>
      </c>
      <c r="AX44" s="24"/>
      <c r="AY44" s="25">
        <f>AN19</f>
        <v>0</v>
      </c>
      <c r="AZ44" s="451">
        <f t="shared" si="1"/>
        <v>0</v>
      </c>
      <c r="BA44" s="107">
        <f>VLOOKUP(AU44,CENY!$B$11:$M$2005,12,FALSE)</f>
        <v>544.37</v>
      </c>
      <c r="BB44" s="107">
        <f t="shared" si="0"/>
        <v>0</v>
      </c>
      <c r="BD44" s="441">
        <f>OBJ!B244</f>
        <v>9256974</v>
      </c>
      <c r="BE44" s="23" t="str">
        <f>VLOOKUP(BD44,CENY!$B$11:$G$1034,2,FALSE)</f>
        <v>ACTRO YOU 40KG PLNOVÝSUV 270 MM EB21 SILENT SYSTEM LEVÝ</v>
      </c>
      <c r="BF44" s="24">
        <f>VLOOKUP(BD44,CENY!$B$11:$G$1034,3,FALSE)</f>
        <v>10</v>
      </c>
      <c r="BG44" s="24"/>
      <c r="BH44" s="25">
        <f>AY29</f>
        <v>0</v>
      </c>
      <c r="BI44" s="451">
        <f t="shared" si="2"/>
        <v>0</v>
      </c>
      <c r="BJ44" s="107">
        <f>VLOOKUP(BD44,CENY!$B$11:$M$2005,12,FALSE)</f>
        <v>243.93</v>
      </c>
      <c r="BK44" s="107">
        <f t="shared" si="3"/>
        <v>0</v>
      </c>
    </row>
    <row r="45" spans="2:63" ht="14.4" customHeight="1">
      <c r="AU45" s="441">
        <f>OBJ!B278</f>
        <v>9257891</v>
      </c>
      <c r="AV45" s="23" t="str">
        <f>VLOOKUP(AU45,CENY!$B$11:$G$1034,2,FALSE)</f>
        <v>PUSH TO OPEN SILENT ACTRO YOU / ACTRO 5D 20 KG</v>
      </c>
      <c r="AW45" s="24">
        <f>VLOOKUP(AU45,CENY!$B$11:$G$1034,3,FALSE)</f>
        <v>1</v>
      </c>
      <c r="AX45" s="24"/>
      <c r="AY45" s="25">
        <f>AN20</f>
        <v>0</v>
      </c>
      <c r="AZ45" s="451">
        <f t="shared" si="1"/>
        <v>0</v>
      </c>
      <c r="BA45" s="107">
        <f>VLOOKUP(AU45,CENY!$B$11:$M$2005,12,FALSE)</f>
        <v>544.37</v>
      </c>
      <c r="BB45" s="107">
        <f t="shared" si="0"/>
        <v>0</v>
      </c>
      <c r="BD45" s="441">
        <f>OBJ!B245</f>
        <v>9256975</v>
      </c>
      <c r="BE45" s="23" t="str">
        <f>VLOOKUP(BD45,CENY!$B$11:$G$1034,2,FALSE)</f>
        <v>ACTRO YOU 40KG PLNOVÝSUV 270 MM EB21 SILENT SYSTEM PRAVÝ</v>
      </c>
      <c r="BF45" s="24">
        <f>VLOOKUP(BD45,CENY!$B$11:$G$1034,3,FALSE)</f>
        <v>10</v>
      </c>
      <c r="BG45" s="24"/>
      <c r="BH45" s="25">
        <f>AY29</f>
        <v>0</v>
      </c>
      <c r="BI45" s="451">
        <f t="shared" si="2"/>
        <v>0</v>
      </c>
      <c r="BJ45" s="107">
        <f>VLOOKUP(BD45,CENY!$B$11:$M$2005,12,FALSE)</f>
        <v>243.93</v>
      </c>
      <c r="BK45" s="107">
        <f t="shared" si="3"/>
        <v>0</v>
      </c>
    </row>
    <row r="46" spans="2:63" ht="14.4" customHeight="1">
      <c r="AU46" s="441">
        <f>OBJ!B279</f>
        <v>9257892</v>
      </c>
      <c r="AV46" s="23" t="str">
        <f>VLOOKUP(AU46,CENY!$B$11:$G$1034,2,FALSE)</f>
        <v>PUSH TO OPEN SILENT ACTRO YOU / ACTRO 5D 40 KG</v>
      </c>
      <c r="AW46" s="24">
        <f>VLOOKUP(AU46,CENY!$B$11:$G$1034,3,FALSE)</f>
        <v>1</v>
      </c>
      <c r="AX46" s="24"/>
      <c r="AY46" s="25">
        <f>AN21</f>
        <v>0</v>
      </c>
      <c r="AZ46" s="451">
        <f t="shared" si="1"/>
        <v>0</v>
      </c>
      <c r="BA46" s="107">
        <f>VLOOKUP(AU46,CENY!$B$11:$M$2005,12,FALSE)</f>
        <v>544.37</v>
      </c>
      <c r="BB46" s="107">
        <f t="shared" si="0"/>
        <v>0</v>
      </c>
      <c r="BD46" s="441">
        <f>OBJ!B246</f>
        <v>9256976</v>
      </c>
      <c r="BE46" s="23" t="str">
        <f>VLOOKUP(BD46,CENY!$B$11:$G$1034,2,FALSE)</f>
        <v>ACTRO YOU 40KG PLNOVÝSUV 300 MM EB21 SILENT SYSTEM LEVÝ</v>
      </c>
      <c r="BF46" s="24">
        <f>VLOOKUP(BD46,CENY!$B$11:$G$1034,3,FALSE)</f>
        <v>10</v>
      </c>
      <c r="BG46" s="24"/>
      <c r="BH46" s="25">
        <f>AY30</f>
        <v>0</v>
      </c>
      <c r="BI46" s="451">
        <f t="shared" si="2"/>
        <v>0</v>
      </c>
      <c r="BJ46" s="107">
        <f>VLOOKUP(BD46,CENY!$B$11:$M$2005,12,FALSE)</f>
        <v>243.93</v>
      </c>
      <c r="BK46" s="107">
        <f t="shared" si="3"/>
        <v>0</v>
      </c>
    </row>
    <row r="47" spans="2:63" ht="14.4" customHeight="1">
      <c r="AU47" s="441">
        <f>OBJ!B280</f>
        <v>9257893</v>
      </c>
      <c r="AV47" s="23" t="str">
        <f>VLOOKUP(AU47,CENY!$B$11:$G$1034,2,FALSE)</f>
        <v>PUSH TO OPEN SILENT ACTRO YOU / ACTRO 5D 70 KG</v>
      </c>
      <c r="AW47" s="24">
        <f>VLOOKUP(AU47,CENY!$B$11:$G$1034,3,FALSE)</f>
        <v>1</v>
      </c>
      <c r="AX47" s="24"/>
      <c r="AY47" s="25">
        <f>AN22</f>
        <v>0</v>
      </c>
      <c r="AZ47" s="451">
        <f t="shared" si="1"/>
        <v>0</v>
      </c>
      <c r="BA47" s="107">
        <f>VLOOKUP(AU47,CENY!$B$11:$M$2005,12,FALSE)</f>
        <v>544.37</v>
      </c>
      <c r="BB47" s="107">
        <f t="shared" si="0"/>
        <v>0</v>
      </c>
      <c r="BD47" s="441">
        <f>OBJ!B247</f>
        <v>9256977</v>
      </c>
      <c r="BE47" s="23" t="str">
        <f>VLOOKUP(BD47,CENY!$B$11:$G$1034,2,FALSE)</f>
        <v>ACTRO YOU 40KG PLNOVÝSUV 300 MM EB21 SILENT SYSTEM PRAVÝ</v>
      </c>
      <c r="BF47" s="24">
        <f>VLOOKUP(BD47,CENY!$B$11:$G$1034,3,FALSE)</f>
        <v>10</v>
      </c>
      <c r="BG47" s="24"/>
      <c r="BH47" s="25">
        <f>AY30</f>
        <v>0</v>
      </c>
      <c r="BI47" s="451">
        <f t="shared" si="2"/>
        <v>0</v>
      </c>
      <c r="BJ47" s="107">
        <f>VLOOKUP(BD47,CENY!$B$11:$M$2005,12,FALSE)</f>
        <v>243.93</v>
      </c>
      <c r="BK47" s="107">
        <f t="shared" si="3"/>
        <v>0</v>
      </c>
    </row>
    <row r="48" spans="2:63" ht="14.4" customHeight="1">
      <c r="AU48" s="441">
        <f>OBJ!B281</f>
        <v>9236718</v>
      </c>
      <c r="AV48" s="23" t="str">
        <f>VLOOKUP(AU48,CENY!$B$11:$G$1034,2,FALSE)</f>
        <v>PUSH TO OPEN SYNCHRONIZAČNÍ TYČ 2000 MM</v>
      </c>
      <c r="AW48" s="24">
        <f>VLOOKUP(AU48,CENY!$B$11:$G$1034,3,FALSE)</f>
        <v>100</v>
      </c>
      <c r="AX48" s="24"/>
      <c r="AY48" s="25">
        <f>SUM(AN19:AO22)+SUM(AN27:AO29)+SUM(O30:AD30)</f>
        <v>0</v>
      </c>
      <c r="AZ48" s="451">
        <f t="shared" si="1"/>
        <v>0</v>
      </c>
      <c r="BA48" s="107">
        <f>VLOOKUP(AU48,CENY!$B$11:$M$2005,12,FALSE)</f>
        <v>144.30000000000001</v>
      </c>
      <c r="BB48" s="107">
        <f t="shared" si="0"/>
        <v>0</v>
      </c>
      <c r="BD48" s="441">
        <f>OBJ!B248</f>
        <v>9256980</v>
      </c>
      <c r="BE48" s="23" t="str">
        <f>VLOOKUP(BD48,CENY!$B$11:$G$1034,2,FALSE)</f>
        <v>ACTRO YOU 40KG PLNOVÝSUV 350 MM EB21 SILENT SYSTEM LEVÝ</v>
      </c>
      <c r="BF48" s="24">
        <f>VLOOKUP(BD48,CENY!$B$11:$G$1034,3,FALSE)</f>
        <v>10</v>
      </c>
      <c r="BG48" s="24"/>
      <c r="BH48" s="25">
        <f>AY31</f>
        <v>0</v>
      </c>
      <c r="BI48" s="451">
        <f t="shared" si="2"/>
        <v>0</v>
      </c>
      <c r="BJ48" s="107">
        <f>VLOOKUP(BD48,CENY!$B$11:$M$2005,12,FALSE)</f>
        <v>243.93</v>
      </c>
      <c r="BK48" s="107">
        <f t="shared" si="3"/>
        <v>0</v>
      </c>
    </row>
    <row r="49" spans="47:63" ht="14.4" customHeight="1">
      <c r="AU49" s="441"/>
      <c r="AV49" s="23"/>
      <c r="AW49" s="24"/>
      <c r="AX49" s="24"/>
      <c r="AY49" s="25"/>
      <c r="AZ49" s="451" t="str">
        <f t="shared" si="1"/>
        <v/>
      </c>
      <c r="BA49" s="107"/>
      <c r="BB49" s="107" t="str">
        <f t="shared" si="0"/>
        <v/>
      </c>
      <c r="BD49" s="441">
        <f>OBJ!B249</f>
        <v>9256981</v>
      </c>
      <c r="BE49" s="23" t="str">
        <f>VLOOKUP(BD49,CENY!$B$11:$G$1034,2,FALSE)</f>
        <v>ACTRO YOU 40KG PLNOVÝSUV 350 MM EB21 SILENT SYSTEM PRAVÝ</v>
      </c>
      <c r="BF49" s="24">
        <f>VLOOKUP(BD49,CENY!$B$11:$G$1034,3,FALSE)</f>
        <v>10</v>
      </c>
      <c r="BG49" s="24"/>
      <c r="BH49" s="25">
        <f>AY31</f>
        <v>0</v>
      </c>
      <c r="BI49" s="451">
        <f t="shared" si="2"/>
        <v>0</v>
      </c>
      <c r="BJ49" s="107">
        <f>VLOOKUP(BD49,CENY!$B$11:$M$2005,12,FALSE)</f>
        <v>243.93</v>
      </c>
      <c r="BK49" s="107">
        <f t="shared" si="3"/>
        <v>0</v>
      </c>
    </row>
    <row r="50" spans="47:63" ht="14.4" customHeight="1">
      <c r="AU50" s="441">
        <f>OBJ!B287</f>
        <v>9256953</v>
      </c>
      <c r="AV50" s="23" t="str">
        <f>VLOOKUP(AU50,CENY!$B$11:$G$1034,2,FALSE)</f>
        <v>QUADRO YOU 10 KG PLNOVÝSUV 270 MM EB21 SILENT SYSTEM SADA</v>
      </c>
      <c r="AW50" s="24">
        <f>VLOOKUP(AU50,CENY!$B$11:$G$1034,3,FALSE)</f>
        <v>1</v>
      </c>
      <c r="AX50" s="499">
        <v>4</v>
      </c>
      <c r="AY50" s="25">
        <f>O27</f>
        <v>0</v>
      </c>
      <c r="AZ50" s="451">
        <f t="shared" si="1"/>
        <v>0</v>
      </c>
      <c r="BA50" s="107">
        <f>VLOOKUP(AU50,CENY!$B$11:$M$2005,12,FALSE)</f>
        <v>413.4</v>
      </c>
      <c r="BB50" s="107">
        <f t="shared" si="0"/>
        <v>0</v>
      </c>
      <c r="BD50" s="441">
        <f>OBJ!B250</f>
        <v>9256984</v>
      </c>
      <c r="BE50" s="23" t="str">
        <f>VLOOKUP(BD50,CENY!$B$11:$G$1034,2,FALSE)</f>
        <v>ACTRO YOU 40KG PLNOVÝSUV 400 MM EB21 SILENT SYSTEM LEVÝ</v>
      </c>
      <c r="BF50" s="24">
        <f>VLOOKUP(BD50,CENY!$B$11:$G$1034,3,FALSE)</f>
        <v>10</v>
      </c>
      <c r="BG50" s="24"/>
      <c r="BH50" s="25">
        <f>AY32</f>
        <v>0</v>
      </c>
      <c r="BI50" s="451">
        <f t="shared" si="2"/>
        <v>0</v>
      </c>
      <c r="BJ50" s="107">
        <f>VLOOKUP(BD50,CENY!$B$11:$M$2005,12,FALSE)</f>
        <v>247.05</v>
      </c>
      <c r="BK50" s="107">
        <f t="shared" si="3"/>
        <v>0</v>
      </c>
    </row>
    <row r="51" spans="47:63" ht="14.4" customHeight="1">
      <c r="AU51" s="441">
        <f>OBJ!B288</f>
        <v>9256954</v>
      </c>
      <c r="AV51" s="23" t="str">
        <f>VLOOKUP(AU51,CENY!$B$11:$G$1034,2,FALSE)</f>
        <v>QUADRO YOU 10 KG PLNOVÝSUV 300 MM EB21 SILENT SYSTEM SADA</v>
      </c>
      <c r="AW51" s="24">
        <f>VLOOKUP(AU51,CENY!$B$11:$G$1034,3,FALSE)</f>
        <v>1</v>
      </c>
      <c r="AX51" s="499">
        <v>4</v>
      </c>
      <c r="AY51" s="25">
        <f>Q27</f>
        <v>0</v>
      </c>
      <c r="AZ51" s="451">
        <f t="shared" si="1"/>
        <v>0</v>
      </c>
      <c r="BA51" s="107">
        <f>VLOOKUP(AU51,CENY!$B$11:$M$2005,12,FALSE)</f>
        <v>414.13</v>
      </c>
      <c r="BB51" s="107">
        <f t="shared" si="0"/>
        <v>0</v>
      </c>
      <c r="BD51" s="441">
        <f>OBJ!B251</f>
        <v>9256985</v>
      </c>
      <c r="BE51" s="23" t="str">
        <f>VLOOKUP(BD51,CENY!$B$11:$G$1034,2,FALSE)</f>
        <v>ACTRO YOU 40KG PLNOVÝSUV 400 MM EB21 SILENT SYSTEM PRAVÝ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247.05</v>
      </c>
      <c r="BK51" s="107">
        <f t="shared" si="3"/>
        <v>0</v>
      </c>
    </row>
    <row r="52" spans="47:63" ht="14.4" customHeight="1">
      <c r="AU52" s="441">
        <f>OBJ!B289</f>
        <v>9256956</v>
      </c>
      <c r="AV52" s="23" t="str">
        <f>VLOOKUP(AU52,CENY!$B$11:$G$1034,2,FALSE)</f>
        <v>QUADRO YOU 10 KG PLNOVÝSUV 350 MM EB21 SILENT SYSTEM SADA</v>
      </c>
      <c r="AW52" s="24">
        <f>VLOOKUP(AU52,CENY!$B$11:$G$1034,3,FALSE)</f>
        <v>1</v>
      </c>
      <c r="AX52" s="499">
        <v>4</v>
      </c>
      <c r="AY52" s="25">
        <f>S27</f>
        <v>0</v>
      </c>
      <c r="AZ52" s="451">
        <f t="shared" si="1"/>
        <v>0</v>
      </c>
      <c r="BA52" s="107">
        <f>VLOOKUP(AU52,CENY!$B$11:$M$2005,12,FALSE)</f>
        <v>421.61</v>
      </c>
      <c r="BB52" s="107">
        <f t="shared" si="0"/>
        <v>0</v>
      </c>
      <c r="BD52" s="441">
        <f>OBJ!B252</f>
        <v>9256988</v>
      </c>
      <c r="BE52" s="23" t="str">
        <f>VLOOKUP(BD52,CENY!$B$11:$G$1034,2,FALSE)</f>
        <v>ACTRO YOU 40KG PLNOVÝSUV 450 MM EB21 SILENT SYSTEM LEVÝ</v>
      </c>
      <c r="BF52" s="24">
        <f>VLOOKUP(BD52,CENY!$B$11:$G$1034,3,FALSE)</f>
        <v>10</v>
      </c>
      <c r="BG52" s="24"/>
      <c r="BH52" s="25">
        <f>AY33</f>
        <v>0</v>
      </c>
      <c r="BI52" s="451">
        <f t="shared" si="2"/>
        <v>0</v>
      </c>
      <c r="BJ52" s="107">
        <f>VLOOKUP(BD52,CENY!$B$11:$M$2005,12,FALSE)</f>
        <v>250.14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OBJ!B253</f>
        <v>9256989</v>
      </c>
      <c r="BE53" s="23" t="str">
        <f>VLOOKUP(BD53,CENY!$B$11:$G$1034,2,FALSE)</f>
        <v>ACTRO YOU 40KG PLNOVÝSUV 450 MM EB21 SILENT SYSTEM PRAVÝ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250.14</v>
      </c>
      <c r="BK53" s="107">
        <f t="shared" si="3"/>
        <v>0</v>
      </c>
    </row>
    <row r="54" spans="47:63" ht="14.4" customHeight="1">
      <c r="AU54" s="441">
        <f>OBJ!B297</f>
        <v>9256883</v>
      </c>
      <c r="AV54" s="23" t="str">
        <f>VLOOKUP(AU54,CENY!$B$11:$G$1034,2,FALSE)</f>
        <v>QUADRO YOU PLNOVÝSUV 270 MM EB21 SILENT SYSTEM SADA</v>
      </c>
      <c r="AW54" s="24">
        <f>VLOOKUP(AU54,CENY!$B$11:$G$1034,3,FALSE)</f>
        <v>1</v>
      </c>
      <c r="AX54" s="499">
        <v>8</v>
      </c>
      <c r="AY54" s="25">
        <f>O28</f>
        <v>0</v>
      </c>
      <c r="AZ54" s="451">
        <f t="shared" si="1"/>
        <v>0</v>
      </c>
      <c r="BA54" s="107">
        <f>VLOOKUP(AU54,CENY!$B$11:$M$2005,12,FALSE)</f>
        <v>372.29</v>
      </c>
      <c r="BB54" s="107">
        <f t="shared" si="0"/>
        <v>0</v>
      </c>
      <c r="BD54" s="441">
        <f>OBJ!B254</f>
        <v>9256992</v>
      </c>
      <c r="BE54" s="23" t="str">
        <f>VLOOKUP(BD54,CENY!$B$11:$G$1034,2,FALSE)</f>
        <v>ACTRO YOU 40KG PLNOVÝSUV 500 MM EB21 SILENT SYSTEM LEVÝ</v>
      </c>
      <c r="BF54" s="24">
        <f>VLOOKUP(BD54,CENY!$B$11:$G$1034,3,FALSE)</f>
        <v>10</v>
      </c>
      <c r="BG54" s="24"/>
      <c r="BH54" s="25">
        <f>AY34</f>
        <v>0</v>
      </c>
      <c r="BI54" s="451">
        <f t="shared" si="2"/>
        <v>0</v>
      </c>
      <c r="BJ54" s="107">
        <f>VLOOKUP(BD54,CENY!$B$11:$M$2005,12,FALSE)</f>
        <v>253.25</v>
      </c>
      <c r="BK54" s="107">
        <f t="shared" si="3"/>
        <v>0</v>
      </c>
    </row>
    <row r="55" spans="47:63" ht="14.4" customHeight="1">
      <c r="AU55" s="441">
        <f>OBJ!B298</f>
        <v>9256884</v>
      </c>
      <c r="AV55" s="23" t="str">
        <f>VLOOKUP(AU55,CENY!$B$11:$G$1034,2,FALSE)</f>
        <v>QUADRO YOU PLNOVÝSUV 300 MM EB21 SILENT SYSTEM SADA</v>
      </c>
      <c r="AW55" s="24">
        <f>VLOOKUP(AU55,CENY!$B$11:$G$1034,3,FALSE)</f>
        <v>1</v>
      </c>
      <c r="AX55" s="499">
        <v>8</v>
      </c>
      <c r="AY55" s="25">
        <f>Q28</f>
        <v>0</v>
      </c>
      <c r="AZ55" s="451">
        <f t="shared" si="1"/>
        <v>0</v>
      </c>
      <c r="BA55" s="107">
        <f>VLOOKUP(AU55,CENY!$B$11:$M$2005,12,FALSE)</f>
        <v>369.3</v>
      </c>
      <c r="BB55" s="107">
        <f t="shared" si="0"/>
        <v>0</v>
      </c>
      <c r="BD55" s="441">
        <f>OBJ!B255</f>
        <v>9256993</v>
      </c>
      <c r="BE55" s="23" t="str">
        <f>VLOOKUP(BD55,CENY!$B$11:$G$1034,2,FALSE)</f>
        <v>ACTRO YOU 40KG PLNOVÝSUV 500 MM EB21 SILENT SYSTEM PRAVÝ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253.25</v>
      </c>
      <c r="BK55" s="107">
        <f t="shared" si="3"/>
        <v>0</v>
      </c>
    </row>
    <row r="56" spans="47:63" ht="14.4" customHeight="1">
      <c r="AU56" s="441">
        <f>OBJ!B299</f>
        <v>9256886</v>
      </c>
      <c r="AV56" s="23" t="str">
        <f>VLOOKUP(AU56,CENY!$B$11:$G$1034,2,FALSE)</f>
        <v>QUADRO YOU PLNOVÝSUV 350 MM EB21 SILENT SYSTEM SADA</v>
      </c>
      <c r="AW56" s="24">
        <f>VLOOKUP(AU56,CENY!$B$11:$G$1034,3,FALSE)</f>
        <v>1</v>
      </c>
      <c r="AX56" s="499">
        <v>8</v>
      </c>
      <c r="AY56" s="25">
        <f>S28</f>
        <v>0</v>
      </c>
      <c r="AZ56" s="451">
        <f t="shared" si="1"/>
        <v>0</v>
      </c>
      <c r="BA56" s="107">
        <f>VLOOKUP(AU56,CENY!$B$11:$M$2005,12,FALSE)</f>
        <v>376.77</v>
      </c>
      <c r="BB56" s="107">
        <f t="shared" si="0"/>
        <v>0</v>
      </c>
      <c r="BD56" s="441">
        <f>OBJ!B256</f>
        <v>9256996</v>
      </c>
      <c r="BE56" s="23" t="str">
        <f>VLOOKUP(BD56,CENY!$B$11:$G$1034,2,FALSE)</f>
        <v>ACTRO YOU 40KG PLNOVÝSUV 550 MM EB21 SILENT SYSTEM LEVÝ</v>
      </c>
      <c r="BF56" s="24">
        <f>VLOOKUP(BD56,CENY!$B$11:$G$1034,3,FALSE)</f>
        <v>10</v>
      </c>
      <c r="BG56" s="24"/>
      <c r="BH56" s="25">
        <f>AY35</f>
        <v>0</v>
      </c>
      <c r="BI56" s="451">
        <f t="shared" si="2"/>
        <v>0</v>
      </c>
      <c r="BJ56" s="107">
        <f>VLOOKUP(BD56,CENY!$B$11:$M$2005,12,FALSE)</f>
        <v>269.83999999999997</v>
      </c>
      <c r="BK56" s="107">
        <f t="shared" si="3"/>
        <v>0</v>
      </c>
    </row>
    <row r="57" spans="47:63" ht="14.4" customHeight="1">
      <c r="AU57" s="441">
        <f>OBJ!B300</f>
        <v>9256888</v>
      </c>
      <c r="AV57" s="23" t="str">
        <f>VLOOKUP(AU57,CENY!$B$11:$G$1034,2,FALSE)</f>
        <v>QUADRO YOU PLNOVÝSUV 400 MM EB21 SILENT SYSTEM SADA</v>
      </c>
      <c r="AW57" s="24">
        <f>VLOOKUP(AU57,CENY!$B$11:$G$1034,3,FALSE)</f>
        <v>1</v>
      </c>
      <c r="AX57" s="499">
        <v>8</v>
      </c>
      <c r="AY57" s="25">
        <f>U28</f>
        <v>0</v>
      </c>
      <c r="AZ57" s="451">
        <f t="shared" si="1"/>
        <v>0</v>
      </c>
      <c r="BA57" s="107">
        <f>VLOOKUP(AU57,CENY!$B$11:$M$2005,12,FALSE)</f>
        <v>384.24</v>
      </c>
      <c r="BB57" s="107">
        <f t="shared" si="0"/>
        <v>0</v>
      </c>
      <c r="BD57" s="441">
        <f>OBJ!B257</f>
        <v>9256997</v>
      </c>
      <c r="BE57" s="23" t="str">
        <f>VLOOKUP(BD57,CENY!$B$11:$G$1034,2,FALSE)</f>
        <v>ACTRO YOU 40KG PLNOVÝSUV 550 MM EB21 SILENT SYSTEM PRAVÝ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269.83999999999997</v>
      </c>
      <c r="BK57" s="107">
        <f t="shared" si="3"/>
        <v>0</v>
      </c>
    </row>
    <row r="58" spans="47:63" ht="14.4" customHeight="1">
      <c r="AU58" s="441">
        <f>OBJ!B301</f>
        <v>9256890</v>
      </c>
      <c r="AV58" s="23" t="str">
        <f>VLOOKUP(AU58,CENY!$B$11:$G$1034,2,FALSE)</f>
        <v>QUADRO YOU PLNOVÝSUV 450 MM EB21 SILENT SYSTEM SADA</v>
      </c>
      <c r="AW58" s="24">
        <f>VLOOKUP(AU58,CENY!$B$11:$G$1034,3,FALSE)</f>
        <v>1</v>
      </c>
      <c r="AX58" s="499">
        <v>8</v>
      </c>
      <c r="AY58" s="25">
        <f>W28</f>
        <v>0</v>
      </c>
      <c r="AZ58" s="451">
        <f t="shared" si="1"/>
        <v>0</v>
      </c>
      <c r="BA58" s="107">
        <f>VLOOKUP(AU58,CENY!$B$11:$M$2005,12,FALSE)</f>
        <v>391.72</v>
      </c>
      <c r="BB58" s="107">
        <f t="shared" si="0"/>
        <v>0</v>
      </c>
      <c r="BD58" s="441">
        <f>OBJ!B258</f>
        <v>9268679</v>
      </c>
      <c r="BE58" s="23" t="str">
        <f>VLOOKUP(BD58,CENY!$B$11:$G$1034,2,FALSE)</f>
        <v>ACTRO YOU 40KG PLNOVÝSUV 600 MM EB21 SILENT SYSTÉM LEVÝ</v>
      </c>
      <c r="BF58" s="24">
        <f>VLOOKUP(BD58,CENY!$B$11:$G$1034,3,FALSE)</f>
        <v>10</v>
      </c>
      <c r="BG58" s="24"/>
      <c r="BH58" s="25">
        <f>AY36</f>
        <v>0</v>
      </c>
      <c r="BI58" s="451">
        <f t="shared" si="2"/>
        <v>0</v>
      </c>
      <c r="BJ58" s="107">
        <f>VLOOKUP(BD58,CENY!$B$11:$M$2005,12,FALSE)</f>
        <v>273.51</v>
      </c>
      <c r="BK58" s="107">
        <f t="shared" si="3"/>
        <v>0</v>
      </c>
    </row>
    <row r="59" spans="47:63" ht="14.4" customHeight="1">
      <c r="AU59" s="441">
        <f>OBJ!B302</f>
        <v>9256892</v>
      </c>
      <c r="AV59" s="23" t="str">
        <f>VLOOKUP(AU59,CENY!$B$11:$G$1034,2,FALSE)</f>
        <v>QUADRO YOU PLNOVÝSUV 500 MM EB21 SILENT SYSTEM SADA</v>
      </c>
      <c r="AW59" s="24">
        <f>VLOOKUP(AU59,CENY!$B$11:$G$1034,3,FALSE)</f>
        <v>1</v>
      </c>
      <c r="AX59" s="499">
        <v>8</v>
      </c>
      <c r="AY59" s="25">
        <f>Y28</f>
        <v>0</v>
      </c>
      <c r="AZ59" s="451">
        <f t="shared" si="1"/>
        <v>0</v>
      </c>
      <c r="BA59" s="107">
        <f>VLOOKUP(AU59,CENY!$B$11:$M$2005,12,FALSE)</f>
        <v>399.19</v>
      </c>
      <c r="BB59" s="107">
        <f t="shared" si="0"/>
        <v>0</v>
      </c>
      <c r="BD59" s="441">
        <f>OBJ!B259</f>
        <v>9268680</v>
      </c>
      <c r="BE59" s="23" t="str">
        <f>VLOOKUP(BD59,CENY!$B$11:$G$1034,2,FALSE)</f>
        <v>ACTRO YOU 40KG PLNOVÝSUV 600 MM EB21 SILENT SYSTÉM PRAVÝ</v>
      </c>
      <c r="BF59" s="24">
        <f>VLOOKUP(BD59,CENY!$B$11:$G$1034,3,FALSE)</f>
        <v>10</v>
      </c>
      <c r="BG59" s="24"/>
      <c r="BH59" s="25">
        <f>AY36</f>
        <v>0</v>
      </c>
      <c r="BI59" s="451">
        <f t="shared" si="2"/>
        <v>0</v>
      </c>
      <c r="BJ59" s="107">
        <f>VLOOKUP(BD59,CENY!$B$11:$M$2005,12,FALSE)</f>
        <v>273.51</v>
      </c>
      <c r="BK59" s="107">
        <f t="shared" si="3"/>
        <v>0</v>
      </c>
    </row>
    <row r="60" spans="47:63" ht="14.4" customHeight="1">
      <c r="AU60" s="441">
        <f>OBJ!B303</f>
        <v>9256894</v>
      </c>
      <c r="AV60" s="23" t="str">
        <f>VLOOKUP(AU60,CENY!$B$11:$G$1034,2,FALSE)</f>
        <v>QUADRO YOU PLNOVÝSUV 550 MM EB21 SILENT SYSTEM SADA</v>
      </c>
      <c r="AW60" s="24">
        <f>VLOOKUP(AU60,CENY!$B$11:$G$1034,3,FALSE)</f>
        <v>1</v>
      </c>
      <c r="AX60" s="499">
        <v>8</v>
      </c>
      <c r="AY60" s="25">
        <f>AA28</f>
        <v>0</v>
      </c>
      <c r="AZ60" s="451">
        <f t="shared" si="1"/>
        <v>0</v>
      </c>
      <c r="BA60" s="107">
        <f>VLOOKUP(AU60,CENY!$B$11:$M$2005,12,FALSE)</f>
        <v>412.64</v>
      </c>
      <c r="BB60" s="107">
        <f t="shared" si="0"/>
        <v>0</v>
      </c>
      <c r="BD60" s="441"/>
      <c r="BE60" s="23"/>
      <c r="BF60" s="24"/>
      <c r="BG60" s="24"/>
      <c r="BH60" s="25"/>
      <c r="BI60" s="451" t="str">
        <f t="shared" si="2"/>
        <v/>
      </c>
      <c r="BJ60" s="107"/>
      <c r="BK60" s="107" t="str">
        <f t="shared" si="3"/>
        <v/>
      </c>
    </row>
    <row r="61" spans="47:63" ht="14.4" customHeight="1">
      <c r="AU61" s="441">
        <f>OBJ!B304</f>
        <v>9256896</v>
      </c>
      <c r="AV61" s="23" t="str">
        <f>VLOOKUP(AU61,CENY!$B$11:$G$1034,2,FALSE)</f>
        <v>QUADRO YOU PLNOVÝSUV 600 MM EB21 SILENT SYSTEM SADA</v>
      </c>
      <c r="AW61" s="24">
        <f>VLOOKUP(AU61,CENY!$B$11:$G$1034,3,FALSE)</f>
        <v>1</v>
      </c>
      <c r="AX61" s="499">
        <v>8</v>
      </c>
      <c r="AY61" s="25">
        <f>AC28</f>
        <v>0</v>
      </c>
      <c r="AZ61" s="451">
        <f t="shared" si="1"/>
        <v>0</v>
      </c>
      <c r="BA61" s="107">
        <f>VLOOKUP(AU61,CENY!$B$11:$M$2005,12,FALSE)</f>
        <v>420.11</v>
      </c>
      <c r="BB61" s="107">
        <f t="shared" si="0"/>
        <v>0</v>
      </c>
      <c r="BD61" s="441">
        <f>OBJ!B266</f>
        <v>9257013</v>
      </c>
      <c r="BE61" s="23" t="str">
        <f>VLOOKUP(BD61,CENY!$B$11:$G$1034,2,FALSE)</f>
        <v>ACTRO YOU 70KG PLNOVÝSUV 450 MM EB21 SILENT SYSTEM LEVÝ</v>
      </c>
      <c r="BF61" s="24">
        <f>VLOOKUP(BD61,CENY!$B$11:$G$1034,3,FALSE)</f>
        <v>10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309.07</v>
      </c>
      <c r="BK61" s="107">
        <f t="shared" si="3"/>
        <v>0</v>
      </c>
    </row>
    <row r="62" spans="47:63" ht="14.4" customHeight="1">
      <c r="AU62" s="441"/>
      <c r="AV62" s="23"/>
      <c r="AW62" s="24"/>
      <c r="AX62" s="24"/>
      <c r="AY62" s="25"/>
      <c r="AZ62" s="451" t="str">
        <f t="shared" si="1"/>
        <v/>
      </c>
      <c r="BA62" s="107"/>
      <c r="BB62" s="107" t="str">
        <f t="shared" si="0"/>
        <v/>
      </c>
      <c r="BD62" s="441">
        <f>OBJ!B267</f>
        <v>9257014</v>
      </c>
      <c r="BE62" s="23" t="str">
        <f>VLOOKUP(BD62,CENY!$B$11:$G$1034,2,FALSE)</f>
        <v>ACTRO YOU 70KG PLNOVÝSUV 450 MM EB21 SILENT SYSTEM PRAVÝ</v>
      </c>
      <c r="BF62" s="24">
        <f>VLOOKUP(BD62,CENY!$B$11:$G$1034,3,FALSE)</f>
        <v>10</v>
      </c>
      <c r="BG62" s="24"/>
      <c r="BH62" s="25">
        <f>AY38</f>
        <v>0</v>
      </c>
      <c r="BI62" s="451">
        <f t="shared" si="2"/>
        <v>0</v>
      </c>
      <c r="BJ62" s="107">
        <f>VLOOKUP(BD62,CENY!$B$11:$M$2005,12,FALSE)</f>
        <v>309.07</v>
      </c>
      <c r="BK62" s="107">
        <f t="shared" si="3"/>
        <v>0</v>
      </c>
    </row>
    <row r="63" spans="47:63" ht="14.4" customHeight="1">
      <c r="AU63" s="441">
        <f>OBJ!B322</f>
        <v>9257894</v>
      </c>
      <c r="AV63" s="23" t="str">
        <f>VLOOKUP(AU63,CENY!$B$11:$G$1034,2,FALSE)</f>
        <v>PUSH TO OPEN SILENT QUADRO YOU 10 KG</v>
      </c>
      <c r="AW63" s="24">
        <f>VLOOKUP(AU63,CENY!$B$11:$G$1034,3,FALSE)</f>
        <v>1</v>
      </c>
      <c r="AX63" s="24"/>
      <c r="AY63" s="25">
        <f>AN27</f>
        <v>0</v>
      </c>
      <c r="AZ63" s="451">
        <f t="shared" si="1"/>
        <v>0</v>
      </c>
      <c r="BA63" s="107">
        <f>VLOOKUP(AU63,CENY!$B$11:$M$2005,12,FALSE)</f>
        <v>544.37</v>
      </c>
      <c r="BB63" s="107">
        <f t="shared" si="0"/>
        <v>0</v>
      </c>
      <c r="BD63" s="441">
        <f>OBJ!B268</f>
        <v>9257017</v>
      </c>
      <c r="BE63" s="23" t="str">
        <f>VLOOKUP(BD63,CENY!$B$11:$G$1034,2,FALSE)</f>
        <v>ACTRO YOU 70KG PLNOVÝSUV 500 MM EB21 SILENT SYSTEM LEVÝ</v>
      </c>
      <c r="BF63" s="24">
        <f>VLOOKUP(BD63,CENY!$B$11:$G$1034,3,FALSE)</f>
        <v>10</v>
      </c>
      <c r="BG63" s="24"/>
      <c r="BH63" s="25">
        <f>AY39</f>
        <v>0</v>
      </c>
      <c r="BI63" s="451">
        <f t="shared" si="2"/>
        <v>0</v>
      </c>
      <c r="BJ63" s="107">
        <f>VLOOKUP(BD63,CENY!$B$11:$M$2005,12,FALSE)</f>
        <v>312.18</v>
      </c>
      <c r="BK63" s="107">
        <f t="shared" si="3"/>
        <v>0</v>
      </c>
    </row>
    <row r="64" spans="47:63" ht="14.4" customHeight="1">
      <c r="AU64" s="441">
        <f>OBJ!B323</f>
        <v>9257895</v>
      </c>
      <c r="AV64" s="23" t="str">
        <f>VLOOKUP(AU64,CENY!$B$11:$G$1034,2,FALSE)</f>
        <v>PUSH TO OPEN SILENT QUADRO YOU 20 KG</v>
      </c>
      <c r="AW64" s="24">
        <f>VLOOKUP(AU64,CENY!$B$11:$G$1034,3,FALSE)</f>
        <v>1</v>
      </c>
      <c r="AX64" s="24"/>
      <c r="AY64" s="25">
        <f>AN28</f>
        <v>0</v>
      </c>
      <c r="AZ64" s="451">
        <f t="shared" si="1"/>
        <v>0</v>
      </c>
      <c r="BA64" s="107">
        <f>VLOOKUP(AU64,CENY!$B$11:$M$2005,12,FALSE)</f>
        <v>544.37</v>
      </c>
      <c r="BB64" s="107">
        <f t="shared" si="0"/>
        <v>0</v>
      </c>
      <c r="BD64" s="441">
        <f>OBJ!B269</f>
        <v>9257018</v>
      </c>
      <c r="BE64" s="23" t="str">
        <f>VLOOKUP(BD64,CENY!$B$11:$G$1034,2,FALSE)</f>
        <v>ACTRO YOU 70KG PLNOVÝSUV 500 MM EB21 SILENT SYSTEM PRAVÝ</v>
      </c>
      <c r="BF64" s="24">
        <f>VLOOKUP(BD64,CENY!$B$11:$G$1034,3,FALSE)</f>
        <v>10</v>
      </c>
      <c r="BG64" s="24"/>
      <c r="BH64" s="25">
        <f>AY39</f>
        <v>0</v>
      </c>
      <c r="BI64" s="451">
        <f t="shared" si="2"/>
        <v>0</v>
      </c>
      <c r="BJ64" s="107">
        <f>VLOOKUP(BD64,CENY!$B$11:$M$2005,12,FALSE)</f>
        <v>312.18</v>
      </c>
      <c r="BK64" s="107">
        <f t="shared" si="3"/>
        <v>0</v>
      </c>
    </row>
    <row r="65" spans="47:63" ht="14.4" customHeight="1">
      <c r="AU65" s="441">
        <f>OBJ!B324</f>
        <v>9257896</v>
      </c>
      <c r="AV65" s="23" t="str">
        <f>VLOOKUP(AU65,CENY!$B$11:$G$1034,2,FALSE)</f>
        <v>PUSH TO OPEN SILENT QUADRO YOU 30 KG</v>
      </c>
      <c r="AW65" s="24">
        <f>VLOOKUP(AU65,CENY!$B$11:$G$1034,3,FALSE)</f>
        <v>1</v>
      </c>
      <c r="AX65" s="24"/>
      <c r="AY65" s="25">
        <f>AN29</f>
        <v>0</v>
      </c>
      <c r="AZ65" s="451">
        <f t="shared" si="1"/>
        <v>0</v>
      </c>
      <c r="BA65" s="107">
        <f>VLOOKUP(AU65,CENY!$B$11:$M$2005,12,FALSE)</f>
        <v>544.37</v>
      </c>
      <c r="BB65" s="107">
        <f t="shared" si="0"/>
        <v>0</v>
      </c>
      <c r="BD65" s="441">
        <f>OBJ!B270</f>
        <v>9257021</v>
      </c>
      <c r="BE65" s="23" t="str">
        <f>VLOOKUP(BD65,CENY!$B$11:$G$1034,2,FALSE)</f>
        <v>ACTRO YOU 70KG PLNOVÝSUV 550 MM EB21 SILENT SYSTEM LEVÝ</v>
      </c>
      <c r="BF65" s="24">
        <f>VLOOKUP(BD65,CENY!$B$11:$G$1034,3,FALSE)</f>
        <v>10</v>
      </c>
      <c r="BG65" s="24"/>
      <c r="BH65" s="25">
        <f>AY40</f>
        <v>0</v>
      </c>
      <c r="BI65" s="451">
        <f t="shared" si="2"/>
        <v>0</v>
      </c>
      <c r="BJ65" s="107">
        <f>VLOOKUP(BD65,CENY!$B$11:$M$2005,12,FALSE)</f>
        <v>328.77</v>
      </c>
      <c r="BK65" s="107">
        <f t="shared" si="3"/>
        <v>0</v>
      </c>
    </row>
    <row r="66" spans="47:63" ht="14.4" customHeight="1">
      <c r="AU66" s="441"/>
      <c r="AV66" s="23"/>
      <c r="AW66" s="24"/>
      <c r="AX66" s="24"/>
      <c r="AY66" s="25"/>
      <c r="AZ66" s="451" t="str">
        <f t="shared" si="1"/>
        <v/>
      </c>
      <c r="BA66" s="107"/>
      <c r="BB66" s="107" t="str">
        <f t="shared" si="0"/>
        <v/>
      </c>
      <c r="BD66" s="441">
        <f>OBJ!B271</f>
        <v>9257022</v>
      </c>
      <c r="BE66" s="23" t="str">
        <f>VLOOKUP(BD66,CENY!$B$11:$G$1034,2,FALSE)</f>
        <v>ACTRO YOU 70KG PLNOVÝSUV 550 MM EB21 SILENT SYSTEM PRAVÝ</v>
      </c>
      <c r="BF66" s="24">
        <f>VLOOKUP(BD66,CENY!$B$11:$G$1034,3,FALSE)</f>
        <v>10</v>
      </c>
      <c r="BG66" s="24"/>
      <c r="BH66" s="25">
        <f>AY40</f>
        <v>0</v>
      </c>
      <c r="BI66" s="451">
        <f t="shared" si="2"/>
        <v>0</v>
      </c>
      <c r="BJ66" s="107">
        <f>VLOOKUP(BD66,CENY!$B$11:$M$2005,12,FALSE)</f>
        <v>328.77</v>
      </c>
      <c r="BK66" s="107">
        <f t="shared" si="3"/>
        <v>0</v>
      </c>
    </row>
    <row r="67" spans="47:63" ht="14.4" customHeight="1">
      <c r="AU67" s="441">
        <f>OBJ!B326</f>
        <v>9256928</v>
      </c>
      <c r="AV67" s="23" t="str">
        <f>VLOOKUP(AU67,CENY!$B$11:$G$1034,2,FALSE)</f>
        <v>QUADRO YOU PLNOVÝSUV 270 MM EB21 PUSH TO OPEN SADA</v>
      </c>
      <c r="AW67" s="24">
        <f>VLOOKUP(AU67,CENY!$B$11:$G$1034,3,FALSE)</f>
        <v>1</v>
      </c>
      <c r="AX67" s="499">
        <v>8</v>
      </c>
      <c r="AY67" s="25">
        <f>O30</f>
        <v>0</v>
      </c>
      <c r="AZ67" s="451">
        <f t="shared" si="1"/>
        <v>0</v>
      </c>
      <c r="BA67" s="107">
        <f>VLOOKUP(AU67,CENY!$B$11:$M$2005,12,FALSE)</f>
        <v>413.4</v>
      </c>
      <c r="BB67" s="107">
        <f t="shared" ref="BB67:BB88" si="4">IF(BA67="","",BA67*AY67)</f>
        <v>0</v>
      </c>
      <c r="BD67" s="441">
        <f>OBJ!B272</f>
        <v>9257025</v>
      </c>
      <c r="BE67" s="23" t="str">
        <f>VLOOKUP(BD67,CENY!$B$11:$G$1034,2,FALSE)</f>
        <v>ACTRO YOU 70KG PLNOVÝSUV 600 MM EB21 SILENT SYSTEM LEVÝ</v>
      </c>
      <c r="BF67" s="24">
        <f>VLOOKUP(BD67,CENY!$B$11:$G$1034,3,FALSE)</f>
        <v>10</v>
      </c>
      <c r="BG67" s="24"/>
      <c r="BH67" s="25">
        <f>AY41</f>
        <v>0</v>
      </c>
      <c r="BI67" s="451">
        <f t="shared" si="2"/>
        <v>0</v>
      </c>
      <c r="BJ67" s="107">
        <f>VLOOKUP(BD67,CENY!$B$11:$M$2005,12,FALSE)</f>
        <v>362.28</v>
      </c>
      <c r="BK67" s="107">
        <f t="shared" si="3"/>
        <v>0</v>
      </c>
    </row>
    <row r="68" spans="47:63" ht="14.4" customHeight="1">
      <c r="AU68" s="441">
        <f>OBJ!B327</f>
        <v>9256929</v>
      </c>
      <c r="AV68" s="23" t="str">
        <f>VLOOKUP(AU68,CENY!$B$11:$G$1034,2,FALSE)</f>
        <v>QUADRO YOU PLNOVÝSUV 300 MM EB21 PUSH TO OPEN SADA</v>
      </c>
      <c r="AW68" s="24">
        <f>VLOOKUP(AU68,CENY!$B$11:$G$1034,3,FALSE)</f>
        <v>1</v>
      </c>
      <c r="AX68" s="499">
        <v>8</v>
      </c>
      <c r="AY68" s="25">
        <f>Q30</f>
        <v>0</v>
      </c>
      <c r="AZ68" s="451">
        <f t="shared" ref="AZ68:AZ126" si="5">IF(AY68="","",IF($AW$4=1,AY68,0))</f>
        <v>0</v>
      </c>
      <c r="BA68" s="107">
        <f>VLOOKUP(AU68,CENY!$B$11:$M$2005,12,FALSE)</f>
        <v>414.13</v>
      </c>
      <c r="BB68" s="107">
        <f t="shared" si="4"/>
        <v>0</v>
      </c>
      <c r="BD68" s="441">
        <f>OBJ!B273</f>
        <v>9257026</v>
      </c>
      <c r="BE68" s="23" t="str">
        <f>VLOOKUP(BD68,CENY!$B$11:$G$1034,2,FALSE)</f>
        <v>ACTRO YOU 70KG PLNOVÝSUV 600 MM EB21 SILENT SYSTEM PRAVÝ</v>
      </c>
      <c r="BF68" s="24">
        <f>VLOOKUP(BD68,CENY!$B$11:$G$1034,3,FALSE)</f>
        <v>10</v>
      </c>
      <c r="BG68" s="24"/>
      <c r="BH68" s="25">
        <f>AY41</f>
        <v>0</v>
      </c>
      <c r="BI68" s="451">
        <f t="shared" si="2"/>
        <v>0</v>
      </c>
      <c r="BJ68" s="107">
        <f>VLOOKUP(BD68,CENY!$B$11:$M$2005,12,FALSE)</f>
        <v>362.28</v>
      </c>
      <c r="BK68" s="107">
        <f t="shared" si="3"/>
        <v>0</v>
      </c>
    </row>
    <row r="69" spans="47:63" ht="14.4" customHeight="1">
      <c r="AU69" s="441">
        <f>OBJ!B328</f>
        <v>9256931</v>
      </c>
      <c r="AV69" s="23" t="str">
        <f>VLOOKUP(AU69,CENY!$B$11:$G$1034,2,FALSE)</f>
        <v>QUADRO YOU PLNOVÝSUV 350 MM EB21 PUSH TO OPEN SADA</v>
      </c>
      <c r="AW69" s="24">
        <f>VLOOKUP(AU69,CENY!$B$11:$G$1034,3,FALSE)</f>
        <v>1</v>
      </c>
      <c r="AX69" s="499">
        <v>8</v>
      </c>
      <c r="AY69" s="25">
        <f>S30</f>
        <v>0</v>
      </c>
      <c r="AZ69" s="451">
        <f t="shared" si="5"/>
        <v>0</v>
      </c>
      <c r="BA69" s="107">
        <f>VLOOKUP(AU69,CENY!$B$11:$M$2005,12,FALSE)</f>
        <v>421.61</v>
      </c>
      <c r="BB69" s="107">
        <f t="shared" si="4"/>
        <v>0</v>
      </c>
      <c r="BD69" s="441">
        <f>OBJ!B274</f>
        <v>9257027</v>
      </c>
      <c r="BE69" s="23" t="str">
        <f>VLOOKUP(BD69,CENY!$B$11:$G$1034,2,FALSE)</f>
        <v>ACTRO YOU 70KG PLNOVÝSUV 650 MM EB21 SILENT SYSTEM LEVÝ</v>
      </c>
      <c r="BF69" s="24">
        <f>VLOOKUP(BD69,CENY!$B$11:$G$1034,3,FALSE)</f>
        <v>5</v>
      </c>
      <c r="BG69" s="24"/>
      <c r="BH69" s="25">
        <f>AY42</f>
        <v>0</v>
      </c>
      <c r="BI69" s="451">
        <f t="shared" si="2"/>
        <v>0</v>
      </c>
      <c r="BJ69" s="107">
        <f>VLOOKUP(BD69,CENY!$B$11:$M$2005,12,FALSE)</f>
        <v>377.39</v>
      </c>
      <c r="BK69" s="107">
        <f t="shared" si="3"/>
        <v>0</v>
      </c>
    </row>
    <row r="70" spans="47:63" ht="14.4" customHeight="1">
      <c r="AU70" s="441">
        <f>OBJ!B329</f>
        <v>9256933</v>
      </c>
      <c r="AV70" s="23" t="str">
        <f>VLOOKUP(AU70,CENY!$B$11:$G$1034,2,FALSE)</f>
        <v>QUADRO YOU PLNOVÝSUV 400 MM EB21 PUSH TO OPEN SADA</v>
      </c>
      <c r="AW70" s="24">
        <f>VLOOKUP(AU70,CENY!$B$11:$G$1034,3,FALSE)</f>
        <v>1</v>
      </c>
      <c r="AX70" s="499">
        <v>8</v>
      </c>
      <c r="AY70" s="25">
        <f>U30</f>
        <v>0</v>
      </c>
      <c r="AZ70" s="451">
        <f t="shared" si="5"/>
        <v>0</v>
      </c>
      <c r="BA70" s="107">
        <f>VLOOKUP(AU70,CENY!$B$11:$M$2005,12,FALSE)</f>
        <v>429.08</v>
      </c>
      <c r="BB70" s="107">
        <f t="shared" si="4"/>
        <v>0</v>
      </c>
      <c r="BD70" s="441">
        <f>OBJ!B275</f>
        <v>9257028</v>
      </c>
      <c r="BE70" s="23" t="str">
        <f>VLOOKUP(BD70,CENY!$B$11:$G$1034,2,FALSE)</f>
        <v>ACTRO YOU 70KG PLNOVÝSUV 650 MM EB21 SILENT SYSTEM PRAVÝ</v>
      </c>
      <c r="BF70" s="24">
        <f>VLOOKUP(BD70,CENY!$B$11:$G$1034,3,FALSE)</f>
        <v>5</v>
      </c>
      <c r="BG70" s="24"/>
      <c r="BH70" s="25">
        <f>AY42</f>
        <v>0</v>
      </c>
      <c r="BI70" s="451">
        <f t="shared" ref="BI70:BI133" si="6">IF(BH70="","",IF($AW$4=0,BH70,0))</f>
        <v>0</v>
      </c>
      <c r="BJ70" s="107">
        <f>VLOOKUP(BD70,CENY!$B$11:$M$2005,12,FALSE)</f>
        <v>377.39</v>
      </c>
      <c r="BK70" s="107">
        <f t="shared" ref="BK70:BK133" si="7">IF(BJ70="","",BJ70*BH70)</f>
        <v>0</v>
      </c>
    </row>
    <row r="71" spans="47:63" ht="14.4" customHeight="1">
      <c r="AU71" s="441">
        <f>OBJ!B330</f>
        <v>9256935</v>
      </c>
      <c r="AV71" s="23" t="str">
        <f>VLOOKUP(AU71,CENY!$B$11:$G$1034,2,FALSE)</f>
        <v>QUADRO YOU PLNOVÝSUV 450 MM EB21 PUSH TO OPEN SADA</v>
      </c>
      <c r="AW71" s="24">
        <f>VLOOKUP(AU71,CENY!$B$11:$G$1034,3,FALSE)</f>
        <v>1</v>
      </c>
      <c r="AX71" s="499">
        <v>8</v>
      </c>
      <c r="AY71" s="25">
        <f>W30</f>
        <v>0</v>
      </c>
      <c r="AZ71" s="451">
        <f t="shared" si="5"/>
        <v>0</v>
      </c>
      <c r="BA71" s="107">
        <f>VLOOKUP(AU71,CENY!$B$11:$M$2005,12,FALSE)</f>
        <v>436.55</v>
      </c>
      <c r="BB71" s="107">
        <f t="shared" si="4"/>
        <v>0</v>
      </c>
      <c r="BD71" s="441"/>
      <c r="BE71" s="23"/>
      <c r="BF71" s="24"/>
      <c r="BG71" s="24"/>
      <c r="BH71" s="25"/>
      <c r="BI71" s="451" t="str">
        <f t="shared" si="6"/>
        <v/>
      </c>
      <c r="BJ71" s="107"/>
      <c r="BK71" s="107" t="str">
        <f t="shared" si="7"/>
        <v/>
      </c>
    </row>
    <row r="72" spans="47:63" ht="14.4" customHeight="1">
      <c r="AU72" s="441">
        <f>OBJ!B331</f>
        <v>9256937</v>
      </c>
      <c r="AV72" s="23" t="str">
        <f>VLOOKUP(AU72,CENY!$B$11:$G$1034,2,FALSE)</f>
        <v>QUADRO YOU PLNOVÝSUV 500 MM EB21 PUSH TO OPEN SADA</v>
      </c>
      <c r="AW72" s="24">
        <f>VLOOKUP(AU72,CENY!$B$11:$G$1034,3,FALSE)</f>
        <v>1</v>
      </c>
      <c r="AX72" s="499">
        <v>8</v>
      </c>
      <c r="AY72" s="25">
        <f>Y30</f>
        <v>0</v>
      </c>
      <c r="AZ72" s="451">
        <f t="shared" si="5"/>
        <v>0</v>
      </c>
      <c r="BA72" s="107">
        <f>VLOOKUP(AU72,CENY!$B$11:$M$2005,12,FALSE)</f>
        <v>444.02</v>
      </c>
      <c r="BB72" s="107">
        <f t="shared" si="4"/>
        <v>0</v>
      </c>
      <c r="BD72" s="441">
        <f>OBJ!B277</f>
        <v>9257890</v>
      </c>
      <c r="BE72" s="23" t="str">
        <f>VLOOKUP(BD72,CENY!$B$11:$G$1034,2,FALSE)</f>
        <v>PUSH TO OPEN SILENT ACTRO YOU / ACTRO 5D 10 KG</v>
      </c>
      <c r="BF72" s="24">
        <f>VLOOKUP(BD72,CENY!$B$11:$G$1034,3,FALSE)</f>
        <v>1</v>
      </c>
      <c r="BG72" s="24"/>
      <c r="BH72" s="25">
        <f>AY44</f>
        <v>0</v>
      </c>
      <c r="BI72" s="451">
        <f t="shared" si="6"/>
        <v>0</v>
      </c>
      <c r="BJ72" s="107">
        <f>VLOOKUP(BD72,CENY!$B$11:$M$2005,12,FALSE)</f>
        <v>544.37</v>
      </c>
      <c r="BK72" s="107">
        <f t="shared" si="7"/>
        <v>0</v>
      </c>
    </row>
    <row r="73" spans="47:63" ht="14.4" customHeight="1">
      <c r="AU73" s="441">
        <f>OBJ!B332</f>
        <v>9256939</v>
      </c>
      <c r="AV73" s="23" t="str">
        <f>VLOOKUP(AU73,CENY!$B$11:$G$1034,2,FALSE)</f>
        <v>QUADRO YOU PLNOVÝSUV 550 MM EB21 PUSH TO OPEN SADA</v>
      </c>
      <c r="AW73" s="24">
        <f>VLOOKUP(AU73,CENY!$B$11:$G$1034,3,FALSE)</f>
        <v>1</v>
      </c>
      <c r="AX73" s="499">
        <v>8</v>
      </c>
      <c r="AY73" s="25">
        <f>AA30</f>
        <v>0</v>
      </c>
      <c r="AZ73" s="451">
        <f t="shared" si="5"/>
        <v>0</v>
      </c>
      <c r="BA73" s="107">
        <f>VLOOKUP(AU73,CENY!$B$11:$M$2005,12,FALSE)</f>
        <v>457.48</v>
      </c>
      <c r="BB73" s="107">
        <f t="shared" si="4"/>
        <v>0</v>
      </c>
      <c r="BD73" s="441">
        <f>OBJ!B278</f>
        <v>9257891</v>
      </c>
      <c r="BE73" s="23" t="str">
        <f>VLOOKUP(BD73,CENY!$B$11:$G$1034,2,FALSE)</f>
        <v>PUSH TO OPEN SILENT ACTRO YOU / ACTRO 5D 20 KG</v>
      </c>
      <c r="BF73" s="24">
        <f>VLOOKUP(BD73,CENY!$B$11:$G$1034,3,FALSE)</f>
        <v>1</v>
      </c>
      <c r="BG73" s="24"/>
      <c r="BH73" s="25">
        <f>AY45</f>
        <v>0</v>
      </c>
      <c r="BI73" s="451">
        <f t="shared" si="6"/>
        <v>0</v>
      </c>
      <c r="BJ73" s="107">
        <f>VLOOKUP(BD73,CENY!$B$11:$M$2005,12,FALSE)</f>
        <v>544.37</v>
      </c>
      <c r="BK73" s="107">
        <f t="shared" si="7"/>
        <v>0</v>
      </c>
    </row>
    <row r="74" spans="47:63" ht="14.4" customHeight="1">
      <c r="AU74" s="441">
        <f>OBJ!B333</f>
        <v>9256941</v>
      </c>
      <c r="AV74" s="23" t="str">
        <f>VLOOKUP(AU74,CENY!$B$11:$G$1034,2,FALSE)</f>
        <v>QUADRO YOU PLNOVÝSUV 600 MM EB21 PUSH TO OPEN SADA</v>
      </c>
      <c r="AW74" s="24">
        <f>VLOOKUP(AU74,CENY!$B$11:$G$1034,3,FALSE)</f>
        <v>1</v>
      </c>
      <c r="AX74" s="499">
        <v>8</v>
      </c>
      <c r="AY74" s="25">
        <f>AC30</f>
        <v>0</v>
      </c>
      <c r="AZ74" s="451">
        <f t="shared" si="5"/>
        <v>0</v>
      </c>
      <c r="BA74" s="107">
        <f>VLOOKUP(AU74,CENY!$B$11:$M$2005,12,FALSE)</f>
        <v>464.95</v>
      </c>
      <c r="BB74" s="107">
        <f t="shared" si="4"/>
        <v>0</v>
      </c>
      <c r="BD74" s="441">
        <f>OBJ!B279</f>
        <v>9257892</v>
      </c>
      <c r="BE74" s="23" t="str">
        <f>VLOOKUP(BD74,CENY!$B$11:$G$1034,2,FALSE)</f>
        <v>PUSH TO OPEN SILENT ACTRO YOU / ACTRO 5D 40 KG</v>
      </c>
      <c r="BF74" s="24">
        <f>VLOOKUP(BD74,CENY!$B$11:$G$1034,3,FALSE)</f>
        <v>1</v>
      </c>
      <c r="BG74" s="24"/>
      <c r="BH74" s="25">
        <f>AY46</f>
        <v>0</v>
      </c>
      <c r="BI74" s="451">
        <f t="shared" si="6"/>
        <v>0</v>
      </c>
      <c r="BJ74" s="107">
        <f>VLOOKUP(BD74,CENY!$B$11:$M$2005,12,FALSE)</f>
        <v>544.37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OBJ!B280</f>
        <v>9257893</v>
      </c>
      <c r="BE75" s="23" t="str">
        <f>VLOOKUP(BD75,CENY!$B$11:$G$1034,2,FALSE)</f>
        <v>PUSH TO OPEN SILENT ACTRO YOU / ACTRO 5D 70 KG</v>
      </c>
      <c r="BF75" s="24">
        <f>VLOOKUP(BD75,CENY!$B$11:$G$1034,3,FALSE)</f>
        <v>1</v>
      </c>
      <c r="BG75" s="24"/>
      <c r="BH75" s="25">
        <f>AY47</f>
        <v>0</v>
      </c>
      <c r="BI75" s="451">
        <f t="shared" si="6"/>
        <v>0</v>
      </c>
      <c r="BJ75" s="107">
        <f>VLOOKUP(BD75,CENY!$B$11:$M$2005,12,FALSE)</f>
        <v>544.37</v>
      </c>
      <c r="BK75" s="107">
        <f t="shared" si="7"/>
        <v>0</v>
      </c>
    </row>
    <row r="76" spans="47:63" ht="14.4" customHeight="1">
      <c r="AU76" s="441">
        <f>OBJ!B351</f>
        <v>9219966</v>
      </c>
      <c r="AV76" s="23" t="str">
        <f>VLOOKUP(AU76,CENY!$B$11:$G$1034,2,FALSE)</f>
        <v>PUSH TO OPEN SYNCHRO ADAPTÉR TYP A</v>
      </c>
      <c r="AW76" s="24">
        <f>VLOOKUP(AU76,CENY!$B$11:$G$1034,3,FALSE)</f>
        <v>200</v>
      </c>
      <c r="AX76" s="24"/>
      <c r="AY76" s="25">
        <f>2*SUM(O30:AD30)</f>
        <v>0</v>
      </c>
      <c r="AZ76" s="451">
        <f t="shared" si="5"/>
        <v>0</v>
      </c>
      <c r="BA76" s="107">
        <f>VLOOKUP(AU76,CENY!$B$11:$M$2005,12,FALSE)</f>
        <v>13.07</v>
      </c>
      <c r="BB76" s="107">
        <f t="shared" si="4"/>
        <v>0</v>
      </c>
      <c r="BD76" s="441">
        <f>OBJ!B281</f>
        <v>9236718</v>
      </c>
      <c r="BE76" s="23" t="str">
        <f>VLOOKUP(BD76,CENY!$B$11:$G$1034,2,FALSE)</f>
        <v>PUSH TO OPEN SYNCHRONIZAČNÍ TYČ 2000 MM</v>
      </c>
      <c r="BF76" s="24">
        <f>VLOOKUP(BD76,CENY!$B$11:$G$1034,3,FALSE)</f>
        <v>100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144.30000000000001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/>
      <c r="BE77" s="23"/>
      <c r="BF77" s="24"/>
      <c r="BG77" s="24"/>
      <c r="BH77" s="25"/>
      <c r="BI77" s="451" t="str">
        <f t="shared" si="6"/>
        <v/>
      </c>
      <c r="BJ77" s="107"/>
      <c r="BK77" s="107" t="str">
        <f t="shared" si="7"/>
        <v/>
      </c>
    </row>
    <row r="78" spans="47:63" ht="14.4" customHeight="1">
      <c r="AU78" s="442">
        <v>9255836</v>
      </c>
      <c r="AV78" s="443" t="str">
        <f>VLOOKUP(AU78,CENY!$B$11:$G$1034,2,FALSE)</f>
        <v>AVANTECH YOU PŘÍCHYTKA ČELA V101 MM K ZALISOVÁNÍ</v>
      </c>
      <c r="AW78" s="24">
        <f>VLOOKUP(AU78,CENY!$B$11:$G$1034,3,FALSE)</f>
        <v>200</v>
      </c>
      <c r="AX78" s="24"/>
      <c r="AY78" s="77">
        <f>IF(FORM!AM8=FORM!AU11,(2*(+SUM(O19:T19)+SUM(O20:AD20)+SUM(W22:AF22)+SUM(O27:T27)+SUM(O28:AD28)+SUM(O30:AD30))),0)</f>
        <v>0</v>
      </c>
      <c r="AZ78" s="451">
        <f t="shared" si="5"/>
        <v>0</v>
      </c>
      <c r="BA78" s="107">
        <f>VLOOKUP(AU78,CENY!$B$11:$M$2005,12,FALSE)</f>
        <v>27.23</v>
      </c>
      <c r="BB78" s="107">
        <f t="shared" si="4"/>
        <v>0</v>
      </c>
      <c r="BD78" s="441">
        <f>OBJ!B290</f>
        <v>9256944</v>
      </c>
      <c r="BE78" s="23" t="str">
        <f>VLOOKUP(BD78,CENY!$B$11:$G$1034,2,FALSE)</f>
        <v>QUADRO YOU 10 KG PLNOVÝSUV 270 MM EB21 SILENT SYSTEM LEVÝ</v>
      </c>
      <c r="BF78" s="24">
        <f>VLOOKUP(BD78,CENY!$B$11:$G$1034,3,FALSE)</f>
        <v>20</v>
      </c>
      <c r="BG78" s="24"/>
      <c r="BH78" s="25">
        <f>AY50</f>
        <v>0</v>
      </c>
      <c r="BI78" s="451">
        <f t="shared" si="6"/>
        <v>0</v>
      </c>
      <c r="BJ78" s="107">
        <f>VLOOKUP(BD78,CENY!$B$11:$M$2005,12,FALSE)</f>
        <v>174.19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OBJ!B291</f>
        <v>9256945</v>
      </c>
      <c r="BE79" s="23" t="str">
        <f>VLOOKUP(BD79,CENY!$B$11:$G$1034,2,FALSE)</f>
        <v>QUADRO YOU 10 KG PLNOVÝSUV 270 MM EB21 SILENT SYSTEM PRAVÝ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174.19</v>
      </c>
      <c r="BK79" s="107">
        <f t="shared" si="7"/>
        <v>0</v>
      </c>
    </row>
    <row r="80" spans="47:63" ht="14.4" customHeight="1">
      <c r="AU80" s="441">
        <f>OBJ!B207</f>
        <v>0</v>
      </c>
      <c r="AV80" s="23" t="e">
        <f>VLOOKUP(AU80,CENY!$B$11:$G$1034,2,FALSE)</f>
        <v>#N/A</v>
      </c>
      <c r="AW80" s="24" t="e">
        <f>VLOOKUP(AU80,CENY!$B$11:$G$1034,3,FALSE)</f>
        <v>#N/A</v>
      </c>
      <c r="AX80" s="24"/>
      <c r="AY80" s="77">
        <f>IF(FORM!AM21&lt;&gt;FORM!AW16,(2*(+SUM(O19:T19)+SUM(O20:AD20)+SUM(W22:AF22)+SUM(O27:T27)+SUM(O28:AD28)+SUM(O30:AD30))),0)</f>
        <v>0</v>
      </c>
      <c r="AZ80" s="451">
        <f t="shared" si="5"/>
        <v>0</v>
      </c>
      <c r="BA80" s="449" t="str">
        <f>IF(AU80=0,"",VLOOKUP(AU80,CENY!$B$11:$M$2005,12,FALSE))</f>
        <v/>
      </c>
      <c r="BB80" s="107" t="str">
        <f>IF(BA80="","",BA80*AY80)</f>
        <v/>
      </c>
      <c r="BD80" s="441">
        <f>OBJ!B292</f>
        <v>9256946</v>
      </c>
      <c r="BE80" s="23" t="str">
        <f>VLOOKUP(BD80,CENY!$B$11:$G$1034,2,FALSE)</f>
        <v>QUADRO YOU 10 KG PLNOVÝSUV 300 MM EB21 SILENT SYSTEM LEVÝ</v>
      </c>
      <c r="BF80" s="24">
        <f>VLOOKUP(BD80,CENY!$B$11:$G$1034,3,FALSE)</f>
        <v>20</v>
      </c>
      <c r="BG80" s="24"/>
      <c r="BH80" s="25">
        <f>AY51</f>
        <v>0</v>
      </c>
      <c r="BI80" s="451">
        <f t="shared" si="6"/>
        <v>0</v>
      </c>
      <c r="BJ80" s="107">
        <f>VLOOKUP(BD80,CENY!$B$11:$M$2005,12,FALSE)</f>
        <v>172.7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OBJ!B293</f>
        <v>9256947</v>
      </c>
      <c r="BE81" s="23" t="str">
        <f>VLOOKUP(BD81,CENY!$B$11:$G$1034,2,FALSE)</f>
        <v>QUADRO YOU 10 KG PLNOVÝSUV 300 MM EB21 SILENT SYSTEM PRAVÝ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172.7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OBJ!B294</f>
        <v>9256950</v>
      </c>
      <c r="BE82" s="23" t="str">
        <f>VLOOKUP(BD82,CENY!$B$11:$G$1034,2,FALSE)</f>
        <v>QUADRO YOU 10 KG PLNOVÝSUV 350 MM EB21 SILENT SYSTEM LEVÝ</v>
      </c>
      <c r="BF82" s="24">
        <f>VLOOKUP(BD82,CENY!$B$11:$G$1034,3,FALSE)</f>
        <v>20</v>
      </c>
      <c r="BG82" s="24"/>
      <c r="BH82" s="25">
        <f>AY52</f>
        <v>0</v>
      </c>
      <c r="BI82" s="451">
        <f t="shared" si="6"/>
        <v>0</v>
      </c>
      <c r="BJ82" s="107">
        <f>VLOOKUP(BD82,CENY!$B$11:$M$2005,12,FALSE)</f>
        <v>176.43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>
        <f>OBJ!B295</f>
        <v>9256951</v>
      </c>
      <c r="BE83" s="23" t="str">
        <f>VLOOKUP(BD83,CENY!$B$11:$G$1034,2,FALSE)</f>
        <v>QUADRO YOU 10 KG PLNOVÝSUV 350 MM EB21 SILENT SYSTEM PRAVÝ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176.43</v>
      </c>
      <c r="BK83" s="107">
        <f t="shared" si="7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/>
      <c r="BE84" s="23"/>
      <c r="BF84" s="24"/>
      <c r="BG84" s="24"/>
      <c r="BH84" s="25"/>
      <c r="BI84" s="451" t="str">
        <f t="shared" si="6"/>
        <v/>
      </c>
      <c r="BJ84" s="107"/>
      <c r="BK84" s="107" t="str">
        <f t="shared" si="7"/>
        <v/>
      </c>
    </row>
    <row r="85" spans="47:63" ht="14.4" customHeight="1"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>
        <f>OBJ!B305</f>
        <v>9256854</v>
      </c>
      <c r="BE85" s="23" t="str">
        <f>VLOOKUP(BD85,CENY!$B$11:$G$1034,2,FALSE)</f>
        <v>QUADRO YOU PLNOVÝSUV 270 MM EB21 SILENT SYSTEM LEVÝ</v>
      </c>
      <c r="BF85" s="24">
        <f>VLOOKUP(BD85,CENY!$B$11:$G$1034,3,FALSE)</f>
        <v>20</v>
      </c>
      <c r="BG85" s="24"/>
      <c r="BH85" s="25">
        <f>AY54</f>
        <v>0</v>
      </c>
      <c r="BI85" s="451">
        <f t="shared" si="6"/>
        <v>0</v>
      </c>
      <c r="BJ85" s="107">
        <f>VLOOKUP(BD85,CENY!$B$11:$M$2005,12,FALSE)</f>
        <v>174.19</v>
      </c>
      <c r="BK85" s="107">
        <f t="shared" si="7"/>
        <v>0</v>
      </c>
    </row>
    <row r="86" spans="47:63" ht="14.4" customHeight="1"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OBJ!B306</f>
        <v>9256855</v>
      </c>
      <c r="BE86" s="23" t="str">
        <f>VLOOKUP(BD86,CENY!$B$11:$G$1034,2,FALSE)</f>
        <v>QUADRO YOU PLNOVÝSUV 270 MM EB21 SILENT SYSTEM PRAVÝ</v>
      </c>
      <c r="BF86" s="24">
        <f>VLOOKUP(BD86,CENY!$B$11:$G$1034,3,FALSE)</f>
        <v>20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174.19</v>
      </c>
      <c r="BK86" s="107">
        <f t="shared" si="7"/>
        <v>0</v>
      </c>
    </row>
    <row r="87" spans="47:63" ht="14.4" customHeight="1">
      <c r="AU87" s="441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OBJ!B307</f>
        <v>9256856</v>
      </c>
      <c r="BE87" s="23" t="str">
        <f>VLOOKUP(BD87,CENY!$B$11:$G$1034,2,FALSE)</f>
        <v>QUADRO YOU PLNOVÝSUV 300 MM EB21 SILENT SYSTEM LEVÝ</v>
      </c>
      <c r="BF87" s="24">
        <f>VLOOKUP(BD87,CENY!$B$11:$G$1034,3,FALSE)</f>
        <v>20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172.7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OBJ!B308</f>
        <v>9256857</v>
      </c>
      <c r="BE88" s="23" t="str">
        <f>VLOOKUP(BD88,CENY!$B$11:$G$1034,2,FALSE)</f>
        <v>QUADRO YOU PLNOVÝSUV 300 MM EB21 SILENT SYSTEM PRAVÝ</v>
      </c>
      <c r="BF88" s="24">
        <f>VLOOKUP(BD88,CENY!$B$11:$G$1034,3,FALSE)</f>
        <v>20</v>
      </c>
      <c r="BG88" s="24"/>
      <c r="BH88" s="25">
        <f>AY55</f>
        <v>0</v>
      </c>
      <c r="BI88" s="451">
        <f t="shared" si="6"/>
        <v>0</v>
      </c>
      <c r="BJ88" s="107">
        <f>VLOOKUP(BD88,CENY!$B$11:$M$2005,12,FALSE)</f>
        <v>172.7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ref="BB89:BB97" si="8">IF(BA89="","",BA89*AY89)</f>
        <v/>
      </c>
      <c r="BD89" s="441">
        <f>OBJ!B309</f>
        <v>9256860</v>
      </c>
      <c r="BE89" s="23" t="str">
        <f>VLOOKUP(BD89,CENY!$B$11:$G$1034,2,FALSE)</f>
        <v>QUADRO YOU PLNOVÝSUV 350 MM EB21 SILENT SYSTEM LEVÝ</v>
      </c>
      <c r="BF89" s="24">
        <f>VLOOKUP(BD89,CENY!$B$11:$G$1034,3,FALSE)</f>
        <v>20</v>
      </c>
      <c r="BG89" s="24"/>
      <c r="BH89" s="25">
        <f>AY56</f>
        <v>0</v>
      </c>
      <c r="BI89" s="451">
        <f t="shared" si="6"/>
        <v>0</v>
      </c>
      <c r="BJ89" s="107">
        <f>VLOOKUP(BD89,CENY!$B$11:$M$2005,12,FALSE)</f>
        <v>176.43</v>
      </c>
      <c r="BK89" s="107">
        <f t="shared" si="7"/>
        <v>0</v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8"/>
        <v/>
      </c>
      <c r="BD90" s="441">
        <f>OBJ!B310</f>
        <v>9256861</v>
      </c>
      <c r="BE90" s="23" t="str">
        <f>VLOOKUP(BD90,CENY!$B$11:$G$1034,2,FALSE)</f>
        <v>QUADRO YOU PLNOVÝSUV 350 MM EB21 SILENT SYSTEM PRAVÝ</v>
      </c>
      <c r="BF90" s="24">
        <f>VLOOKUP(BD90,CENY!$B$11:$G$1034,3,FALSE)</f>
        <v>20</v>
      </c>
      <c r="BG90" s="24"/>
      <c r="BH90" s="25">
        <f>AY56</f>
        <v>0</v>
      </c>
      <c r="BI90" s="451">
        <f t="shared" si="6"/>
        <v>0</v>
      </c>
      <c r="BJ90" s="107">
        <f>VLOOKUP(BD90,CENY!$B$11:$M$2005,12,FALSE)</f>
        <v>176.43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8"/>
        <v/>
      </c>
      <c r="BD91" s="441">
        <f>OBJ!B311</f>
        <v>9256864</v>
      </c>
      <c r="BE91" s="23" t="str">
        <f>VLOOKUP(BD91,CENY!$B$11:$G$1034,2,FALSE)</f>
        <v>QUADRO YOU PLNOVÝSUV 400 MM EB21 SILENT SYSTEM LEVÝ</v>
      </c>
      <c r="BF91" s="24">
        <f>VLOOKUP(BD91,CENY!$B$11:$G$1034,3,FALSE)</f>
        <v>20</v>
      </c>
      <c r="BG91" s="24"/>
      <c r="BH91" s="25">
        <f>AY57</f>
        <v>0</v>
      </c>
      <c r="BI91" s="451">
        <f t="shared" si="6"/>
        <v>0</v>
      </c>
      <c r="BJ91" s="107">
        <f>VLOOKUP(BD91,CENY!$B$11:$M$2005,12,FALSE)</f>
        <v>180.17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8"/>
        <v/>
      </c>
      <c r="BD92" s="441">
        <f>OBJ!B312</f>
        <v>9256865</v>
      </c>
      <c r="BE92" s="23" t="str">
        <f>VLOOKUP(BD92,CENY!$B$11:$G$1034,2,FALSE)</f>
        <v>QUADRO YOU PLNOVÝSUV 400 MM EB21 SILENT SYSTEM PRAVÝ</v>
      </c>
      <c r="BF92" s="24">
        <f>VLOOKUP(BD92,CENY!$B$11:$G$1034,3,FALSE)</f>
        <v>20</v>
      </c>
      <c r="BG92" s="24"/>
      <c r="BH92" s="25">
        <f>AY57</f>
        <v>0</v>
      </c>
      <c r="BI92" s="451">
        <f t="shared" si="6"/>
        <v>0</v>
      </c>
      <c r="BJ92" s="107">
        <f>VLOOKUP(BD92,CENY!$B$11:$M$2005,12,FALSE)</f>
        <v>180.17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8"/>
        <v/>
      </c>
      <c r="BD93" s="441">
        <f>OBJ!B313</f>
        <v>9256868</v>
      </c>
      <c r="BE93" s="23" t="str">
        <f>VLOOKUP(BD93,CENY!$B$11:$G$1034,2,FALSE)</f>
        <v>QUADRO YOU PLNOVÝSUV 450 MM EB21 SILENT SYSTEM LEVÝ</v>
      </c>
      <c r="BF93" s="24">
        <f>VLOOKUP(BD93,CENY!$B$11:$G$1034,3,FALSE)</f>
        <v>20</v>
      </c>
      <c r="BG93" s="24"/>
      <c r="BH93" s="25">
        <f>AY58</f>
        <v>0</v>
      </c>
      <c r="BI93" s="451">
        <f t="shared" si="6"/>
        <v>0</v>
      </c>
      <c r="BJ93" s="107">
        <f>VLOOKUP(BD93,CENY!$B$11:$M$2005,12,FALSE)</f>
        <v>183.9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8"/>
        <v/>
      </c>
      <c r="BD94" s="441">
        <f>OBJ!B314</f>
        <v>9256869</v>
      </c>
      <c r="BE94" s="23" t="str">
        <f>VLOOKUP(BD94,CENY!$B$11:$G$1034,2,FALSE)</f>
        <v>QUADRO YOU PLNOVÝSUV 450 MM EB21 SILENT SYSTEM PRAVÝ</v>
      </c>
      <c r="BF94" s="24">
        <f>VLOOKUP(BD94,CENY!$B$11:$G$1034,3,FALSE)</f>
        <v>20</v>
      </c>
      <c r="BG94" s="24"/>
      <c r="BH94" s="25">
        <f>AY58</f>
        <v>0</v>
      </c>
      <c r="BI94" s="451">
        <f t="shared" si="6"/>
        <v>0</v>
      </c>
      <c r="BJ94" s="107">
        <f>VLOOKUP(BD94,CENY!$B$11:$M$2005,12,FALSE)</f>
        <v>183.9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8"/>
        <v/>
      </c>
      <c r="BD95" s="441">
        <f>OBJ!B315</f>
        <v>9256872</v>
      </c>
      <c r="BE95" s="23" t="str">
        <f>VLOOKUP(BD95,CENY!$B$11:$G$1034,2,FALSE)</f>
        <v>QUADRO YOU PLNOVÝSUV 500 MM EB21 SILENT SYSTEM LEVÝ</v>
      </c>
      <c r="BF95" s="24">
        <f>VLOOKUP(BD95,CENY!$B$11:$G$1034,3,FALSE)</f>
        <v>20</v>
      </c>
      <c r="BG95" s="24"/>
      <c r="BH95" s="25">
        <f>AY59</f>
        <v>0</v>
      </c>
      <c r="BI95" s="451">
        <f t="shared" si="6"/>
        <v>0</v>
      </c>
      <c r="BJ95" s="107">
        <f>VLOOKUP(BD95,CENY!$B$11:$M$2005,12,FALSE)</f>
        <v>187.64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8"/>
        <v/>
      </c>
      <c r="BD96" s="441">
        <f>OBJ!B316</f>
        <v>9256873</v>
      </c>
      <c r="BE96" s="23" t="str">
        <f>VLOOKUP(BD96,CENY!$B$11:$G$1034,2,FALSE)</f>
        <v>QUADRO YOU PLNOVÝSUV 500 MM EB21 SILENT SYSTEM PRAVÝ</v>
      </c>
      <c r="BF96" s="24">
        <f>VLOOKUP(BD96,CENY!$B$11:$G$1034,3,FALSE)</f>
        <v>20</v>
      </c>
      <c r="BG96" s="24"/>
      <c r="BH96" s="25">
        <f>AY59</f>
        <v>0</v>
      </c>
      <c r="BI96" s="451">
        <f t="shared" si="6"/>
        <v>0</v>
      </c>
      <c r="BJ96" s="107">
        <f>VLOOKUP(BD96,CENY!$B$11:$M$2005,12,FALSE)</f>
        <v>187.64</v>
      </c>
      <c r="BK96" s="107">
        <f t="shared" si="7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8"/>
        <v/>
      </c>
      <c r="BD97" s="441">
        <f>OBJ!B317</f>
        <v>9256876</v>
      </c>
      <c r="BE97" s="23" t="str">
        <f>VLOOKUP(BD97,CENY!$B$11:$G$1034,2,FALSE)</f>
        <v>QUADRO YOU PLNOVÝSUV 550 MM EB21 SILENT SYSTEM LEVÝ</v>
      </c>
      <c r="BF97" s="24">
        <f>VLOOKUP(BD97,CENY!$B$11:$G$1034,3,FALSE)</f>
        <v>20</v>
      </c>
      <c r="BG97" s="24"/>
      <c r="BH97" s="25">
        <f>AY60</f>
        <v>0</v>
      </c>
      <c r="BI97" s="451">
        <f t="shared" si="6"/>
        <v>0</v>
      </c>
      <c r="BJ97" s="107">
        <f>VLOOKUP(BD97,CENY!$B$11:$M$2005,12,FALSE)</f>
        <v>194.36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ref="BB98:BB133" si="9">IF(BA98="","",BA98*AY98)</f>
        <v/>
      </c>
      <c r="BD98" s="441">
        <f>OBJ!B318</f>
        <v>9256877</v>
      </c>
      <c r="BE98" s="23" t="str">
        <f>VLOOKUP(BD98,CENY!$B$11:$G$1034,2,FALSE)</f>
        <v>QUADRO YOU PLNOVÝSUV 550 MM EB21 SILENT SYSTEM PRAVÝ</v>
      </c>
      <c r="BF98" s="24">
        <f>VLOOKUP(BD98,CENY!$B$11:$G$1034,3,FALSE)</f>
        <v>20</v>
      </c>
      <c r="BG98" s="24"/>
      <c r="BH98" s="25">
        <f>AY60</f>
        <v>0</v>
      </c>
      <c r="BI98" s="451">
        <f t="shared" si="6"/>
        <v>0</v>
      </c>
      <c r="BJ98" s="107">
        <f>VLOOKUP(BD98,CENY!$B$11:$M$2005,12,FALSE)</f>
        <v>194.36</v>
      </c>
      <c r="BK98" s="107">
        <f t="shared" si="7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9"/>
        <v/>
      </c>
      <c r="BD99" s="441">
        <f>OBJ!B319</f>
        <v>9256880</v>
      </c>
      <c r="BE99" s="23" t="str">
        <f>VLOOKUP(BD99,CENY!$B$11:$G$1034,2,FALSE)</f>
        <v>QUADRO YOU PLNOVÝSUV 600 MM EB21 SILENT SYSTEM LEVÝ</v>
      </c>
      <c r="BF99" s="24">
        <f>VLOOKUP(BD99,CENY!$B$11:$G$1034,3,FALSE)</f>
        <v>20</v>
      </c>
      <c r="BG99" s="24"/>
      <c r="BH99" s="25">
        <f>AY61</f>
        <v>0</v>
      </c>
      <c r="BI99" s="451">
        <f t="shared" si="6"/>
        <v>0</v>
      </c>
      <c r="BJ99" s="107">
        <f>VLOOKUP(BD99,CENY!$B$11:$M$2005,12,FALSE)</f>
        <v>198.1</v>
      </c>
      <c r="BK99" s="107">
        <f t="shared" si="7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9"/>
        <v/>
      </c>
      <c r="BD100" s="441">
        <f>OBJ!B320</f>
        <v>9256881</v>
      </c>
      <c r="BE100" s="23" t="str">
        <f>VLOOKUP(BD100,CENY!$B$11:$G$1034,2,FALSE)</f>
        <v>QUADRO YOU PLNOVÝSUV 600 MM EB21 SILENT SYSTEM PRAVÝ</v>
      </c>
      <c r="BF100" s="24">
        <f>VLOOKUP(BD100,CENY!$B$11:$G$1034,3,FALSE)</f>
        <v>20</v>
      </c>
      <c r="BG100" s="24"/>
      <c r="BH100" s="25">
        <f>AY61</f>
        <v>0</v>
      </c>
      <c r="BI100" s="451">
        <f t="shared" si="6"/>
        <v>0</v>
      </c>
      <c r="BJ100" s="107">
        <f>VLOOKUP(BD100,CENY!$B$11:$M$2005,12,FALSE)</f>
        <v>198.1</v>
      </c>
      <c r="BK100" s="107">
        <f t="shared" si="7"/>
        <v>0</v>
      </c>
    </row>
    <row r="101" spans="47:63"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9"/>
        <v/>
      </c>
      <c r="BD101" s="441"/>
      <c r="BE101" s="23"/>
      <c r="BF101" s="24"/>
      <c r="BG101" s="24"/>
      <c r="BH101" s="25"/>
      <c r="BI101" s="451" t="str">
        <f t="shared" si="6"/>
        <v/>
      </c>
      <c r="BJ101" s="107"/>
      <c r="BK101" s="107" t="str">
        <f t="shared" si="7"/>
        <v/>
      </c>
    </row>
    <row r="102" spans="47:63"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9"/>
        <v/>
      </c>
      <c r="BD102" s="441">
        <f>OBJ!B322</f>
        <v>9257894</v>
      </c>
      <c r="BE102" s="23" t="str">
        <f>VLOOKUP(BD102,CENY!$B$11:$G$1034,2,FALSE)</f>
        <v>PUSH TO OPEN SILENT QUADRO YOU 10 KG</v>
      </c>
      <c r="BF102" s="24">
        <f>VLOOKUP(BD102,CENY!$B$11:$G$1034,3,FALSE)</f>
        <v>1</v>
      </c>
      <c r="BG102" s="24"/>
      <c r="BH102" s="25">
        <f>AY63</f>
        <v>0</v>
      </c>
      <c r="BI102" s="451">
        <f t="shared" si="6"/>
        <v>0</v>
      </c>
      <c r="BJ102" s="107">
        <f>VLOOKUP(BD102,CENY!$B$11:$M$2005,12,FALSE)</f>
        <v>544.37</v>
      </c>
      <c r="BK102" s="107">
        <f t="shared" si="7"/>
        <v>0</v>
      </c>
    </row>
    <row r="103" spans="47:63"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9"/>
        <v/>
      </c>
      <c r="BD103" s="441">
        <f>OBJ!B323</f>
        <v>9257895</v>
      </c>
      <c r="BE103" s="23" t="str">
        <f>VLOOKUP(BD103,CENY!$B$11:$G$1034,2,FALSE)</f>
        <v>PUSH TO OPEN SILENT QUADRO YOU 20 KG</v>
      </c>
      <c r="BF103" s="24">
        <f>VLOOKUP(BD103,CENY!$B$11:$G$1034,3,FALSE)</f>
        <v>1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544.37</v>
      </c>
      <c r="BK103" s="107">
        <f t="shared" si="7"/>
        <v>0</v>
      </c>
    </row>
    <row r="104" spans="47:63"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9"/>
        <v/>
      </c>
      <c r="BD104" s="441">
        <f>OBJ!B324</f>
        <v>9257896</v>
      </c>
      <c r="BE104" s="23" t="str">
        <f>VLOOKUP(BD104,CENY!$B$11:$G$1034,2,FALSE)</f>
        <v>PUSH TO OPEN SILENT QUADRO YOU 30 KG</v>
      </c>
      <c r="BF104" s="24">
        <f>VLOOKUP(BD104,CENY!$B$11:$G$1034,3,FALSE)</f>
        <v>1</v>
      </c>
      <c r="BG104" s="24"/>
      <c r="BH104" s="25">
        <f>AY65</f>
        <v>0</v>
      </c>
      <c r="BI104" s="451">
        <f t="shared" si="6"/>
        <v>0</v>
      </c>
      <c r="BJ104" s="107">
        <f>VLOOKUP(BD104,CENY!$B$11:$M$2005,12,FALSE)</f>
        <v>544.37</v>
      </c>
      <c r="BK104" s="107">
        <f t="shared" si="7"/>
        <v>0</v>
      </c>
    </row>
    <row r="105" spans="47:63"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9"/>
        <v/>
      </c>
      <c r="BD105" s="441"/>
      <c r="BE105" s="23"/>
      <c r="BF105" s="24"/>
      <c r="BG105" s="24"/>
      <c r="BH105" s="25"/>
      <c r="BI105" s="451" t="str">
        <f t="shared" si="6"/>
        <v/>
      </c>
      <c r="BJ105" s="107"/>
      <c r="BK105" s="107" t="str">
        <f t="shared" si="7"/>
        <v/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9"/>
        <v/>
      </c>
      <c r="BD106" s="441">
        <f>OBJ!B334</f>
        <v>9256899</v>
      </c>
      <c r="BE106" s="23" t="str">
        <f>VLOOKUP(BD106,CENY!$B$11:$G$1034,2,FALSE)</f>
        <v>QUADRO YOU PLNOVÝSUV 270 MM EB21 PUSH TO OPEN LEVÝ</v>
      </c>
      <c r="BF106" s="24">
        <f>VLOOKUP(BD106,CENY!$B$11:$G$1034,3,FALSE)</f>
        <v>20</v>
      </c>
      <c r="BG106" s="24"/>
      <c r="BH106" s="25">
        <f>AY67</f>
        <v>0</v>
      </c>
      <c r="BI106" s="451">
        <f t="shared" si="6"/>
        <v>0</v>
      </c>
      <c r="BJ106" s="107">
        <f>VLOOKUP(BD106,CENY!$B$11:$M$2005,12,FALSE)</f>
        <v>194.74</v>
      </c>
      <c r="BK106" s="107">
        <f t="shared" si="7"/>
        <v>0</v>
      </c>
    </row>
    <row r="107" spans="47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9"/>
        <v/>
      </c>
      <c r="BD107" s="441">
        <f>OBJ!B335</f>
        <v>9256900</v>
      </c>
      <c r="BE107" s="23" t="str">
        <f>VLOOKUP(BD107,CENY!$B$11:$G$1034,2,FALSE)</f>
        <v>QUADRO YOU PLNOVÝSUV 270 MM EB21 PUSH TO OPEN PRAVÝ</v>
      </c>
      <c r="BF107" s="24">
        <f>VLOOKUP(BD107,CENY!$B$11:$G$1034,3,FALSE)</f>
        <v>20</v>
      </c>
      <c r="BG107" s="24"/>
      <c r="BH107" s="25">
        <f>AY67</f>
        <v>0</v>
      </c>
      <c r="BI107" s="451">
        <f t="shared" si="6"/>
        <v>0</v>
      </c>
      <c r="BJ107" s="107">
        <f>VLOOKUP(BD107,CENY!$B$11:$M$2005,12,FALSE)</f>
        <v>194.74</v>
      </c>
      <c r="BK107" s="107">
        <f t="shared" si="7"/>
        <v>0</v>
      </c>
    </row>
    <row r="108" spans="47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9"/>
        <v/>
      </c>
      <c r="BD108" s="441">
        <f>OBJ!B336</f>
        <v>9256901</v>
      </c>
      <c r="BE108" s="23" t="str">
        <f>VLOOKUP(BD108,CENY!$B$11:$G$1034,2,FALSE)</f>
        <v>QUADRO YOU PLNOVÝSUV 300 MM EB21 PUSH TO OPEN LEVÝ</v>
      </c>
      <c r="BF108" s="24">
        <f>VLOOKUP(BD108,CENY!$B$11:$G$1034,3,FALSE)</f>
        <v>20</v>
      </c>
      <c r="BG108" s="24"/>
      <c r="BH108" s="25">
        <f>AY68</f>
        <v>0</v>
      </c>
      <c r="BI108" s="451">
        <f t="shared" si="6"/>
        <v>0</v>
      </c>
      <c r="BJ108" s="107">
        <f>VLOOKUP(BD108,CENY!$B$11:$M$2005,12,FALSE)</f>
        <v>195.11</v>
      </c>
      <c r="BK108" s="107">
        <f t="shared" si="7"/>
        <v>0</v>
      </c>
    </row>
    <row r="109" spans="47:63">
      <c r="AU109" s="22"/>
      <c r="AV109" s="23"/>
      <c r="AW109" s="24"/>
      <c r="AX109" s="24"/>
      <c r="AY109" s="25"/>
      <c r="AZ109" s="451" t="str">
        <f t="shared" si="5"/>
        <v/>
      </c>
      <c r="BA109" s="107"/>
      <c r="BB109" s="107" t="str">
        <f t="shared" si="9"/>
        <v/>
      </c>
      <c r="BD109" s="441">
        <f>OBJ!B337</f>
        <v>9256902</v>
      </c>
      <c r="BE109" s="23" t="str">
        <f>VLOOKUP(BD109,CENY!$B$11:$G$1034,2,FALSE)</f>
        <v>QUADRO YOU PLNOVÝSUV 300 MM EB21 PUSH TO OPEN PRAVÝ</v>
      </c>
      <c r="BF109" s="24">
        <f>VLOOKUP(BD109,CENY!$B$11:$G$1034,3,FALSE)</f>
        <v>20</v>
      </c>
      <c r="BG109" s="24"/>
      <c r="BH109" s="25">
        <f>AY68</f>
        <v>0</v>
      </c>
      <c r="BI109" s="451">
        <f t="shared" si="6"/>
        <v>0</v>
      </c>
      <c r="BJ109" s="107">
        <f>VLOOKUP(BD109,CENY!$B$11:$M$2005,12,FALSE)</f>
        <v>195.11</v>
      </c>
      <c r="BK109" s="107">
        <f t="shared" si="7"/>
        <v>0</v>
      </c>
    </row>
    <row r="110" spans="47:63">
      <c r="AU110" s="22"/>
      <c r="AV110" s="23"/>
      <c r="AW110" s="24"/>
      <c r="AX110" s="24"/>
      <c r="AY110" s="25"/>
      <c r="AZ110" s="451" t="str">
        <f t="shared" si="5"/>
        <v/>
      </c>
      <c r="BA110" s="107"/>
      <c r="BB110" s="107" t="str">
        <f t="shared" si="9"/>
        <v/>
      </c>
      <c r="BD110" s="441">
        <f>OBJ!B338</f>
        <v>9256905</v>
      </c>
      <c r="BE110" s="23" t="str">
        <f>VLOOKUP(BD110,CENY!$B$11:$G$1034,2,FALSE)</f>
        <v>QUADRO YOU PLNOVÝSUV 350 MM EB21 PUSH TO OPEN LEVÝ</v>
      </c>
      <c r="BF110" s="24">
        <f>VLOOKUP(BD110,CENY!$B$11:$G$1034,3,FALSE)</f>
        <v>20</v>
      </c>
      <c r="BG110" s="24"/>
      <c r="BH110" s="25">
        <f>AY69</f>
        <v>0</v>
      </c>
      <c r="BI110" s="451">
        <f t="shared" si="6"/>
        <v>0</v>
      </c>
      <c r="BJ110" s="107">
        <f>VLOOKUP(BD110,CENY!$B$11:$M$2005,12,FALSE)</f>
        <v>198.85</v>
      </c>
      <c r="BK110" s="107">
        <f t="shared" si="7"/>
        <v>0</v>
      </c>
    </row>
    <row r="111" spans="47:63">
      <c r="AU111" s="22"/>
      <c r="AV111" s="23"/>
      <c r="AW111" s="24"/>
      <c r="AX111" s="24"/>
      <c r="AY111" s="25"/>
      <c r="AZ111" s="451" t="str">
        <f t="shared" si="5"/>
        <v/>
      </c>
      <c r="BA111" s="107"/>
      <c r="BB111" s="107" t="str">
        <f t="shared" si="9"/>
        <v/>
      </c>
      <c r="BD111" s="441">
        <f>OBJ!B339</f>
        <v>9256906</v>
      </c>
      <c r="BE111" s="23" t="str">
        <f>VLOOKUP(BD111,CENY!$B$11:$G$1034,2,FALSE)</f>
        <v>QUADRO YOU PLNOVÝSUV 350 MM EB21 PUSH TO OPEN PRAVÝ</v>
      </c>
      <c r="BF111" s="24">
        <f>VLOOKUP(BD111,CENY!$B$11:$G$1034,3,FALSE)</f>
        <v>20</v>
      </c>
      <c r="BG111" s="24"/>
      <c r="BH111" s="25">
        <f>AY69</f>
        <v>0</v>
      </c>
      <c r="BI111" s="451">
        <f t="shared" si="6"/>
        <v>0</v>
      </c>
      <c r="BJ111" s="107">
        <f>VLOOKUP(BD111,CENY!$B$11:$M$2005,12,FALSE)</f>
        <v>198.85</v>
      </c>
      <c r="BK111" s="107">
        <f t="shared" si="7"/>
        <v>0</v>
      </c>
    </row>
    <row r="112" spans="47:63">
      <c r="AU112" s="22"/>
      <c r="AV112" s="23"/>
      <c r="AW112" s="24"/>
      <c r="AX112" s="24"/>
      <c r="AY112" s="25"/>
      <c r="AZ112" s="451" t="str">
        <f t="shared" si="5"/>
        <v/>
      </c>
      <c r="BA112" s="107"/>
      <c r="BB112" s="107" t="str">
        <f t="shared" si="9"/>
        <v/>
      </c>
      <c r="BD112" s="441">
        <f>OBJ!B340</f>
        <v>9256909</v>
      </c>
      <c r="BE112" s="23" t="str">
        <f>VLOOKUP(BD112,CENY!$B$11:$G$1034,2,FALSE)</f>
        <v>QUADRO YOU PLNOVÝSUV 400 MM EB21 PUSH TO OPEN LEVÝ</v>
      </c>
      <c r="BF112" s="24">
        <f>VLOOKUP(BD112,CENY!$B$11:$G$1034,3,FALSE)</f>
        <v>20</v>
      </c>
      <c r="BG112" s="24"/>
      <c r="BH112" s="25">
        <f>AY70</f>
        <v>0</v>
      </c>
      <c r="BI112" s="451">
        <f t="shared" si="6"/>
        <v>0</v>
      </c>
      <c r="BJ112" s="107">
        <f>VLOOKUP(BD112,CENY!$B$11:$M$2005,12,FALSE)</f>
        <v>202.58</v>
      </c>
      <c r="BK112" s="107">
        <f t="shared" si="7"/>
        <v>0</v>
      </c>
    </row>
    <row r="113" spans="46:63">
      <c r="AU113" s="22"/>
      <c r="AV113" s="23"/>
      <c r="AW113" s="24"/>
      <c r="AX113" s="24"/>
      <c r="AY113" s="25"/>
      <c r="AZ113" s="451" t="str">
        <f t="shared" si="5"/>
        <v/>
      </c>
      <c r="BA113" s="107"/>
      <c r="BB113" s="107" t="str">
        <f t="shared" si="9"/>
        <v/>
      </c>
      <c r="BD113" s="441">
        <f>OBJ!B341</f>
        <v>9256910</v>
      </c>
      <c r="BE113" s="23" t="str">
        <f>VLOOKUP(BD113,CENY!$B$11:$G$1034,2,FALSE)</f>
        <v>QUADRO YOU PLNOVÝSUV 400 MM EB21 PUSH TO OPEN PRAVÝ</v>
      </c>
      <c r="BF113" s="24">
        <f>VLOOKUP(BD113,CENY!$B$11:$G$1034,3,FALSE)</f>
        <v>20</v>
      </c>
      <c r="BG113" s="24"/>
      <c r="BH113" s="25">
        <f>AY70</f>
        <v>0</v>
      </c>
      <c r="BI113" s="451">
        <f t="shared" si="6"/>
        <v>0</v>
      </c>
      <c r="BJ113" s="107">
        <f>VLOOKUP(BD113,CENY!$B$11:$M$2005,12,FALSE)</f>
        <v>202.58</v>
      </c>
      <c r="BK113" s="107">
        <f t="shared" si="7"/>
        <v>0</v>
      </c>
    </row>
    <row r="114" spans="46:63">
      <c r="AU114" s="22"/>
      <c r="AV114" s="23"/>
      <c r="AW114" s="24"/>
      <c r="AX114" s="24"/>
      <c r="AY114" s="25"/>
      <c r="AZ114" s="451" t="str">
        <f t="shared" si="5"/>
        <v/>
      </c>
      <c r="BA114" s="107"/>
      <c r="BB114" s="107" t="str">
        <f t="shared" si="9"/>
        <v/>
      </c>
      <c r="BD114" s="441">
        <f>OBJ!B342</f>
        <v>9256913</v>
      </c>
      <c r="BE114" s="23" t="str">
        <f>VLOOKUP(BD114,CENY!$B$11:$G$1034,2,FALSE)</f>
        <v>QUADRO YOU PLNOVÝSUV 450 MM EB21 PUSH TO OPEN LEVÝ</v>
      </c>
      <c r="BF114" s="24">
        <f>VLOOKUP(BD114,CENY!$B$11:$G$1034,3,FALSE)</f>
        <v>20</v>
      </c>
      <c r="BG114" s="24"/>
      <c r="BH114" s="25">
        <f>AY71</f>
        <v>0</v>
      </c>
      <c r="BI114" s="451">
        <f t="shared" si="6"/>
        <v>0</v>
      </c>
      <c r="BJ114" s="107">
        <f>VLOOKUP(BD114,CENY!$B$11:$M$2005,12,FALSE)</f>
        <v>206.32</v>
      </c>
      <c r="BK114" s="107">
        <f t="shared" si="7"/>
        <v>0</v>
      </c>
    </row>
    <row r="115" spans="46:63">
      <c r="AU115" s="22"/>
      <c r="AV115" s="23"/>
      <c r="AW115" s="24"/>
      <c r="AX115" s="24"/>
      <c r="AY115" s="25"/>
      <c r="AZ115" s="451" t="str">
        <f t="shared" si="5"/>
        <v/>
      </c>
      <c r="BA115" s="107"/>
      <c r="BB115" s="107" t="str">
        <f t="shared" si="9"/>
        <v/>
      </c>
      <c r="BD115" s="441">
        <f>OBJ!B343</f>
        <v>9256914</v>
      </c>
      <c r="BE115" s="23" t="str">
        <f>VLOOKUP(BD115,CENY!$B$11:$G$1034,2,FALSE)</f>
        <v>QUADRO YOU PLNOVÝSUV 450 MM EB21 PUSH TO OPEN PRAVÝ</v>
      </c>
      <c r="BF115" s="24">
        <f>VLOOKUP(BD115,CENY!$B$11:$G$1034,3,FALSE)</f>
        <v>20</v>
      </c>
      <c r="BG115" s="24"/>
      <c r="BH115" s="25">
        <f>AY71</f>
        <v>0</v>
      </c>
      <c r="BI115" s="451">
        <f t="shared" si="6"/>
        <v>0</v>
      </c>
      <c r="BJ115" s="107">
        <f>VLOOKUP(BD115,CENY!$B$11:$M$2005,12,FALSE)</f>
        <v>206.32</v>
      </c>
      <c r="BK115" s="107">
        <f t="shared" si="7"/>
        <v>0</v>
      </c>
    </row>
    <row r="116" spans="46:63">
      <c r="AU116" s="22"/>
      <c r="AV116" s="23"/>
      <c r="AW116" s="24"/>
      <c r="AX116" s="24"/>
      <c r="AY116" s="25"/>
      <c r="AZ116" s="451" t="str">
        <f t="shared" si="5"/>
        <v/>
      </c>
      <c r="BA116" s="107"/>
      <c r="BB116" s="107" t="str">
        <f t="shared" si="9"/>
        <v/>
      </c>
      <c r="BD116" s="441">
        <f>OBJ!B344</f>
        <v>9256917</v>
      </c>
      <c r="BE116" s="23" t="str">
        <f>VLOOKUP(BD116,CENY!$B$11:$G$1034,2,FALSE)</f>
        <v>QUADRO YOU PLNOVÝSUV 500 MM EB21 PUSH TO OPEN LEVÝ</v>
      </c>
      <c r="BF116" s="24">
        <f>VLOOKUP(BD116,CENY!$B$11:$G$1034,3,FALSE)</f>
        <v>20</v>
      </c>
      <c r="BG116" s="24"/>
      <c r="BH116" s="25">
        <f>AY72</f>
        <v>0</v>
      </c>
      <c r="BI116" s="451">
        <f t="shared" si="6"/>
        <v>0</v>
      </c>
      <c r="BJ116" s="107">
        <f>VLOOKUP(BD116,CENY!$B$11:$M$2005,12,FALSE)</f>
        <v>210.06</v>
      </c>
      <c r="BK116" s="107">
        <f t="shared" si="7"/>
        <v>0</v>
      </c>
    </row>
    <row r="117" spans="46:63">
      <c r="AU117" s="22"/>
      <c r="AV117" s="23"/>
      <c r="AW117" s="24"/>
      <c r="AX117" s="24"/>
      <c r="AY117" s="25"/>
      <c r="AZ117" s="451" t="str">
        <f t="shared" si="5"/>
        <v/>
      </c>
      <c r="BA117" s="107"/>
      <c r="BB117" s="107" t="str">
        <f t="shared" si="9"/>
        <v/>
      </c>
      <c r="BD117" s="441">
        <f>OBJ!B345</f>
        <v>9256918</v>
      </c>
      <c r="BE117" s="23" t="str">
        <f>VLOOKUP(BD117,CENY!$B$11:$G$1034,2,FALSE)</f>
        <v>QUADRO YOU PLNOVÝSUV 500 MM EB21 PUSH TO OPEN PRAVÝ</v>
      </c>
      <c r="BF117" s="24">
        <f>VLOOKUP(BD117,CENY!$B$11:$G$1034,3,FALSE)</f>
        <v>20</v>
      </c>
      <c r="BG117" s="24"/>
      <c r="BH117" s="25">
        <f>AY72</f>
        <v>0</v>
      </c>
      <c r="BI117" s="451">
        <f t="shared" si="6"/>
        <v>0</v>
      </c>
      <c r="BJ117" s="107">
        <f>VLOOKUP(BD117,CENY!$B$11:$M$2005,12,FALSE)</f>
        <v>210.06</v>
      </c>
      <c r="BK117" s="107">
        <f t="shared" si="7"/>
        <v>0</v>
      </c>
    </row>
    <row r="118" spans="46:63">
      <c r="AU118" s="22"/>
      <c r="AV118" s="23"/>
      <c r="AW118" s="24"/>
      <c r="AX118" s="24"/>
      <c r="AY118" s="25"/>
      <c r="AZ118" s="451" t="str">
        <f t="shared" si="5"/>
        <v/>
      </c>
      <c r="BA118" s="107"/>
      <c r="BB118" s="107" t="str">
        <f t="shared" si="9"/>
        <v/>
      </c>
      <c r="BD118" s="441">
        <f>OBJ!B346</f>
        <v>9256921</v>
      </c>
      <c r="BE118" s="23" t="str">
        <f>VLOOKUP(BD118,CENY!$B$11:$G$1034,2,FALSE)</f>
        <v>QUADRO YOU PLNOVÝSUV 550 MM EB21 PUSH TO OPEN LEVÝ</v>
      </c>
      <c r="BF118" s="24">
        <f>VLOOKUP(BD118,CENY!$B$11:$G$1034,3,FALSE)</f>
        <v>20</v>
      </c>
      <c r="BG118" s="24"/>
      <c r="BH118" s="25">
        <f>AY73</f>
        <v>0</v>
      </c>
      <c r="BI118" s="451">
        <f t="shared" si="6"/>
        <v>0</v>
      </c>
      <c r="BJ118" s="107">
        <f>VLOOKUP(BD118,CENY!$B$11:$M$2005,12,FALSE)</f>
        <v>216.78</v>
      </c>
      <c r="BK118" s="107">
        <f t="shared" si="7"/>
        <v>0</v>
      </c>
    </row>
    <row r="119" spans="46:63">
      <c r="AU119" s="22"/>
      <c r="AV119" s="23"/>
      <c r="AW119" s="24"/>
      <c r="AX119" s="24"/>
      <c r="AY119" s="25"/>
      <c r="AZ119" s="451" t="str">
        <f t="shared" si="5"/>
        <v/>
      </c>
      <c r="BA119" s="107"/>
      <c r="BB119" s="107" t="str">
        <f t="shared" si="9"/>
        <v/>
      </c>
      <c r="BD119" s="441">
        <f>OBJ!B347</f>
        <v>9256922</v>
      </c>
      <c r="BE119" s="23" t="str">
        <f>VLOOKUP(BD119,CENY!$B$11:$G$1034,2,FALSE)</f>
        <v>QUADRO YOU PLNOVÝSUV 550 MM EB21 PUSH TO OPEN PRAVÝ</v>
      </c>
      <c r="BF119" s="24">
        <f>VLOOKUP(BD119,CENY!$B$11:$G$1034,3,FALSE)</f>
        <v>20</v>
      </c>
      <c r="BG119" s="24"/>
      <c r="BH119" s="25">
        <f>AY73</f>
        <v>0</v>
      </c>
      <c r="BI119" s="451">
        <f t="shared" si="6"/>
        <v>0</v>
      </c>
      <c r="BJ119" s="107">
        <f>VLOOKUP(BD119,CENY!$B$11:$M$2005,12,FALSE)</f>
        <v>216.78</v>
      </c>
      <c r="BK119" s="107">
        <f t="shared" si="7"/>
        <v>0</v>
      </c>
    </row>
    <row r="120" spans="46:63">
      <c r="AU120" s="22"/>
      <c r="AV120" s="23"/>
      <c r="AW120" s="24"/>
      <c r="AX120" s="24"/>
      <c r="AY120" s="25"/>
      <c r="AZ120" s="451" t="str">
        <f t="shared" si="5"/>
        <v/>
      </c>
      <c r="BA120" s="107"/>
      <c r="BB120" s="107" t="str">
        <f t="shared" si="9"/>
        <v/>
      </c>
      <c r="BD120" s="441">
        <f>OBJ!B348</f>
        <v>9256925</v>
      </c>
      <c r="BE120" s="23" t="str">
        <f>VLOOKUP(BD120,CENY!$B$11:$G$1034,2,FALSE)</f>
        <v>QUADRO YOU PLNOVÝSUV 600 MM EB21 PUSH TO OPEN LEVÝ</v>
      </c>
      <c r="BF120" s="24">
        <f>VLOOKUP(BD120,CENY!$B$11:$G$1034,3,FALSE)</f>
        <v>20</v>
      </c>
      <c r="BG120" s="24"/>
      <c r="BH120" s="25">
        <f>AY74</f>
        <v>0</v>
      </c>
      <c r="BI120" s="451">
        <f t="shared" si="6"/>
        <v>0</v>
      </c>
      <c r="BJ120" s="107">
        <f>VLOOKUP(BD120,CENY!$B$11:$M$2005,12,FALSE)</f>
        <v>223.51</v>
      </c>
      <c r="BK120" s="107">
        <f t="shared" si="7"/>
        <v>0</v>
      </c>
    </row>
    <row r="121" spans="46:63">
      <c r="AU121" s="22"/>
      <c r="AV121" s="23"/>
      <c r="AW121" s="24"/>
      <c r="AX121" s="24"/>
      <c r="AY121" s="25"/>
      <c r="AZ121" s="451" t="str">
        <f t="shared" si="5"/>
        <v/>
      </c>
      <c r="BA121" s="107"/>
      <c r="BB121" s="107" t="str">
        <f t="shared" si="9"/>
        <v/>
      </c>
      <c r="BD121" s="441">
        <f>OBJ!B349</f>
        <v>9256926</v>
      </c>
      <c r="BE121" s="23" t="str">
        <f>VLOOKUP(BD121,CENY!$B$11:$G$1034,2,FALSE)</f>
        <v>QUADRO YOU PLNOVÝSUV 600 MM EB21 PUSH TO OPEN PRAVÝ</v>
      </c>
      <c r="BF121" s="24">
        <f>VLOOKUP(BD121,CENY!$B$11:$G$1034,3,FALSE)</f>
        <v>20</v>
      </c>
      <c r="BG121" s="24"/>
      <c r="BH121" s="25">
        <f>AY74</f>
        <v>0</v>
      </c>
      <c r="BI121" s="451">
        <f t="shared" si="6"/>
        <v>0</v>
      </c>
      <c r="BJ121" s="107">
        <f>VLOOKUP(BD121,CENY!$B$11:$M$2005,12,FALSE)</f>
        <v>223.51</v>
      </c>
      <c r="BK121" s="107">
        <f t="shared" si="7"/>
        <v>0</v>
      </c>
    </row>
    <row r="122" spans="46:63">
      <c r="AU122" s="22"/>
      <c r="AV122" s="23"/>
      <c r="AW122" s="24"/>
      <c r="AX122" s="24"/>
      <c r="AY122" s="25"/>
      <c r="AZ122" s="451" t="str">
        <f t="shared" si="5"/>
        <v/>
      </c>
      <c r="BA122" s="107"/>
      <c r="BB122" s="107" t="str">
        <f t="shared" si="9"/>
        <v/>
      </c>
      <c r="BD122" s="441"/>
      <c r="BE122" s="23"/>
      <c r="BF122" s="24"/>
      <c r="BG122" s="24"/>
      <c r="BH122" s="25"/>
      <c r="BI122" s="451" t="str">
        <f t="shared" si="6"/>
        <v/>
      </c>
      <c r="BJ122" s="107"/>
      <c r="BK122" s="107" t="str">
        <f t="shared" si="7"/>
        <v/>
      </c>
    </row>
    <row r="123" spans="46:63">
      <c r="AU123" s="22"/>
      <c r="AV123" s="23"/>
      <c r="AW123" s="24"/>
      <c r="AX123" s="24"/>
      <c r="AY123" s="25"/>
      <c r="AZ123" s="451" t="str">
        <f t="shared" si="5"/>
        <v/>
      </c>
      <c r="BA123" s="107"/>
      <c r="BB123" s="107" t="str">
        <f t="shared" si="9"/>
        <v/>
      </c>
      <c r="BD123" s="441">
        <f>OBJ!B351</f>
        <v>9219966</v>
      </c>
      <c r="BE123" s="23" t="str">
        <f>VLOOKUP(BD123,CENY!$B$11:$G$1034,2,FALSE)</f>
        <v>PUSH TO OPEN SYNCHRO ADAPTÉR TYP A</v>
      </c>
      <c r="BF123" s="24">
        <f>VLOOKUP(BD123,CENY!$B$11:$G$1034,3,FALSE)</f>
        <v>200</v>
      </c>
      <c r="BG123" s="24"/>
      <c r="BH123" s="25">
        <f>AY76</f>
        <v>0</v>
      </c>
      <c r="BI123" s="451">
        <f t="shared" si="6"/>
        <v>0</v>
      </c>
      <c r="BJ123" s="107">
        <f>VLOOKUP(BD123,CENY!$B$11:$M$2005,12,FALSE)</f>
        <v>13.07</v>
      </c>
      <c r="BK123" s="107">
        <f t="shared" si="7"/>
        <v>0</v>
      </c>
    </row>
    <row r="124" spans="46:63">
      <c r="AU124" s="22"/>
      <c r="AV124" s="23"/>
      <c r="AW124" s="24"/>
      <c r="AX124" s="24"/>
      <c r="AY124" s="25"/>
      <c r="AZ124" s="451" t="str">
        <f t="shared" si="5"/>
        <v/>
      </c>
      <c r="BA124" s="107"/>
      <c r="BB124" s="107" t="str">
        <f t="shared" si="9"/>
        <v/>
      </c>
      <c r="BD124" s="441"/>
      <c r="BE124" s="23"/>
      <c r="BF124" s="24"/>
      <c r="BG124" s="24"/>
      <c r="BH124" s="25"/>
      <c r="BI124" s="451" t="str">
        <f t="shared" si="6"/>
        <v/>
      </c>
      <c r="BJ124" s="107"/>
      <c r="BK124" s="107" t="str">
        <f t="shared" si="7"/>
        <v/>
      </c>
    </row>
    <row r="125" spans="46:63">
      <c r="AU125" s="22"/>
      <c r="AV125" s="23"/>
      <c r="AW125" s="24"/>
      <c r="AX125" s="24"/>
      <c r="AY125" s="25"/>
      <c r="AZ125" s="451" t="str">
        <f t="shared" si="5"/>
        <v/>
      </c>
      <c r="BA125" s="107"/>
      <c r="BB125" s="107" t="str">
        <f t="shared" si="9"/>
        <v/>
      </c>
      <c r="BD125" s="441">
        <f>OBJ!B207</f>
        <v>0</v>
      </c>
      <c r="BE125" s="23" t="e">
        <f>VLOOKUP(BD125,CENY!$B$11:$G$1034,2,FALSE)</f>
        <v>#N/A</v>
      </c>
      <c r="BF125" s="24" t="e">
        <f>VLOOKUP(BD125,CENY!$B$11:$G$1034,3,FALSE)</f>
        <v>#N/A</v>
      </c>
      <c r="BG125" s="24"/>
      <c r="BH125" s="25">
        <f>AY80</f>
        <v>0</v>
      </c>
      <c r="BI125" s="451">
        <f t="shared" si="6"/>
        <v>0</v>
      </c>
      <c r="BJ125" s="449" t="str">
        <f>IF(BD125=0,"",VLOOKUP(BD125,CENY!$B$11:$M$2005,12,FALSE))</f>
        <v/>
      </c>
      <c r="BK125" s="107" t="str">
        <f>IF(BJ125="","",BJ125*BH125)</f>
        <v/>
      </c>
    </row>
    <row r="126" spans="46:63">
      <c r="AU126" s="22"/>
      <c r="AV126" s="23"/>
      <c r="AW126" s="24"/>
      <c r="AX126" s="24"/>
      <c r="AY126" s="25"/>
      <c r="AZ126" s="451" t="str">
        <f t="shared" si="5"/>
        <v/>
      </c>
      <c r="BA126" s="107"/>
      <c r="BB126" s="107" t="str">
        <f t="shared" si="9"/>
        <v/>
      </c>
      <c r="BD126" s="441"/>
      <c r="BE126" s="23"/>
      <c r="BF126" s="24"/>
      <c r="BG126" s="24"/>
      <c r="BH126" s="25"/>
      <c r="BI126" s="451" t="str">
        <f t="shared" si="6"/>
        <v/>
      </c>
      <c r="BJ126" s="107"/>
      <c r="BK126" s="107" t="str">
        <f t="shared" si="7"/>
        <v/>
      </c>
    </row>
    <row r="127" spans="46:63">
      <c r="AT127" s="287"/>
      <c r="AU127" s="441">
        <f>OBJ!B354</f>
        <v>45167</v>
      </c>
      <c r="AV127" s="23" t="str">
        <f>VLOOKUP(AU127,CENY!$B$11:$G$1034,2,FALSE)</f>
        <v>VRUT PANHEAD 35X12</v>
      </c>
      <c r="AW127" s="24">
        <f>VLOOKUP(AU127,CENY!$B$11:$G$1034,3,FALSE)</f>
        <v>200</v>
      </c>
      <c r="AX127" s="24"/>
      <c r="AY127" s="25">
        <f>SUMPRODUCT(AX5:AX13,AY5:AY13)</f>
        <v>0</v>
      </c>
      <c r="AZ127" s="451">
        <f t="shared" ref="AZ127:AZ133" si="10">IF(AY127="","",IF($AW$4=1,AY127,0))</f>
        <v>0</v>
      </c>
      <c r="BA127" s="107">
        <f>VLOOKUP(AU127,CENY!$B$11:$M$2005,12,FALSE)</f>
        <v>0.54</v>
      </c>
      <c r="BB127" s="107">
        <f t="shared" si="9"/>
        <v>0</v>
      </c>
      <c r="BC127" s="97" t="s">
        <v>506</v>
      </c>
      <c r="BD127" s="441">
        <f>OBJ!B354</f>
        <v>45167</v>
      </c>
      <c r="BE127" s="23" t="str">
        <f>VLOOKUP(BD127,CENY!$B$11:$G$1034,2,FALSE)</f>
        <v>VRUT PANHEAD 35X12</v>
      </c>
      <c r="BF127" s="24">
        <f>VLOOKUP(BD127,CENY!$B$11:$G$1034,3,FALSE)</f>
        <v>200</v>
      </c>
      <c r="BG127" s="24"/>
      <c r="BH127" s="25">
        <f>AY127+BH25*2</f>
        <v>0</v>
      </c>
      <c r="BI127" s="451">
        <f>IF(BH127="","",IF($AW$4=0,BH127,0))</f>
        <v>0</v>
      </c>
      <c r="BJ127" s="107">
        <f>VLOOKUP(BD127,CENY!$B$11:$M$2005,12,FALSE)</f>
        <v>0.54</v>
      </c>
      <c r="BK127" s="107">
        <f>IF(BJ127="","",BJ127*BH127)</f>
        <v>0</v>
      </c>
    </row>
    <row r="128" spans="46:63">
      <c r="AT128" s="287"/>
      <c r="AU128" s="441">
        <f>OBJ!B355</f>
        <v>45168</v>
      </c>
      <c r="AV128" s="23" t="str">
        <f>VLOOKUP(AU128,CENY!$B$11:$G$1034,2,FALSE)</f>
        <v>VRUT PANHEAD 35X20</v>
      </c>
      <c r="AW128" s="24">
        <f>VLOOKUP(AU128,CENY!$B$11:$G$1034,3,FALSE)</f>
        <v>200</v>
      </c>
      <c r="AX128" s="24"/>
      <c r="AY128" s="497">
        <v>0</v>
      </c>
      <c r="AZ128" s="451">
        <f t="shared" si="10"/>
        <v>0</v>
      </c>
      <c r="BA128" s="107">
        <f>VLOOKUP(AU128,CENY!$B$11:$M$2005,12,FALSE)</f>
        <v>0.78</v>
      </c>
      <c r="BB128" s="107">
        <f t="shared" si="9"/>
        <v>0</v>
      </c>
      <c r="BC128" s="97" t="s">
        <v>507</v>
      </c>
      <c r="BD128" s="441">
        <f>OBJ!B355</f>
        <v>45168</v>
      </c>
      <c r="BE128" s="23" t="str">
        <f>VLOOKUP(BD128,CENY!$B$11:$G$1034,2,FALSE)</f>
        <v>VRUT PANHEAD 35X20</v>
      </c>
      <c r="BF128" s="24">
        <f>VLOOKUP(BD128,CENY!$B$11:$G$1034,3,FALSE)</f>
        <v>200</v>
      </c>
      <c r="BG128" s="24"/>
      <c r="BH128" s="497">
        <f>IF(FORM!$AM$8=FORM!$AU$10,BH24*2,0)</f>
        <v>0</v>
      </c>
      <c r="BI128" s="451">
        <f>IF(BH128="","",IF($AW$4=0,BH128,0))</f>
        <v>0</v>
      </c>
      <c r="BJ128" s="107">
        <f>VLOOKUP(BD128,CENY!$B$11:$M$2005,12,FALSE)</f>
        <v>0.78</v>
      </c>
      <c r="BK128" s="107">
        <f>IF(BJ128="","",BJ128*BH128)</f>
        <v>0</v>
      </c>
    </row>
    <row r="129" spans="46:63">
      <c r="AT129" s="287"/>
      <c r="AU129" s="441">
        <f>OBJ!B356</f>
        <v>9278224</v>
      </c>
      <c r="AV129" s="23" t="str">
        <f>VLOOKUP(AU129,CENY!$B$11:$G$1034,2,FALSE)</f>
        <v>AVANTECH YOU VRUT 3,5X30 PANHEAD POZINK.</v>
      </c>
      <c r="AW129" s="24">
        <f>VLOOKUP(AU129,CENY!$B$11:$G$1034,3,FALSE)</f>
        <v>200</v>
      </c>
      <c r="AX129" s="24"/>
      <c r="AY129" s="497">
        <v>0</v>
      </c>
      <c r="AZ129" s="451">
        <f t="shared" si="10"/>
        <v>0</v>
      </c>
      <c r="BA129" s="107">
        <f>VLOOKUP(AU129,CENY!$B$11:$M$2005,12,FALSE)</f>
        <v>0.73</v>
      </c>
      <c r="BB129" s="107">
        <f t="shared" si="9"/>
        <v>0</v>
      </c>
      <c r="BC129" s="97" t="s">
        <v>508</v>
      </c>
      <c r="BD129" s="441">
        <f>OBJ!B356</f>
        <v>9278224</v>
      </c>
      <c r="BE129" s="23" t="str">
        <f>VLOOKUP(BD129,CENY!$B$11:$G$1034,2,FALSE)</f>
        <v>AVANTECH YOU VRUT 3,5X30 PANHEAD POZINK.</v>
      </c>
      <c r="BF129" s="24">
        <f>VLOOKUP(BD129,CENY!$B$11:$G$1034,3,FALSE)</f>
        <v>200</v>
      </c>
      <c r="BG129" s="24"/>
      <c r="BH129" s="497">
        <f>SUM(BH5:BH22)</f>
        <v>0</v>
      </c>
      <c r="BI129" s="451">
        <f>IF(BH129="","",IF($AW$4=0,BH129,0))</f>
        <v>0</v>
      </c>
      <c r="BJ129" s="107">
        <f>VLOOKUP(BD129,CENY!$B$11:$M$2005,12,FALSE)</f>
        <v>0.73</v>
      </c>
      <c r="BK129" s="107">
        <f>IF(BJ129="","",BJ129*BH129)</f>
        <v>0</v>
      </c>
    </row>
    <row r="130" spans="46:63">
      <c r="AT130" s="287"/>
      <c r="AU130" s="441">
        <f>OBJ!B357</f>
        <v>9279197</v>
      </c>
      <c r="AV130" s="23" t="str">
        <f>VLOOKUP(AU130,CENY!$B$11:$G$1034,2,FALSE)</f>
        <v>SAMOŘEZNÝ ŠROUB 3,5X12 PANHEAD POZINK.</v>
      </c>
      <c r="AW130" s="24">
        <f>VLOOKUP(AU130,CENY!$B$11:$G$1034,3,FALSE)</f>
        <v>1000</v>
      </c>
      <c r="AX130" s="24"/>
      <c r="AY130" s="77">
        <v>0</v>
      </c>
      <c r="AZ130" s="451">
        <f t="shared" si="10"/>
        <v>0</v>
      </c>
      <c r="BA130" s="107">
        <f>VLOOKUP(AU130,CENY!$B$11:$M$2005,12,FALSE)</f>
        <v>1.51</v>
      </c>
      <c r="BB130" s="107">
        <f t="shared" si="9"/>
        <v>0</v>
      </c>
      <c r="BC130" s="97" t="s">
        <v>509</v>
      </c>
      <c r="BD130" s="441">
        <f>OBJ!B357</f>
        <v>9279197</v>
      </c>
      <c r="BE130" s="23" t="str">
        <f>VLOOKUP(BD130,CENY!$B$11:$G$1034,2,FALSE)</f>
        <v>SAMOŘEZNÝ ŠROUB 3,5X12 PANHEAD POZINK.</v>
      </c>
      <c r="BF130" s="24">
        <f>VLOOKUP(BD130,CENY!$B$11:$G$1034,3,FALSE)</f>
        <v>1000</v>
      </c>
      <c r="BG130" s="24"/>
      <c r="BH130" s="77">
        <f>AY130</f>
        <v>0</v>
      </c>
      <c r="BI130" s="451">
        <f>IF(BH130="","",IF($AW$4=0,BH130,0))</f>
        <v>0</v>
      </c>
      <c r="BJ130" s="107">
        <f>VLOOKUP(BD130,CENY!$B$11:$M$2005,12,FALSE)</f>
        <v>1.51</v>
      </c>
      <c r="BK130" s="107">
        <f>IF(BJ130="","",BJ130*BH130)</f>
        <v>0</v>
      </c>
    </row>
    <row r="131" spans="46:63">
      <c r="AT131" s="287"/>
      <c r="AU131" s="441">
        <f>OBJ!B358</f>
        <v>9137114</v>
      </c>
      <c r="AV131" s="23" t="str">
        <f>VLOOKUP(AU131,CENY!$B$11:$G$1034,2,FALSE)</f>
        <v>EUROŠROUB DBS 60 X 14</v>
      </c>
      <c r="AW131" s="24">
        <f>VLOOKUP(AU131,CENY!$B$11:$G$1034,3,FALSE)</f>
        <v>200</v>
      </c>
      <c r="AX131" s="24"/>
      <c r="AY131" s="25">
        <f>SUMPRODUCT(AX25:AX74,AY25:AY74)</f>
        <v>0</v>
      </c>
      <c r="AZ131" s="451">
        <f t="shared" si="10"/>
        <v>0</v>
      </c>
      <c r="BA131" s="107">
        <f>VLOOKUP(AU131,CENY!$B$11:$M$2005,12,FALSE)</f>
        <v>1.2</v>
      </c>
      <c r="BB131" s="107">
        <f t="shared" si="9"/>
        <v>0</v>
      </c>
      <c r="BC131" s="97" t="s">
        <v>510</v>
      </c>
      <c r="BD131" s="441">
        <f>OBJ!B358</f>
        <v>9137114</v>
      </c>
      <c r="BE131" s="23" t="str">
        <f>VLOOKUP(BD131,CENY!$B$11:$G$1034,2,FALSE)</f>
        <v>EUROŠROUB DBS 60 X 14</v>
      </c>
      <c r="BF131" s="24">
        <f>VLOOKUP(BD131,CENY!$B$11:$G$1034,3,FALSE)</f>
        <v>200</v>
      </c>
      <c r="BG131" s="24"/>
      <c r="BH131" s="25">
        <f>AY131</f>
        <v>0</v>
      </c>
      <c r="BI131" s="451">
        <f>IF(BH131="","",IF($AW$4=0,BH131,0))</f>
        <v>0</v>
      </c>
      <c r="BJ131" s="107">
        <f>VLOOKUP(BD131,CENY!$B$11:$M$2005,12,FALSE)</f>
        <v>1.2</v>
      </c>
      <c r="BK131" s="107">
        <f>IF(BJ131="","",BJ131*BH131)</f>
        <v>0</v>
      </c>
    </row>
    <row r="132" spans="46:63">
      <c r="AU132" s="22"/>
      <c r="AV132" s="23"/>
      <c r="AW132" s="24"/>
      <c r="AX132" s="24"/>
      <c r="AY132" s="25"/>
      <c r="AZ132" s="451" t="str">
        <f t="shared" si="10"/>
        <v/>
      </c>
      <c r="BA132" s="107"/>
      <c r="BB132" s="107" t="str">
        <f t="shared" si="9"/>
        <v/>
      </c>
      <c r="BD132" s="441"/>
      <c r="BE132" s="23"/>
      <c r="BF132" s="24"/>
      <c r="BG132" s="24"/>
      <c r="BH132" s="25"/>
      <c r="BI132" s="451" t="str">
        <f t="shared" si="6"/>
        <v/>
      </c>
      <c r="BJ132" s="107"/>
      <c r="BK132" s="107" t="str">
        <f t="shared" si="7"/>
        <v/>
      </c>
    </row>
    <row r="133" spans="46:63">
      <c r="AU133" s="22"/>
      <c r="AV133" s="23"/>
      <c r="AW133" s="24"/>
      <c r="AX133" s="24"/>
      <c r="AY133" s="25"/>
      <c r="AZ133" s="451" t="str">
        <f t="shared" si="10"/>
        <v/>
      </c>
      <c r="BA133" s="107"/>
      <c r="BB133" s="107" t="str">
        <f t="shared" si="9"/>
        <v/>
      </c>
      <c r="BD133" s="441"/>
      <c r="BE133" s="23"/>
      <c r="BF133" s="24"/>
      <c r="BG133" s="24"/>
      <c r="BH133" s="25"/>
      <c r="BI133" s="451" t="str">
        <f t="shared" si="6"/>
        <v/>
      </c>
      <c r="BJ133" s="107"/>
      <c r="BK133" s="107" t="str">
        <f t="shared" si="7"/>
        <v/>
      </c>
    </row>
    <row r="134" spans="46:63">
      <c r="BD134" s="441"/>
      <c r="BE134" s="23"/>
      <c r="BF134" s="24"/>
      <c r="BG134" s="24"/>
      <c r="BH134" s="25"/>
      <c r="BI134" s="451" t="str">
        <f>IF(BH134="","",IF($AW$4=0,BH134,0))</f>
        <v/>
      </c>
      <c r="BJ134" s="107"/>
      <c r="BK134" s="107" t="str">
        <f>IF(BJ134="","",BJ134*BH134)</f>
        <v/>
      </c>
    </row>
    <row r="135" spans="46:63">
      <c r="BD135" s="441"/>
      <c r="BE135" s="23"/>
      <c r="BF135" s="24"/>
      <c r="BG135" s="24"/>
      <c r="BH135" s="25"/>
      <c r="BI135" s="451" t="str">
        <f>IF(BH135="","",IF($AW$4=0,BH135,0))</f>
        <v/>
      </c>
      <c r="BJ135" s="107"/>
      <c r="BK135" s="107" t="str">
        <f>IF(BJ135="","",BJ135*BH135)</f>
        <v/>
      </c>
    </row>
  </sheetData>
  <sheetProtection password="DD97" sheet="1"/>
  <mergeCells count="112">
    <mergeCell ref="AN29:AO29"/>
    <mergeCell ref="AI25:AO25"/>
    <mergeCell ref="AC26:AD26"/>
    <mergeCell ref="O17:AF17"/>
    <mergeCell ref="AN20:AO20"/>
    <mergeCell ref="AN22:AO22"/>
    <mergeCell ref="AN19:AO19"/>
    <mergeCell ref="AN21:AO21"/>
    <mergeCell ref="AI17:AO17"/>
    <mergeCell ref="AE22:AF22"/>
    <mergeCell ref="AE20:AF20"/>
    <mergeCell ref="U22:V22"/>
    <mergeCell ref="W22:X22"/>
    <mergeCell ref="U28:V28"/>
    <mergeCell ref="W28:X28"/>
    <mergeCell ref="Y28:Z28"/>
    <mergeCell ref="AA28:AB28"/>
    <mergeCell ref="Y22:Z22"/>
    <mergeCell ref="AA22:AB22"/>
    <mergeCell ref="B28:G28"/>
    <mergeCell ref="H28:L28"/>
    <mergeCell ref="M28:N28"/>
    <mergeCell ref="O28:P28"/>
    <mergeCell ref="Q28:R28"/>
    <mergeCell ref="S28:T28"/>
    <mergeCell ref="B27:G27"/>
    <mergeCell ref="H27:L27"/>
    <mergeCell ref="M27:N27"/>
    <mergeCell ref="O27:P27"/>
    <mergeCell ref="Q27:R27"/>
    <mergeCell ref="S27:T27"/>
    <mergeCell ref="H20:L20"/>
    <mergeCell ref="M20:N20"/>
    <mergeCell ref="O20:P20"/>
    <mergeCell ref="Q20:R20"/>
    <mergeCell ref="O26:P26"/>
    <mergeCell ref="Q26:R26"/>
    <mergeCell ref="S26:T26"/>
    <mergeCell ref="U26:V26"/>
    <mergeCell ref="W26:X26"/>
    <mergeCell ref="S22:T22"/>
    <mergeCell ref="U20:V20"/>
    <mergeCell ref="S20:T20"/>
    <mergeCell ref="B10:E10"/>
    <mergeCell ref="F10:K10"/>
    <mergeCell ref="B11:E11"/>
    <mergeCell ref="B12:E12"/>
    <mergeCell ref="F12:I12"/>
    <mergeCell ref="J12:K12"/>
    <mergeCell ref="F11:K11"/>
    <mergeCell ref="B19:G19"/>
    <mergeCell ref="H19:L19"/>
    <mergeCell ref="B8:E8"/>
    <mergeCell ref="F8:K8"/>
    <mergeCell ref="B2:E2"/>
    <mergeCell ref="G2:K2"/>
    <mergeCell ref="B9:E9"/>
    <mergeCell ref="F9:K9"/>
    <mergeCell ref="AO2:AR2"/>
    <mergeCell ref="B6:E6"/>
    <mergeCell ref="F6:K6"/>
    <mergeCell ref="O2:S2"/>
    <mergeCell ref="B7:E7"/>
    <mergeCell ref="F7:K7"/>
    <mergeCell ref="Y30:Z30"/>
    <mergeCell ref="U2:Y2"/>
    <mergeCell ref="AA2:AE2"/>
    <mergeCell ref="AI2:AM2"/>
    <mergeCell ref="AA18:AB18"/>
    <mergeCell ref="AE18:AF18"/>
    <mergeCell ref="AC18:AD18"/>
    <mergeCell ref="AA20:AB20"/>
    <mergeCell ref="W20:X20"/>
    <mergeCell ref="Y20:Z20"/>
    <mergeCell ref="AA30:AB30"/>
    <mergeCell ref="AC22:AD22"/>
    <mergeCell ref="AC20:AD20"/>
    <mergeCell ref="AC28:AD28"/>
    <mergeCell ref="U18:V18"/>
    <mergeCell ref="W18:X18"/>
    <mergeCell ref="Y18:Z18"/>
    <mergeCell ref="Y26:Z26"/>
    <mergeCell ref="AA26:AB26"/>
    <mergeCell ref="AC30:AD30"/>
    <mergeCell ref="AI26:AO26"/>
    <mergeCell ref="AI18:AO18"/>
    <mergeCell ref="AN27:AO27"/>
    <mergeCell ref="AN28:AO28"/>
    <mergeCell ref="M30:N30"/>
    <mergeCell ref="O30:P30"/>
    <mergeCell ref="Q30:R30"/>
    <mergeCell ref="S30:T30"/>
    <mergeCell ref="U30:V30"/>
    <mergeCell ref="W30:X30"/>
    <mergeCell ref="B13:E13"/>
    <mergeCell ref="F13:I13"/>
    <mergeCell ref="J13:K13"/>
    <mergeCell ref="B30:G30"/>
    <mergeCell ref="H30:L30"/>
    <mergeCell ref="M19:N19"/>
    <mergeCell ref="O19:P19"/>
    <mergeCell ref="Q19:R19"/>
    <mergeCell ref="S19:T19"/>
    <mergeCell ref="O18:P18"/>
    <mergeCell ref="Q18:R18"/>
    <mergeCell ref="S18:T18"/>
    <mergeCell ref="B22:G22"/>
    <mergeCell ref="H22:L22"/>
    <mergeCell ref="M22:N22"/>
    <mergeCell ref="O22:P22"/>
    <mergeCell ref="Q22:R22"/>
    <mergeCell ref="B20:G20"/>
  </mergeCells>
  <conditionalFormatting sqref="BH26:BH85 AY5:AZ5 AY6:AY42 BH5:BI5 BH6:BH24 AZ6:AZ126 AZ132:AZ133">
    <cfRule type="cellIs" dxfId="686" priority="49" stopIfTrue="1" operator="equal">
      <formula>0</formula>
    </cfRule>
  </conditionalFormatting>
  <conditionalFormatting sqref="AY53:AY56 AY66:AY69 AY43:AY50">
    <cfRule type="cellIs" dxfId="685" priority="42" stopIfTrue="1" operator="equal">
      <formula>0</formula>
    </cfRule>
  </conditionalFormatting>
  <conditionalFormatting sqref="O17:AF17 O19:T19 O20:AD20 W22:AF22 O27:T27 O28:AD28 O30:AD30">
    <cfRule type="expression" dxfId="684" priority="44" stopIfTrue="1">
      <formula>$AW$4=0</formula>
    </cfRule>
  </conditionalFormatting>
  <conditionalFormatting sqref="AY76:AY77 AY79 AY81:AY83">
    <cfRule type="cellIs" dxfId="683" priority="39" stopIfTrue="1" operator="equal">
      <formula>0</formula>
    </cfRule>
  </conditionalFormatting>
  <conditionalFormatting sqref="AY84">
    <cfRule type="cellIs" dxfId="682" priority="38" stopIfTrue="1" operator="equal">
      <formula>0</formula>
    </cfRule>
  </conditionalFormatting>
  <conditionalFormatting sqref="AY88:AY97">
    <cfRule type="cellIs" dxfId="681" priority="36" stopIfTrue="1" operator="equal">
      <formula>0</formula>
    </cfRule>
  </conditionalFormatting>
  <conditionalFormatting sqref="BH25">
    <cfRule type="cellIs" dxfId="680" priority="34" stopIfTrue="1" operator="equal">
      <formula>0</formula>
    </cfRule>
  </conditionalFormatting>
  <conditionalFormatting sqref="AY51:AY52">
    <cfRule type="cellIs" dxfId="679" priority="33" stopIfTrue="1" operator="equal">
      <formula>0</formula>
    </cfRule>
  </conditionalFormatting>
  <conditionalFormatting sqref="AY57:AY63">
    <cfRule type="cellIs" dxfId="678" priority="32" stopIfTrue="1" operator="equal">
      <formula>0</formula>
    </cfRule>
  </conditionalFormatting>
  <conditionalFormatting sqref="AY70:AY73">
    <cfRule type="cellIs" dxfId="677" priority="31" stopIfTrue="1" operator="equal">
      <formula>0</formula>
    </cfRule>
  </conditionalFormatting>
  <conditionalFormatting sqref="AY74">
    <cfRule type="cellIs" dxfId="676" priority="30" stopIfTrue="1" operator="equal">
      <formula>0</formula>
    </cfRule>
  </conditionalFormatting>
  <conditionalFormatting sqref="AY75">
    <cfRule type="cellIs" dxfId="675" priority="29" stopIfTrue="1" operator="equal">
      <formula>0</formula>
    </cfRule>
  </conditionalFormatting>
  <conditionalFormatting sqref="AY78">
    <cfRule type="cellIs" dxfId="674" priority="28" stopIfTrue="1" operator="equal">
      <formula>0</formula>
    </cfRule>
  </conditionalFormatting>
  <conditionalFormatting sqref="AY85:AY87">
    <cfRule type="cellIs" dxfId="673" priority="27" stopIfTrue="1" operator="equal">
      <formula>0</formula>
    </cfRule>
  </conditionalFormatting>
  <conditionalFormatting sqref="BH101:BH106">
    <cfRule type="cellIs" dxfId="672" priority="25" stopIfTrue="1" operator="equal">
      <formula>0</formula>
    </cfRule>
  </conditionalFormatting>
  <conditionalFormatting sqref="BH122:BH124 BH126 BH132:BH135">
    <cfRule type="cellIs" dxfId="671" priority="24" stopIfTrue="1" operator="equal">
      <formula>0</formula>
    </cfRule>
  </conditionalFormatting>
  <conditionalFormatting sqref="AY98:AY126 AY132:AY133">
    <cfRule type="cellIs" dxfId="670" priority="23" stopIfTrue="1" operator="equal">
      <formula>0</formula>
    </cfRule>
  </conditionalFormatting>
  <conditionalFormatting sqref="AY64:AY65">
    <cfRule type="cellIs" dxfId="669" priority="22" stopIfTrue="1" operator="equal">
      <formula>0</formula>
    </cfRule>
  </conditionalFormatting>
  <conditionalFormatting sqref="BH86:BH100">
    <cfRule type="cellIs" dxfId="668" priority="21" stopIfTrue="1" operator="equal">
      <formula>0</formula>
    </cfRule>
  </conditionalFormatting>
  <conditionalFormatting sqref="BH107:BH121">
    <cfRule type="cellIs" dxfId="667" priority="20" stopIfTrue="1" operator="equal">
      <formula>0</formula>
    </cfRule>
  </conditionalFormatting>
  <conditionalFormatting sqref="AY80">
    <cfRule type="cellIs" dxfId="666" priority="18" stopIfTrue="1" operator="equal">
      <formula>0</formula>
    </cfRule>
  </conditionalFormatting>
  <conditionalFormatting sqref="BH125">
    <cfRule type="cellIs" dxfId="665" priority="17" stopIfTrue="1" operator="equal">
      <formula>0</formula>
    </cfRule>
  </conditionalFormatting>
  <conditionalFormatting sqref="F13:K13">
    <cfRule type="expression" dxfId="664" priority="16" stopIfTrue="1">
      <formula>$AW$4=1</formula>
    </cfRule>
  </conditionalFormatting>
  <conditionalFormatting sqref="BI6:BI126 BI132:BI135">
    <cfRule type="cellIs" dxfId="663" priority="9" stopIfTrue="1" operator="equal">
      <formula>0</formula>
    </cfRule>
  </conditionalFormatting>
  <conditionalFormatting sqref="AZ127:AZ131">
    <cfRule type="cellIs" dxfId="662" priority="8" stopIfTrue="1" operator="equal">
      <formula>0</formula>
    </cfRule>
  </conditionalFormatting>
  <conditionalFormatting sqref="AY127:AY131">
    <cfRule type="cellIs" dxfId="661" priority="7" stopIfTrue="1" operator="equal">
      <formula>0</formula>
    </cfRule>
  </conditionalFormatting>
  <conditionalFormatting sqref="BH127 BH130:BH131">
    <cfRule type="cellIs" dxfId="660" priority="6" stopIfTrue="1" operator="equal">
      <formula>0</formula>
    </cfRule>
  </conditionalFormatting>
  <conditionalFormatting sqref="BI127:BI131">
    <cfRule type="cellIs" dxfId="659" priority="5" stopIfTrue="1" operator="equal">
      <formula>0</formula>
    </cfRule>
  </conditionalFormatting>
  <conditionalFormatting sqref="BH128:BH129">
    <cfRule type="cellIs" dxfId="658" priority="4" stopIfTrue="1" operator="equal">
      <formula>0</formula>
    </cfRule>
  </conditionalFormatting>
  <conditionalFormatting sqref="AI17:AO17">
    <cfRule type="expression" dxfId="657" priority="3" stopIfTrue="1">
      <formula>$AW$4=0</formula>
    </cfRule>
  </conditionalFormatting>
  <conditionalFormatting sqref="AI25:AO25">
    <cfRule type="expression" dxfId="656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F13:K13" unlocked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rgb="FFFFFF00"/>
  </sheetPr>
  <dimension ref="A1:BK117"/>
  <sheetViews>
    <sheetView showGridLines="0" showRowColHeaders="0" zoomScale="95" zoomScaleNormal="95" workbookViewId="0"/>
  </sheetViews>
  <sheetFormatPr defaultColWidth="9" defaultRowHeight="13.8"/>
  <cols>
    <col min="1" max="1" width="3.6640625" style="97" customWidth="1"/>
    <col min="2" max="4" width="3.109375" style="97" customWidth="1"/>
    <col min="5" max="5" width="7.6640625" style="97" customWidth="1"/>
    <col min="6" max="44" width="3.109375" style="97" customWidth="1"/>
    <col min="45" max="45" width="3.6640625" style="97" customWidth="1"/>
    <col min="46" max="46" width="9" style="97" customWidth="1"/>
    <col min="47" max="47" width="9" style="97" hidden="1" customWidth="1"/>
    <col min="48" max="48" width="32.5546875" style="97" hidden="1" customWidth="1"/>
    <col min="49" max="49" width="4.33203125" style="97" hidden="1" customWidth="1"/>
    <col min="50" max="50" width="2" style="97" hidden="1" customWidth="1"/>
    <col min="51" max="52" width="4.6640625" style="97" hidden="1" customWidth="1"/>
    <col min="53" max="54" width="9" style="97" hidden="1" customWidth="1"/>
    <col min="55" max="55" width="2.6640625" style="97" hidden="1" customWidth="1"/>
    <col min="56" max="56" width="9" style="97" hidden="1" customWidth="1"/>
    <col min="57" max="57" width="33.88671875" style="97" hidden="1" customWidth="1"/>
    <col min="58" max="58" width="4.33203125" style="97" hidden="1" customWidth="1"/>
    <col min="59" max="59" width="2" style="97" hidden="1" customWidth="1"/>
    <col min="60" max="61" width="4.6640625" style="97" hidden="1" customWidth="1"/>
    <col min="62" max="63" width="9" style="97" hidden="1" customWidth="1"/>
    <col min="64" max="75" width="9" style="97" customWidth="1"/>
    <col min="76" max="16384" width="9" style="97"/>
  </cols>
  <sheetData>
    <row r="1" spans="1:63" ht="12.9" customHeight="1" thickBot="1">
      <c r="AU1" s="156"/>
      <c r="AV1" s="379"/>
      <c r="AW1" s="379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</row>
    <row r="2" spans="1:63" ht="23.1" customHeight="1" thickBot="1">
      <c r="B2" s="510" t="str">
        <f>verze!E13</f>
        <v>&lt;&lt;  zpět</v>
      </c>
      <c r="C2" s="511"/>
      <c r="D2" s="511"/>
      <c r="E2" s="512"/>
      <c r="G2" s="549" t="str">
        <f>verze!E6</f>
        <v xml:space="preserve"> Úvod</v>
      </c>
      <c r="H2" s="550"/>
      <c r="I2" s="550"/>
      <c r="J2" s="550"/>
      <c r="K2" s="551"/>
      <c r="O2" s="516" t="str">
        <f>verze!E7</f>
        <v xml:space="preserve"> Výběr zásuvek</v>
      </c>
      <c r="P2" s="517"/>
      <c r="Q2" s="517"/>
      <c r="R2" s="517"/>
      <c r="S2" s="518"/>
      <c r="U2" s="549" t="str">
        <f>verze!E8</f>
        <v xml:space="preserve"> </v>
      </c>
      <c r="V2" s="550"/>
      <c r="W2" s="550"/>
      <c r="X2" s="550"/>
      <c r="Y2" s="551"/>
      <c r="AA2" s="549" t="str">
        <f>verze!E9</f>
        <v xml:space="preserve"> </v>
      </c>
      <c r="AB2" s="550"/>
      <c r="AC2" s="550"/>
      <c r="AD2" s="550"/>
      <c r="AE2" s="551"/>
      <c r="AI2" s="549" t="str">
        <f>verze!E10</f>
        <v xml:space="preserve"> Objednávka</v>
      </c>
      <c r="AJ2" s="550"/>
      <c r="AK2" s="550"/>
      <c r="AL2" s="550"/>
      <c r="AM2" s="551"/>
      <c r="AO2" s="510" t="str">
        <f>verze!E14</f>
        <v>vpřed  &gt;&gt;</v>
      </c>
      <c r="AP2" s="511"/>
      <c r="AQ2" s="511"/>
      <c r="AR2" s="512"/>
      <c r="AV2" s="159"/>
      <c r="AW2" s="159"/>
    </row>
    <row r="3" spans="1:63" ht="12.9" customHeight="1">
      <c r="AV3" s="159"/>
      <c r="AW3" s="159"/>
    </row>
    <row r="4" spans="1:63" ht="23.1" customHeight="1">
      <c r="A4" s="100"/>
      <c r="B4" s="104" t="s">
        <v>1229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U4" s="105" t="s">
        <v>39</v>
      </c>
      <c r="AW4" s="385">
        <f>IF(FORM!AU13=FORM!U18,1,0)</f>
        <v>1</v>
      </c>
      <c r="BB4" s="444">
        <f>SUM(BB5:BB972)</f>
        <v>0</v>
      </c>
      <c r="BD4" s="105" t="s">
        <v>40</v>
      </c>
      <c r="BK4" s="444">
        <f>SUM(BK5:BK967)</f>
        <v>0</v>
      </c>
    </row>
    <row r="5" spans="1:63" ht="14.4" customHeight="1">
      <c r="AU5" s="441">
        <f>OBJ!B81</f>
        <v>9255254</v>
      </c>
      <c r="AV5" s="23" t="str">
        <f>VLOOKUP(AU5,CENY!$B$11:$G$1034,2,FALSE)</f>
        <v>AVANTECH YOU BOKY V SADĚ V139 MM NL300 MM STŘÍBRNÁ</v>
      </c>
      <c r="AW5" s="24">
        <f>VLOOKUP(AU5,CENY!$B$11:$G$1034,3,FALSE)</f>
        <v>1</v>
      </c>
      <c r="AX5" s="499">
        <v>4</v>
      </c>
      <c r="AY5" s="25">
        <f>Q19+Q20+Q27+Q28+Q30</f>
        <v>0</v>
      </c>
      <c r="AZ5" s="451">
        <f>IF(AY5="","",IF($AW$4=1,AY5,0))</f>
        <v>0</v>
      </c>
      <c r="BA5" s="107">
        <f>VLOOKUP(AU5,CENY!$B$11:$M$2005,12,FALSE)</f>
        <v>682.46</v>
      </c>
      <c r="BB5" s="107">
        <f t="shared" ref="BB5:BB66" si="0">IF(BA5="","",BA5*AY5)</f>
        <v>0</v>
      </c>
      <c r="BD5" s="441">
        <f>OBJ!B89</f>
        <v>9255028</v>
      </c>
      <c r="BE5" s="23" t="str">
        <f>VLOOKUP(BD5,CENY!$B$11:$G$1034,2,FALSE)</f>
        <v>AVANTECH YOU BOK V139 MM NL300 MM STŘÍBRNÝ LEVÝ</v>
      </c>
      <c r="BF5" s="24">
        <f>VLOOKUP(BD5,CENY!$B$11:$G$1034,3,FALSE)</f>
        <v>20</v>
      </c>
      <c r="BG5" s="24"/>
      <c r="BH5" s="25">
        <f>AY5</f>
        <v>0</v>
      </c>
      <c r="BI5" s="451">
        <f>IF(BH5="","",IF($AW$4=0,BH5,0))</f>
        <v>0</v>
      </c>
      <c r="BJ5" s="107">
        <f>VLOOKUP(BD5,CENY!$B$11:$M$2005,12,FALSE)</f>
        <v>229.12</v>
      </c>
      <c r="BK5" s="107">
        <f>IF(BJ5="","",BJ5*BH5)</f>
        <v>0</v>
      </c>
    </row>
    <row r="6" spans="1:63" ht="14.4" customHeight="1">
      <c r="B6" s="553" t="str">
        <f>" "&amp;verze!E90</f>
        <v xml:space="preserve"> bočnice:</v>
      </c>
      <c r="C6" s="553"/>
      <c r="D6" s="553"/>
      <c r="E6" s="553"/>
      <c r="F6" s="554" t="s">
        <v>437</v>
      </c>
      <c r="G6" s="554"/>
      <c r="H6" s="554"/>
      <c r="I6" s="554"/>
      <c r="J6" s="554"/>
      <c r="K6" s="554"/>
      <c r="AU6" s="441">
        <f>OBJ!B82</f>
        <v>9255255</v>
      </c>
      <c r="AV6" s="23" t="str">
        <f>VLOOKUP(AU6,CENY!$B$11:$G$1034,2,FALSE)</f>
        <v>AVANTECH YOU BOKY V SADĚ V139 MM NL350 MM STŘÍBRNÁ</v>
      </c>
      <c r="AW6" s="24">
        <f>VLOOKUP(AU6,CENY!$B$11:$G$1034,3,FALSE)</f>
        <v>1</v>
      </c>
      <c r="AX6" s="499">
        <v>6</v>
      </c>
      <c r="AY6" s="25">
        <f>S19+S20+S27+S28+S30</f>
        <v>0</v>
      </c>
      <c r="AZ6" s="451">
        <f t="shared" ref="AZ6:AZ67" si="1">IF(AY6="","",IF($AW$4=1,AY6,0))</f>
        <v>0</v>
      </c>
      <c r="BA6" s="107">
        <f>VLOOKUP(AU6,CENY!$B$11:$M$2005,12,FALSE)</f>
        <v>691.23</v>
      </c>
      <c r="BB6" s="107">
        <f t="shared" si="0"/>
        <v>0</v>
      </c>
      <c r="BD6" s="441">
        <f>OBJ!B90</f>
        <v>9255029</v>
      </c>
      <c r="BE6" s="23" t="str">
        <f>VLOOKUP(BD6,CENY!$B$11:$G$1034,2,FALSE)</f>
        <v>AVANTECH YOU BOK V139 MM NL300 MM STŘÍBRNÝ PRAVÝ</v>
      </c>
      <c r="BF6" s="24">
        <f>VLOOKUP(BD6,CENY!$B$11:$G$1034,3,FALSE)</f>
        <v>20</v>
      </c>
      <c r="BG6" s="24"/>
      <c r="BH6" s="25">
        <f>AY5</f>
        <v>0</v>
      </c>
      <c r="BI6" s="451">
        <f t="shared" ref="BI6:BI69" si="2">IF(BH6="","",IF($AW$4=0,BH6,0))</f>
        <v>0</v>
      </c>
      <c r="BJ6" s="107">
        <f>VLOOKUP(BD6,CENY!$B$11:$M$2005,12,FALSE)</f>
        <v>229.12</v>
      </c>
      <c r="BK6" s="107">
        <f t="shared" ref="BK6:BK69" si="3">IF(BJ6="","",BJ6*BH6)</f>
        <v>0</v>
      </c>
    </row>
    <row r="7" spans="1:63" ht="14.4" customHeight="1">
      <c r="B7" s="553" t="str">
        <f>" "&amp;verze!E56</f>
        <v xml:space="preserve"> barva:</v>
      </c>
      <c r="C7" s="553"/>
      <c r="D7" s="553"/>
      <c r="E7" s="553"/>
      <c r="F7" s="554" t="str">
        <f>" "&amp;FORM!U8</f>
        <v xml:space="preserve"> stříbrná</v>
      </c>
      <c r="G7" s="554"/>
      <c r="H7" s="554"/>
      <c r="I7" s="554"/>
      <c r="J7" s="554"/>
      <c r="K7" s="554"/>
      <c r="AU7" s="441">
        <f>OBJ!B83</f>
        <v>9255256</v>
      </c>
      <c r="AV7" s="23" t="str">
        <f>VLOOKUP(AU7,CENY!$B$11:$G$1034,2,FALSE)</f>
        <v>AVANTECH YOU BOKY V SADĚ V139 MM NL400 MM STŘÍBRNÁ</v>
      </c>
      <c r="AW7" s="24">
        <f>VLOOKUP(AU7,CENY!$B$11:$G$1034,3,FALSE)</f>
        <v>1</v>
      </c>
      <c r="AX7" s="499">
        <v>6</v>
      </c>
      <c r="AY7" s="25">
        <f>U20+U28+U30</f>
        <v>0</v>
      </c>
      <c r="AZ7" s="451">
        <f t="shared" si="1"/>
        <v>0</v>
      </c>
      <c r="BA7" s="107">
        <f>VLOOKUP(AU7,CENY!$B$11:$M$2005,12,FALSE)</f>
        <v>700.01</v>
      </c>
      <c r="BB7" s="107">
        <f t="shared" si="0"/>
        <v>0</v>
      </c>
      <c r="BD7" s="441">
        <f>OBJ!B91</f>
        <v>9255030</v>
      </c>
      <c r="BE7" s="23" t="str">
        <f>VLOOKUP(BD7,CENY!$B$11:$G$1034,2,FALSE)</f>
        <v>AVANTECH YOU BOK V139 MM NL350 MM STŘÍBRNÝ LEVÝ</v>
      </c>
      <c r="BF7" s="24">
        <f>VLOOKUP(BD7,CENY!$B$11:$G$1034,3,FALSE)</f>
        <v>20</v>
      </c>
      <c r="BG7" s="24"/>
      <c r="BH7" s="25">
        <f>AY6</f>
        <v>0</v>
      </c>
      <c r="BI7" s="451">
        <f t="shared" si="2"/>
        <v>0</v>
      </c>
      <c r="BJ7" s="107">
        <f>VLOOKUP(BD7,CENY!$B$11:$M$2005,12,FALSE)</f>
        <v>233.33</v>
      </c>
      <c r="BK7" s="107">
        <f t="shared" si="3"/>
        <v>0</v>
      </c>
    </row>
    <row r="8" spans="1:63" ht="14.4" customHeight="1">
      <c r="B8" s="553" t="str">
        <f>" "&amp;verze!E70</f>
        <v xml:space="preserve"> dekorativní profil:</v>
      </c>
      <c r="C8" s="553"/>
      <c r="D8" s="553"/>
      <c r="E8" s="553"/>
      <c r="F8" s="554" t="str">
        <f>" "&amp;FORM!AM18</f>
        <v xml:space="preserve"> v barvě bočnice</v>
      </c>
      <c r="G8" s="554"/>
      <c r="H8" s="554"/>
      <c r="I8" s="554"/>
      <c r="J8" s="554"/>
      <c r="K8" s="554"/>
      <c r="AU8" s="441">
        <f>OBJ!B84</f>
        <v>9255257</v>
      </c>
      <c r="AV8" s="23" t="str">
        <f>VLOOKUP(AU8,CENY!$B$11:$G$1034,2,FALSE)</f>
        <v>AVANTECH YOU BOKY V SADĚ V139 MM NL450 MM STŘÍBRNÁ</v>
      </c>
      <c r="AW8" s="24">
        <f>VLOOKUP(AU8,CENY!$B$11:$G$1034,3,FALSE)</f>
        <v>1</v>
      </c>
      <c r="AX8" s="499">
        <v>6</v>
      </c>
      <c r="AY8" s="25">
        <f>W20+W22+W28+W30</f>
        <v>0</v>
      </c>
      <c r="AZ8" s="451">
        <f t="shared" si="1"/>
        <v>0</v>
      </c>
      <c r="BA8" s="107">
        <f>VLOOKUP(AU8,CENY!$B$11:$M$2005,12,FALSE)</f>
        <v>708.78</v>
      </c>
      <c r="BB8" s="107">
        <f t="shared" si="0"/>
        <v>0</v>
      </c>
      <c r="BD8" s="441">
        <f>OBJ!B92</f>
        <v>9255031</v>
      </c>
      <c r="BE8" s="23" t="str">
        <f>VLOOKUP(BD8,CENY!$B$11:$G$1034,2,FALSE)</f>
        <v>AVANTECH YOU BOK V139 MM NL350 MM STŘÍBRNÝ PRAVÝ</v>
      </c>
      <c r="BF8" s="24">
        <f>VLOOKUP(BD8,CENY!$B$11:$G$1034,3,FALSE)</f>
        <v>20</v>
      </c>
      <c r="BG8" s="24"/>
      <c r="BH8" s="25">
        <f>AY6</f>
        <v>0</v>
      </c>
      <c r="BI8" s="451">
        <f t="shared" si="2"/>
        <v>0</v>
      </c>
      <c r="BJ8" s="107">
        <f>VLOOKUP(BD8,CENY!$B$11:$M$2005,12,FALSE)</f>
        <v>233.33</v>
      </c>
      <c r="BK8" s="107">
        <f t="shared" si="3"/>
        <v>0</v>
      </c>
    </row>
    <row r="9" spans="1:63" ht="14.4" customHeight="1">
      <c r="B9" s="553"/>
      <c r="C9" s="553"/>
      <c r="D9" s="553"/>
      <c r="E9" s="553"/>
      <c r="F9" s="554"/>
      <c r="G9" s="554"/>
      <c r="H9" s="554"/>
      <c r="I9" s="554"/>
      <c r="J9" s="554"/>
      <c r="K9" s="554"/>
      <c r="AU9" s="441">
        <f>OBJ!B85</f>
        <v>9255258</v>
      </c>
      <c r="AV9" s="23" t="str">
        <f>VLOOKUP(AU9,CENY!$B$11:$G$1034,2,FALSE)</f>
        <v>AVANTECH YOU BOKY V SADĚ V139 MM NL500 MM STŘÍBRNÁ</v>
      </c>
      <c r="AW9" s="24">
        <f>VLOOKUP(AU9,CENY!$B$11:$G$1034,3,FALSE)</f>
        <v>1</v>
      </c>
      <c r="AX9" s="499">
        <v>8</v>
      </c>
      <c r="AY9" s="25">
        <f>Y20+Y22+Y28+Y30</f>
        <v>0</v>
      </c>
      <c r="AZ9" s="451">
        <f t="shared" si="1"/>
        <v>0</v>
      </c>
      <c r="BA9" s="107">
        <f>VLOOKUP(AU9,CENY!$B$11:$M$2005,12,FALSE)</f>
        <v>717.56</v>
      </c>
      <c r="BB9" s="107">
        <f t="shared" si="0"/>
        <v>0</v>
      </c>
      <c r="BD9" s="441">
        <f>OBJ!B93</f>
        <v>9255032</v>
      </c>
      <c r="BE9" s="23" t="str">
        <f>VLOOKUP(BD9,CENY!$B$11:$G$1034,2,FALSE)</f>
        <v>AVANTECH YOU BOK V139 MM NL400 MM STŘÍBRNÝ LEVÝ</v>
      </c>
      <c r="BF9" s="24">
        <f>VLOOKUP(BD9,CENY!$B$11:$G$1034,3,FALSE)</f>
        <v>20</v>
      </c>
      <c r="BG9" s="24"/>
      <c r="BH9" s="25">
        <f>AY7</f>
        <v>0</v>
      </c>
      <c r="BI9" s="451">
        <f t="shared" si="2"/>
        <v>0</v>
      </c>
      <c r="BJ9" s="107">
        <f>VLOOKUP(BD9,CENY!$B$11:$M$2005,12,FALSE)</f>
        <v>237.55</v>
      </c>
      <c r="BK9" s="107">
        <f t="shared" si="3"/>
        <v>0</v>
      </c>
    </row>
    <row r="10" spans="1:63" ht="14.4" customHeight="1">
      <c r="B10" s="553" t="str">
        <f>" "&amp;verze!E57</f>
        <v xml:space="preserve"> čelní kování:</v>
      </c>
      <c r="C10" s="553"/>
      <c r="D10" s="553"/>
      <c r="E10" s="553"/>
      <c r="F10" s="568" t="str">
        <f>" "&amp;FORM!AM8</f>
        <v xml:space="preserve"> na vruty</v>
      </c>
      <c r="G10" s="568"/>
      <c r="H10" s="568"/>
      <c r="I10" s="568"/>
      <c r="J10" s="568"/>
      <c r="K10" s="568"/>
      <c r="AU10" s="441">
        <f>OBJ!B86</f>
        <v>9255259</v>
      </c>
      <c r="AV10" s="23" t="str">
        <f>VLOOKUP(AU10,CENY!$B$11:$G$1034,2,FALSE)</f>
        <v>AVANTECH YOU BOKY V SADĚ V139 MM NL550 MM STŘÍBRNÁ</v>
      </c>
      <c r="AW10" s="24">
        <f>VLOOKUP(AU10,CENY!$B$11:$G$1034,3,FALSE)</f>
        <v>1</v>
      </c>
      <c r="AX10" s="499">
        <v>8</v>
      </c>
      <c r="AY10" s="25">
        <f>AA20+AA22+AA28+AA30</f>
        <v>0</v>
      </c>
      <c r="AZ10" s="451">
        <f t="shared" si="1"/>
        <v>0</v>
      </c>
      <c r="BA10" s="107">
        <f>VLOOKUP(AU10,CENY!$B$11:$M$2005,12,FALSE)</f>
        <v>726.33</v>
      </c>
      <c r="BB10" s="107">
        <f t="shared" si="0"/>
        <v>0</v>
      </c>
      <c r="BD10" s="441">
        <f>OBJ!B94</f>
        <v>9255033</v>
      </c>
      <c r="BE10" s="23" t="str">
        <f>VLOOKUP(BD10,CENY!$B$11:$G$1034,2,FALSE)</f>
        <v>AVANTECH YOU BOK V139 MM NL400 MM STŘÍBRNÝ PRAVÝ</v>
      </c>
      <c r="BF10" s="24">
        <f>VLOOKUP(BD10,CENY!$B$11:$G$1034,3,FALSE)</f>
        <v>20</v>
      </c>
      <c r="BG10" s="24"/>
      <c r="BH10" s="25">
        <f>AY7</f>
        <v>0</v>
      </c>
      <c r="BI10" s="451">
        <f t="shared" si="2"/>
        <v>0</v>
      </c>
      <c r="BJ10" s="107">
        <f>VLOOKUP(BD10,CENY!$B$11:$M$2005,12,FALSE)</f>
        <v>237.55</v>
      </c>
      <c r="BK10" s="107">
        <f t="shared" si="3"/>
        <v>0</v>
      </c>
    </row>
    <row r="11" spans="1:63" ht="14.4" customHeight="1">
      <c r="B11" s="553" t="str">
        <f>" "&amp;verze!E76</f>
        <v xml:space="preserve"> krytka:</v>
      </c>
      <c r="C11" s="553"/>
      <c r="D11" s="553"/>
      <c r="E11" s="553"/>
      <c r="F11" s="568" t="str">
        <f>" "&amp;FORM!AM21</f>
        <v xml:space="preserve"> žádná</v>
      </c>
      <c r="G11" s="568"/>
      <c r="H11" s="568"/>
      <c r="I11" s="568"/>
      <c r="J11" s="568"/>
      <c r="K11" s="568"/>
      <c r="AU11" s="441">
        <f>OBJ!B87</f>
        <v>9255260</v>
      </c>
      <c r="AV11" s="23" t="str">
        <f>VLOOKUP(AU11,CENY!$B$11:$G$1034,2,FALSE)</f>
        <v>AVANTECH YOU BOKY V SADĚ V139 MM NL600 MM STŘÍBRNÁ</v>
      </c>
      <c r="AW11" s="24">
        <f>VLOOKUP(AU11,CENY!$B$11:$G$1034,3,FALSE)</f>
        <v>1</v>
      </c>
      <c r="AX11" s="499">
        <v>8</v>
      </c>
      <c r="AY11" s="25">
        <f>AC20+AC22+AC28+AC30</f>
        <v>0</v>
      </c>
      <c r="AZ11" s="451">
        <f t="shared" si="1"/>
        <v>0</v>
      </c>
      <c r="BA11" s="107">
        <f>VLOOKUP(AU11,CENY!$B$11:$M$2005,12,FALSE)</f>
        <v>739.57</v>
      </c>
      <c r="BB11" s="107">
        <f t="shared" si="0"/>
        <v>0</v>
      </c>
      <c r="BD11" s="441">
        <f>OBJ!B95</f>
        <v>9255034</v>
      </c>
      <c r="BE11" s="23" t="str">
        <f>VLOOKUP(BD11,CENY!$B$11:$G$1034,2,FALSE)</f>
        <v>AVANTECH YOU BOK V139 MM NL450 MM STŘÍBRNÝ LEVÝ</v>
      </c>
      <c r="BF11" s="24">
        <f>VLOOKUP(BD11,CENY!$B$11:$G$1034,3,FALSE)</f>
        <v>20</v>
      </c>
      <c r="BG11" s="24"/>
      <c r="BH11" s="25">
        <f>AY8</f>
        <v>0</v>
      </c>
      <c r="BI11" s="451">
        <f t="shared" si="2"/>
        <v>0</v>
      </c>
      <c r="BJ11" s="107">
        <f>VLOOKUP(BD11,CENY!$B$11:$M$2005,12,FALSE)</f>
        <v>241.77</v>
      </c>
      <c r="BK11" s="107">
        <f t="shared" si="3"/>
        <v>0</v>
      </c>
    </row>
    <row r="12" spans="1:63" ht="14.4" customHeight="1" thickBot="1">
      <c r="B12" s="553"/>
      <c r="C12" s="553"/>
      <c r="D12" s="553"/>
      <c r="E12" s="555"/>
      <c r="F12" s="554"/>
      <c r="G12" s="554"/>
      <c r="H12" s="554"/>
      <c r="I12" s="554"/>
      <c r="J12" s="554"/>
      <c r="K12" s="554"/>
      <c r="AU12" s="441"/>
      <c r="AV12" s="23"/>
      <c r="AW12" s="24"/>
      <c r="AX12" s="24"/>
      <c r="AY12" s="25"/>
      <c r="AZ12" s="451" t="str">
        <f t="shared" si="1"/>
        <v/>
      </c>
      <c r="BA12" s="107"/>
      <c r="BB12" s="107" t="str">
        <f t="shared" si="0"/>
        <v/>
      </c>
      <c r="BD12" s="441">
        <f>OBJ!B96</f>
        <v>9255035</v>
      </c>
      <c r="BE12" s="23" t="str">
        <f>VLOOKUP(BD12,CENY!$B$11:$G$1034,2,FALSE)</f>
        <v>AVANTECH YOU BOK V139 MM NL450 MM STŘÍBRNÝ PRAVÝ</v>
      </c>
      <c r="BF12" s="24">
        <f>VLOOKUP(BD12,CENY!$B$11:$G$1034,3,FALSE)</f>
        <v>20</v>
      </c>
      <c r="BG12" s="24"/>
      <c r="BH12" s="25">
        <f>AY8</f>
        <v>0</v>
      </c>
      <c r="BI12" s="451">
        <f t="shared" si="2"/>
        <v>0</v>
      </c>
      <c r="BJ12" s="107">
        <f>VLOOKUP(BD12,CENY!$B$11:$M$2005,12,FALSE)</f>
        <v>241.77</v>
      </c>
      <c r="BK12" s="107">
        <f t="shared" si="3"/>
        <v>0</v>
      </c>
    </row>
    <row r="13" spans="1:63" ht="14.4" customHeight="1">
      <c r="B13" s="553" t="str">
        <f>" "&amp;verze!E92</f>
        <v xml:space="preserve"> cena kování:</v>
      </c>
      <c r="C13" s="553"/>
      <c r="D13" s="553"/>
      <c r="E13" s="555"/>
      <c r="F13" s="560">
        <f>IF(AW4=1,BB4,BK4)</f>
        <v>0</v>
      </c>
      <c r="G13" s="560"/>
      <c r="H13" s="560"/>
      <c r="I13" s="560"/>
      <c r="J13" s="561" t="str">
        <f>IF(verze!E1="CZK","CZK","EUR")</f>
        <v>CZK</v>
      </c>
      <c r="K13" s="562"/>
      <c r="AU13" s="441">
        <f>OBJ!B72</f>
        <v>9255805</v>
      </c>
      <c r="AV13" s="23" t="str">
        <f>VLOOKUP(AU13,CENY!$B$11:$G$1034,2,FALSE)</f>
        <v>AVANTECH YOU DEKORATIVNÍ PROFIL NL300 MM STŘÍBRNÝ</v>
      </c>
      <c r="AW13" s="24">
        <f>VLOOKUP(AU13,CENY!$B$11:$G$1034,3,FALSE)</f>
        <v>200</v>
      </c>
      <c r="AX13" s="24"/>
      <c r="AY13" s="25">
        <f>IF(FORM!AM18=FORM!AU16,0,2*(Q19+Q20+Q27+Q28+Q30))</f>
        <v>0</v>
      </c>
      <c r="AZ13" s="451">
        <f t="shared" si="1"/>
        <v>0</v>
      </c>
      <c r="BA13" s="107">
        <f>VLOOKUP(AU13,CENY!$B$11:$M$2005,12,FALSE)</f>
        <v>9.2799999999999994</v>
      </c>
      <c r="BB13" s="107">
        <f t="shared" si="0"/>
        <v>0</v>
      </c>
      <c r="BD13" s="441">
        <f>OBJ!B97</f>
        <v>9255036</v>
      </c>
      <c r="BE13" s="23" t="str">
        <f>VLOOKUP(BD13,CENY!$B$11:$G$1034,2,FALSE)</f>
        <v>AVANTECH YOU BOK V139 MM NL500 MM STŘÍBRNÝ LEVÝ</v>
      </c>
      <c r="BF13" s="24">
        <f>VLOOKUP(BD13,CENY!$B$11:$G$1034,3,FALSE)</f>
        <v>20</v>
      </c>
      <c r="BG13" s="24"/>
      <c r="BH13" s="25">
        <f>AY9</f>
        <v>0</v>
      </c>
      <c r="BI13" s="451">
        <f t="shared" si="2"/>
        <v>0</v>
      </c>
      <c r="BJ13" s="107">
        <f>VLOOKUP(BD13,CENY!$B$11:$M$2005,12,FALSE)</f>
        <v>245.98</v>
      </c>
      <c r="BK13" s="107">
        <f t="shared" si="3"/>
        <v>0</v>
      </c>
    </row>
    <row r="14" spans="1:63" ht="14.4" customHeight="1">
      <c r="AU14" s="441">
        <f>OBJ!B73</f>
        <v>9255806</v>
      </c>
      <c r="AV14" s="23" t="str">
        <f>VLOOKUP(AU14,CENY!$B$11:$G$1034,2,FALSE)</f>
        <v>AVANTECH YOU DEKORATIVNÍ PROFIL NL350 MM STŘÍBRNÝ</v>
      </c>
      <c r="AW14" s="24">
        <f>VLOOKUP(AU14,CENY!$B$11:$G$1034,3,FALSE)</f>
        <v>200</v>
      </c>
      <c r="AX14" s="24"/>
      <c r="AY14" s="25">
        <f>IF(FORM!AM18=FORM!AU16,0,2*(S19+S20+S27+S28+S30))</f>
        <v>0</v>
      </c>
      <c r="AZ14" s="451">
        <f t="shared" si="1"/>
        <v>0</v>
      </c>
      <c r="BA14" s="107">
        <f>VLOOKUP(AU14,CENY!$B$11:$M$2005,12,FALSE)</f>
        <v>9.4499999999999993</v>
      </c>
      <c r="BB14" s="107">
        <f t="shared" si="0"/>
        <v>0</v>
      </c>
      <c r="BD14" s="441">
        <f>OBJ!B98</f>
        <v>9255037</v>
      </c>
      <c r="BE14" s="23" t="str">
        <f>VLOOKUP(BD14,CENY!$B$11:$G$1034,2,FALSE)</f>
        <v>AVANTECH YOU BOK V139 MM NL500 MM STŘÍBRNÝ PRAVÝ</v>
      </c>
      <c r="BF14" s="24">
        <f>VLOOKUP(BD14,CENY!$B$11:$G$1034,3,FALSE)</f>
        <v>20</v>
      </c>
      <c r="BG14" s="24"/>
      <c r="BH14" s="25">
        <f>AY9</f>
        <v>0</v>
      </c>
      <c r="BI14" s="451">
        <f t="shared" si="2"/>
        <v>0</v>
      </c>
      <c r="BJ14" s="107">
        <f>VLOOKUP(BD14,CENY!$B$11:$M$2005,12,FALSE)</f>
        <v>245.98</v>
      </c>
      <c r="BK14" s="107">
        <f t="shared" si="3"/>
        <v>0</v>
      </c>
    </row>
    <row r="15" spans="1:63" ht="14.4" customHeight="1">
      <c r="AU15" s="441">
        <f>OBJ!B74</f>
        <v>9255807</v>
      </c>
      <c r="AV15" s="23" t="str">
        <f>VLOOKUP(AU15,CENY!$B$11:$G$1034,2,FALSE)</f>
        <v>AVANTECH YOU DEKORATIVNÍ PROFIL NL400 MM STŘÍBRNÝ</v>
      </c>
      <c r="AW15" s="24">
        <f>VLOOKUP(AU15,CENY!$B$11:$G$1034,3,FALSE)</f>
        <v>200</v>
      </c>
      <c r="AX15" s="24"/>
      <c r="AY15" s="25">
        <f>IF(FORM!AM18=FORM!AU16,0,2*(U20+U28+U30))</f>
        <v>0</v>
      </c>
      <c r="AZ15" s="451">
        <f t="shared" si="1"/>
        <v>0</v>
      </c>
      <c r="BA15" s="107">
        <f>VLOOKUP(AU15,CENY!$B$11:$M$2005,12,FALSE)</f>
        <v>9.6199999999999992</v>
      </c>
      <c r="BB15" s="107">
        <f t="shared" si="0"/>
        <v>0</v>
      </c>
      <c r="BD15" s="441">
        <f>OBJ!B99</f>
        <v>9255038</v>
      </c>
      <c r="BE15" s="23" t="str">
        <f>VLOOKUP(BD15,CENY!$B$11:$G$1034,2,FALSE)</f>
        <v>AVANTECH YOU BOK V139 MM NL550 MM STŘÍBRNÝ LEVÝ</v>
      </c>
      <c r="BF15" s="24">
        <f>VLOOKUP(BD15,CENY!$B$11:$G$1034,3,FALSE)</f>
        <v>20</v>
      </c>
      <c r="BG15" s="24"/>
      <c r="BH15" s="25">
        <f>AY10</f>
        <v>0</v>
      </c>
      <c r="BI15" s="451">
        <f t="shared" si="2"/>
        <v>0</v>
      </c>
      <c r="BJ15" s="107">
        <f>VLOOKUP(BD15,CENY!$B$11:$M$2005,12,FALSE)</f>
        <v>250.2</v>
      </c>
      <c r="BK15" s="107">
        <f t="shared" si="3"/>
        <v>0</v>
      </c>
    </row>
    <row r="16" spans="1:63" ht="14.4" customHeight="1">
      <c r="AU16" s="441">
        <f>OBJ!B75</f>
        <v>9255808</v>
      </c>
      <c r="AV16" s="23" t="str">
        <f>VLOOKUP(AU16,CENY!$B$11:$G$1034,2,FALSE)</f>
        <v>AVANTECH YOU DEKORATIVNÍ PROFIL NL450 MM STŘÍBRNÝ</v>
      </c>
      <c r="AW16" s="24">
        <f>VLOOKUP(AU16,CENY!$B$11:$G$1034,3,FALSE)</f>
        <v>200</v>
      </c>
      <c r="AX16" s="24"/>
      <c r="AY16" s="25">
        <f>IF(FORM!AM18=FORM!AU16,0,2*(W20+W22+W28+W30))</f>
        <v>0</v>
      </c>
      <c r="AZ16" s="451">
        <f t="shared" si="1"/>
        <v>0</v>
      </c>
      <c r="BA16" s="107">
        <f>VLOOKUP(AU16,CENY!$B$11:$M$2005,12,FALSE)</f>
        <v>9.8000000000000007</v>
      </c>
      <c r="BB16" s="107">
        <f t="shared" si="0"/>
        <v>0</v>
      </c>
      <c r="BD16" s="441">
        <f>OBJ!B100</f>
        <v>9255039</v>
      </c>
      <c r="BE16" s="23" t="str">
        <f>VLOOKUP(BD16,CENY!$B$11:$G$1034,2,FALSE)</f>
        <v>AVANTECH YOU BOK V139 MM NL550 MM STŘÍBRNÝ PRAVÝ</v>
      </c>
      <c r="BF16" s="24">
        <f>VLOOKUP(BD16,CENY!$B$11:$G$1034,3,FALSE)</f>
        <v>20</v>
      </c>
      <c r="BG16" s="24"/>
      <c r="BH16" s="25">
        <f>AY10</f>
        <v>0</v>
      </c>
      <c r="BI16" s="451">
        <f t="shared" si="2"/>
        <v>0</v>
      </c>
      <c r="BJ16" s="107">
        <f>VLOOKUP(BD16,CENY!$B$11:$M$2005,12,FALSE)</f>
        <v>250.2</v>
      </c>
      <c r="BK16" s="107">
        <f t="shared" si="3"/>
        <v>0</v>
      </c>
    </row>
    <row r="17" spans="2:63" ht="14.4" customHeight="1" thickBot="1">
      <c r="B17" s="1" t="s">
        <v>390</v>
      </c>
      <c r="O17" s="577" t="str">
        <f>FORM!U18</f>
        <v>flexibilní sety</v>
      </c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I17" s="579" t="str">
        <f>verze!E198</f>
        <v>P2O Silent pro Actro</v>
      </c>
      <c r="AJ17" s="580"/>
      <c r="AK17" s="580"/>
      <c r="AL17" s="580"/>
      <c r="AM17" s="580"/>
      <c r="AN17" s="580"/>
      <c r="AO17" s="580"/>
      <c r="AU17" s="441">
        <f>OBJ!B76</f>
        <v>9255809</v>
      </c>
      <c r="AV17" s="23" t="str">
        <f>VLOOKUP(AU17,CENY!$B$11:$G$1034,2,FALSE)</f>
        <v>AVANTECH YOU DEKORATIVNÍ PROFIL NL500 MM STŘÍBRNÝ</v>
      </c>
      <c r="AW17" s="24">
        <f>VLOOKUP(AU17,CENY!$B$11:$G$1034,3,FALSE)</f>
        <v>200</v>
      </c>
      <c r="AX17" s="24"/>
      <c r="AY17" s="25">
        <f>IF(FORM!AM18=FORM!AU16,0,2*(Y20+Y22+Y28+Y30))</f>
        <v>0</v>
      </c>
      <c r="AZ17" s="451">
        <f t="shared" si="1"/>
        <v>0</v>
      </c>
      <c r="BA17" s="107">
        <f>VLOOKUP(AU17,CENY!$B$11:$M$2005,12,FALSE)</f>
        <v>9.9700000000000006</v>
      </c>
      <c r="BB17" s="107">
        <f t="shared" si="0"/>
        <v>0</v>
      </c>
      <c r="BD17" s="441">
        <f>OBJ!B101</f>
        <v>9255040</v>
      </c>
      <c r="BE17" s="23" t="str">
        <f>VLOOKUP(BD17,CENY!$B$11:$G$1034,2,FALSE)</f>
        <v>AVANTECH YOU BOK V139 MM NL600 MM STŘÍBRNÝ LEVÝ</v>
      </c>
      <c r="BF17" s="24">
        <f>VLOOKUP(BD17,CENY!$B$11:$G$1034,3,FALSE)</f>
        <v>20</v>
      </c>
      <c r="BG17" s="24"/>
      <c r="BH17" s="25">
        <f>AY11</f>
        <v>0</v>
      </c>
      <c r="BI17" s="451">
        <f t="shared" si="2"/>
        <v>0</v>
      </c>
      <c r="BJ17" s="107">
        <f>VLOOKUP(BD17,CENY!$B$11:$M$2005,12,FALSE)</f>
        <v>256.56</v>
      </c>
      <c r="BK17" s="107">
        <f t="shared" si="3"/>
        <v>0</v>
      </c>
    </row>
    <row r="18" spans="2:63" ht="14.4" customHeight="1" thickBot="1">
      <c r="B18" s="109"/>
      <c r="C18" s="109"/>
      <c r="D18" s="109"/>
      <c r="E18" s="109"/>
      <c r="F18" s="109"/>
      <c r="G18" s="109"/>
      <c r="H18" s="81"/>
      <c r="I18" s="81"/>
      <c r="J18" s="81"/>
      <c r="K18" s="81"/>
      <c r="L18" s="81"/>
      <c r="M18" s="81"/>
      <c r="N18" s="81" t="str">
        <f>verze!$E$20&amp;" "</f>
        <v xml:space="preserve">Jmenovitá délka: </v>
      </c>
      <c r="O18" s="569">
        <v>270</v>
      </c>
      <c r="P18" s="570"/>
      <c r="Q18" s="569">
        <v>300</v>
      </c>
      <c r="R18" s="570"/>
      <c r="S18" s="569">
        <v>350</v>
      </c>
      <c r="T18" s="570"/>
      <c r="U18" s="569">
        <v>400</v>
      </c>
      <c r="V18" s="570"/>
      <c r="W18" s="569">
        <v>450</v>
      </c>
      <c r="X18" s="570"/>
      <c r="Y18" s="581">
        <v>500</v>
      </c>
      <c r="Z18" s="582"/>
      <c r="AA18" s="569">
        <v>550</v>
      </c>
      <c r="AB18" s="570"/>
      <c r="AC18" s="569">
        <v>600</v>
      </c>
      <c r="AD18" s="570"/>
      <c r="AE18" s="569">
        <v>650</v>
      </c>
      <c r="AF18" s="570"/>
      <c r="AI18" s="571" t="s">
        <v>409</v>
      </c>
      <c r="AJ18" s="571"/>
      <c r="AK18" s="571"/>
      <c r="AL18" s="571"/>
      <c r="AM18" s="571"/>
      <c r="AN18" s="571"/>
      <c r="AO18" s="571"/>
      <c r="AU18" s="441">
        <f>OBJ!B77</f>
        <v>9255810</v>
      </c>
      <c r="AV18" s="23" t="str">
        <f>VLOOKUP(AU18,CENY!$B$11:$G$1034,2,FALSE)</f>
        <v>AVANTECH YOU DEKORATIVNÍ PROFIL NL550 MM STŘÍBRNÝ</v>
      </c>
      <c r="AW18" s="24">
        <f>VLOOKUP(AU18,CENY!$B$11:$G$1034,3,FALSE)</f>
        <v>200</v>
      </c>
      <c r="AX18" s="24"/>
      <c r="AY18" s="25">
        <f>IF(FORM!AM18=FORM!AU16,0,2*(AA20+AA22+AA28+AA30))</f>
        <v>0</v>
      </c>
      <c r="AZ18" s="451">
        <f t="shared" si="1"/>
        <v>0</v>
      </c>
      <c r="BA18" s="107">
        <f>VLOOKUP(AU18,CENY!$B$11:$M$2005,12,FALSE)</f>
        <v>10.14</v>
      </c>
      <c r="BB18" s="107">
        <f t="shared" si="0"/>
        <v>0</v>
      </c>
      <c r="BD18" s="441">
        <f>OBJ!B102</f>
        <v>9255041</v>
      </c>
      <c r="BE18" s="23" t="str">
        <f>VLOOKUP(BD18,CENY!$B$11:$G$1034,2,FALSE)</f>
        <v>AVANTECH YOU BOK V139 MM NL600 MM STŘÍBRNÝ PRAVÝ</v>
      </c>
      <c r="BF18" s="24">
        <f>VLOOKUP(BD18,CENY!$B$11:$G$1034,3,FALSE)</f>
        <v>20</v>
      </c>
      <c r="BG18" s="24"/>
      <c r="BH18" s="25">
        <f>AY11</f>
        <v>0</v>
      </c>
      <c r="BI18" s="451">
        <f t="shared" si="2"/>
        <v>0</v>
      </c>
      <c r="BJ18" s="107">
        <f>VLOOKUP(BD18,CENY!$B$11:$M$2005,12,FALSE)</f>
        <v>256.56</v>
      </c>
      <c r="BK18" s="107">
        <f t="shared" si="3"/>
        <v>0</v>
      </c>
    </row>
    <row r="19" spans="2:63" ht="14.4" customHeight="1" thickBot="1">
      <c r="B19" s="572" t="s">
        <v>395</v>
      </c>
      <c r="C19" s="572"/>
      <c r="D19" s="572"/>
      <c r="E19" s="572"/>
      <c r="F19" s="572"/>
      <c r="G19" s="572"/>
      <c r="H19" s="573" t="str">
        <f>verze!E18</f>
        <v>plnovýsuv</v>
      </c>
      <c r="I19" s="573"/>
      <c r="J19" s="573"/>
      <c r="K19" s="573"/>
      <c r="L19" s="573"/>
      <c r="M19" s="574" t="s">
        <v>392</v>
      </c>
      <c r="N19" s="575"/>
      <c r="O19" s="445"/>
      <c r="P19" s="446"/>
      <c r="Q19" s="617"/>
      <c r="R19" s="618"/>
      <c r="S19" s="617"/>
      <c r="T19" s="618"/>
      <c r="U19" s="445"/>
      <c r="V19" s="446"/>
      <c r="W19" s="445"/>
      <c r="X19" s="446"/>
      <c r="Y19" s="445"/>
      <c r="Z19" s="446"/>
      <c r="AA19" s="445"/>
      <c r="AB19" s="446"/>
      <c r="AC19" s="445"/>
      <c r="AD19" s="446"/>
      <c r="AE19" s="380"/>
      <c r="AF19" s="381"/>
      <c r="AI19" s="389"/>
      <c r="AJ19" s="390"/>
      <c r="AK19" s="389"/>
      <c r="AL19" s="390"/>
      <c r="AM19" s="391" t="s">
        <v>405</v>
      </c>
      <c r="AN19" s="576"/>
      <c r="AO19" s="576"/>
      <c r="AU19" s="441">
        <f>OBJ!B78</f>
        <v>9255811</v>
      </c>
      <c r="AV19" s="23" t="str">
        <f>VLOOKUP(AU19,CENY!$B$11:$G$1034,2,FALSE)</f>
        <v>AVANTECH YOU DEKORATIVNÍ PROFIL NL600 MM STŘÍBRNÝ</v>
      </c>
      <c r="AW19" s="24">
        <f>VLOOKUP(AU19,CENY!$B$11:$G$1034,3,FALSE)</f>
        <v>200</v>
      </c>
      <c r="AX19" s="24"/>
      <c r="AY19" s="25">
        <f>IF(FORM!AM18=FORM!AU16,0,2*(AC20+AC22+AC28+AC30))</f>
        <v>0</v>
      </c>
      <c r="AZ19" s="451">
        <f t="shared" si="1"/>
        <v>0</v>
      </c>
      <c r="BA19" s="107">
        <f>VLOOKUP(AU19,CENY!$B$11:$M$2005,12,FALSE)</f>
        <v>10.39</v>
      </c>
      <c r="BB19" s="107">
        <f t="shared" si="0"/>
        <v>0</v>
      </c>
      <c r="BD19" s="441"/>
      <c r="BE19" s="23"/>
      <c r="BF19" s="24"/>
      <c r="BG19" s="24"/>
      <c r="BH19" s="25"/>
      <c r="BI19" s="451" t="str">
        <f t="shared" si="2"/>
        <v/>
      </c>
      <c r="BJ19" s="107"/>
      <c r="BK19" s="107" t="str">
        <f t="shared" si="3"/>
        <v/>
      </c>
    </row>
    <row r="20" spans="2:63" ht="14.4" customHeight="1" thickBot="1">
      <c r="B20" s="591" t="s">
        <v>396</v>
      </c>
      <c r="C20" s="591"/>
      <c r="D20" s="591"/>
      <c r="E20" s="591"/>
      <c r="F20" s="591"/>
      <c r="G20" s="591"/>
      <c r="H20" s="592" t="str">
        <f>verze!E18</f>
        <v>plnovýsuv</v>
      </c>
      <c r="I20" s="592"/>
      <c r="J20" s="592"/>
      <c r="K20" s="592"/>
      <c r="L20" s="592"/>
      <c r="M20" s="585" t="s">
        <v>393</v>
      </c>
      <c r="N20" s="593"/>
      <c r="O20" s="445"/>
      <c r="P20" s="446"/>
      <c r="Q20" s="589"/>
      <c r="R20" s="590"/>
      <c r="S20" s="589"/>
      <c r="T20" s="590"/>
      <c r="U20" s="589"/>
      <c r="V20" s="590"/>
      <c r="W20" s="589"/>
      <c r="X20" s="590"/>
      <c r="Y20" s="589"/>
      <c r="Z20" s="590"/>
      <c r="AA20" s="589"/>
      <c r="AB20" s="590"/>
      <c r="AC20" s="643"/>
      <c r="AD20" s="644"/>
      <c r="AE20" s="587"/>
      <c r="AF20" s="588"/>
      <c r="AI20" s="387"/>
      <c r="AJ20" s="388"/>
      <c r="AK20" s="387"/>
      <c r="AL20" s="388"/>
      <c r="AM20" s="386" t="s">
        <v>404</v>
      </c>
      <c r="AN20" s="595"/>
      <c r="AO20" s="595"/>
      <c r="AU20" s="441"/>
      <c r="AV20" s="23"/>
      <c r="AW20" s="24"/>
      <c r="AX20" s="24"/>
      <c r="AY20" s="25"/>
      <c r="AZ20" s="451" t="str">
        <f t="shared" si="1"/>
        <v/>
      </c>
      <c r="BA20" s="107"/>
      <c r="BB20" s="107" t="str">
        <f t="shared" si="0"/>
        <v/>
      </c>
      <c r="BD20" s="441">
        <f>OBJ!B104</f>
        <v>9257884</v>
      </c>
      <c r="BE20" s="23" t="str">
        <f>VLOOKUP(BD20,CENY!$B$11:$G$1034,2,FALSE)</f>
        <v>AVANTECH YOU PŘÍCHYTKA ČELA V139 MM K NAŠROUBOVÁNÍ</v>
      </c>
      <c r="BF20" s="24">
        <f>VLOOKUP(BD20,CENY!$B$11:$G$1034,3,FALSE)</f>
        <v>200</v>
      </c>
      <c r="BG20" s="24"/>
      <c r="BH20" s="25">
        <f>2*(SUM(Q19:T19)+SUM(Q20:AD20)+SUM(W22:AD22)+SUM(Q27:T27)+SUM(Q28:AD28)+SUM(Q30:AD30))</f>
        <v>0</v>
      </c>
      <c r="BI20" s="451">
        <f t="shared" si="2"/>
        <v>0</v>
      </c>
      <c r="BJ20" s="107">
        <f>VLOOKUP(BD20,CENY!$B$11:$M$2005,12,FALSE)</f>
        <v>35.43</v>
      </c>
      <c r="BK20" s="107">
        <f t="shared" si="3"/>
        <v>0</v>
      </c>
    </row>
    <row r="21" spans="2:63" ht="14.4" customHeight="1" thickBot="1">
      <c r="H21" s="187"/>
      <c r="I21" s="187"/>
      <c r="J21" s="187"/>
      <c r="K21" s="187"/>
      <c r="L21" s="187"/>
      <c r="O21" s="445"/>
      <c r="P21" s="446"/>
      <c r="Q21" s="445"/>
      <c r="R21" s="446"/>
      <c r="S21" s="445"/>
      <c r="T21" s="446"/>
      <c r="U21" s="445"/>
      <c r="V21" s="446"/>
      <c r="W21" s="445"/>
      <c r="X21" s="446"/>
      <c r="Y21" s="445"/>
      <c r="Z21" s="446"/>
      <c r="AA21" s="445"/>
      <c r="AB21" s="446"/>
      <c r="AC21" s="445"/>
      <c r="AD21" s="446"/>
      <c r="AE21" s="445"/>
      <c r="AF21" s="446"/>
      <c r="AI21" s="387"/>
      <c r="AJ21" s="388"/>
      <c r="AK21" s="387"/>
      <c r="AL21" s="388"/>
      <c r="AM21" s="386" t="s">
        <v>406</v>
      </c>
      <c r="AN21" s="596"/>
      <c r="AO21" s="596"/>
      <c r="AU21" s="441">
        <f>OBJ!B227</f>
        <v>9256969</v>
      </c>
      <c r="AV21" s="23" t="str">
        <f>VLOOKUP(AU21,CENY!$B$11:$G$1034,2,FALSE)</f>
        <v>ACTRO YOU 10KG PLNOVÝSUV 300 MM EB21 SILENT SYSTEM SADA</v>
      </c>
      <c r="AW21" s="24">
        <f>VLOOKUP(AU21,CENY!$B$11:$G$1034,3,FALSE)</f>
        <v>1</v>
      </c>
      <c r="AX21" s="499">
        <v>4</v>
      </c>
      <c r="AY21" s="25">
        <f>Q19</f>
        <v>0</v>
      </c>
      <c r="AZ21" s="451">
        <f t="shared" si="1"/>
        <v>0</v>
      </c>
      <c r="BA21" s="107">
        <f>VLOOKUP(AU21,CENY!$B$11:$M$2005,12,FALSE)</f>
        <v>561.63</v>
      </c>
      <c r="BB21" s="107">
        <f t="shared" si="0"/>
        <v>0</v>
      </c>
      <c r="BD21" s="441">
        <f>OBJ!B48</f>
        <v>9257702</v>
      </c>
      <c r="BE21" s="23" t="str">
        <f>VLOOKUP(BD21,CENY!$B$11:$G$1034,2,FALSE)</f>
        <v>AVANTECH YOU STABILIZÁTOR ZAD V101/139/187/251 MM</v>
      </c>
      <c r="BF21" s="24">
        <f>VLOOKUP(BD21,CENY!$B$11:$G$1034,3,FALSE)</f>
        <v>200</v>
      </c>
      <c r="BG21" s="24"/>
      <c r="BH21" s="25">
        <f>2*(SUM(Q19:T19)+SUM(Q20:AD20)+SUM(W22:AD22)+SUM(Q27:T27)+SUM(Q28:AD28)+SUM(Q30:AD30))</f>
        <v>0</v>
      </c>
      <c r="BI21" s="451">
        <f t="shared" si="2"/>
        <v>0</v>
      </c>
      <c r="BJ21" s="107">
        <f>VLOOKUP(BD21,CENY!$B$11:$M$2005,12,FALSE)</f>
        <v>13.29</v>
      </c>
      <c r="BK21" s="107">
        <f t="shared" si="3"/>
        <v>0</v>
      </c>
    </row>
    <row r="22" spans="2:63" ht="14.4" customHeight="1" thickBot="1">
      <c r="B22" s="583" t="s">
        <v>397</v>
      </c>
      <c r="C22" s="583"/>
      <c r="D22" s="583"/>
      <c r="E22" s="583"/>
      <c r="F22" s="583"/>
      <c r="G22" s="583"/>
      <c r="H22" s="584" t="str">
        <f>verze!E18</f>
        <v>plnovýsuv</v>
      </c>
      <c r="I22" s="584"/>
      <c r="J22" s="584"/>
      <c r="K22" s="584"/>
      <c r="L22" s="584"/>
      <c r="M22" s="585" t="s">
        <v>394</v>
      </c>
      <c r="N22" s="586"/>
      <c r="O22" s="587"/>
      <c r="P22" s="588"/>
      <c r="Q22" s="587"/>
      <c r="R22" s="588"/>
      <c r="S22" s="587"/>
      <c r="T22" s="588"/>
      <c r="U22" s="587"/>
      <c r="V22" s="588"/>
      <c r="W22" s="589"/>
      <c r="X22" s="590"/>
      <c r="Y22" s="589"/>
      <c r="Z22" s="590"/>
      <c r="AA22" s="589"/>
      <c r="AB22" s="590"/>
      <c r="AC22" s="589"/>
      <c r="AD22" s="590"/>
      <c r="AE22" s="587"/>
      <c r="AF22" s="588"/>
      <c r="AI22" s="387"/>
      <c r="AJ22" s="388"/>
      <c r="AK22" s="387"/>
      <c r="AL22" s="388"/>
      <c r="AM22" s="386" t="s">
        <v>407</v>
      </c>
      <c r="AN22" s="594"/>
      <c r="AO22" s="594"/>
      <c r="AU22" s="441">
        <f>OBJ!B228</f>
        <v>9256971</v>
      </c>
      <c r="AV22" s="23" t="str">
        <f>VLOOKUP(AU22,CENY!$B$11:$G$1034,2,FALSE)</f>
        <v>ACTRO YOU 10KG PLNOVÝSUV 350 MM EB21 SILENT SYSTEM SADA</v>
      </c>
      <c r="AW22" s="24">
        <f>VLOOKUP(AU22,CENY!$B$11:$G$1034,3,FALSE)</f>
        <v>1</v>
      </c>
      <c r="AX22" s="499">
        <v>4</v>
      </c>
      <c r="AY22" s="25">
        <f>S19</f>
        <v>0</v>
      </c>
      <c r="AZ22" s="451">
        <f t="shared" si="1"/>
        <v>0</v>
      </c>
      <c r="BA22" s="107">
        <f>VLOOKUP(AU22,CENY!$B$11:$M$2005,12,FALSE)</f>
        <v>561.63</v>
      </c>
      <c r="BB22" s="107">
        <f t="shared" si="0"/>
        <v>0</v>
      </c>
      <c r="BD22" s="441"/>
      <c r="BE22" s="23"/>
      <c r="BF22" s="24"/>
      <c r="BG22" s="24"/>
      <c r="BH22" s="25"/>
      <c r="BI22" s="451" t="str">
        <f t="shared" si="2"/>
        <v/>
      </c>
      <c r="BJ22" s="107"/>
      <c r="BK22" s="107" t="str">
        <f t="shared" si="3"/>
        <v/>
      </c>
    </row>
    <row r="23" spans="2:63" ht="14.4" customHeight="1">
      <c r="O23" s="4"/>
      <c r="P23" s="4"/>
      <c r="AU23" s="441"/>
      <c r="AV23" s="23"/>
      <c r="AW23" s="24"/>
      <c r="AX23" s="24"/>
      <c r="AY23" s="25"/>
      <c r="AZ23" s="451" t="str">
        <f t="shared" si="1"/>
        <v/>
      </c>
      <c r="BA23" s="107"/>
      <c r="BB23" s="107" t="str">
        <f t="shared" si="0"/>
        <v/>
      </c>
      <c r="BD23" s="441">
        <f>OBJ!B72</f>
        <v>9255805</v>
      </c>
      <c r="BE23" s="23" t="str">
        <f>VLOOKUP(BD23,CENY!$B$11:$G$1034,2,FALSE)</f>
        <v>AVANTECH YOU DEKORATIVNÍ PROFIL NL300 MM STŘÍBRNÝ</v>
      </c>
      <c r="BF23" s="24">
        <f>VLOOKUP(BD23,CENY!$B$11:$G$1034,3,FALSE)</f>
        <v>200</v>
      </c>
      <c r="BG23" s="24"/>
      <c r="BH23" s="25">
        <f>2*(Q19+Q20+Q27+Q28+Q30)</f>
        <v>0</v>
      </c>
      <c r="BI23" s="451">
        <f t="shared" si="2"/>
        <v>0</v>
      </c>
      <c r="BJ23" s="107">
        <f>VLOOKUP(BD23,CENY!$B$11:$M$2005,12,FALSE)</f>
        <v>9.2799999999999994</v>
      </c>
      <c r="BK23" s="107">
        <f t="shared" si="3"/>
        <v>0</v>
      </c>
    </row>
    <row r="24" spans="2:63" ht="14.4" customHeight="1">
      <c r="AU24" s="441">
        <f>OBJ!B237</f>
        <v>9257000</v>
      </c>
      <c r="AV24" s="23" t="str">
        <f>VLOOKUP(AU24,CENY!$B$11:$G$1034,2,FALSE)</f>
        <v>ACTRO YOU 40KG PLNOVÝSUV 300 MM EB21 SILENT SYSTEM SADA</v>
      </c>
      <c r="AW24" s="24">
        <f>VLOOKUP(AU24,CENY!$B$11:$G$1034,3,FALSE)</f>
        <v>1</v>
      </c>
      <c r="AX24" s="499">
        <v>8</v>
      </c>
      <c r="AY24" s="25">
        <f>Q20</f>
        <v>0</v>
      </c>
      <c r="AZ24" s="451">
        <f t="shared" si="1"/>
        <v>0</v>
      </c>
      <c r="BA24" s="107">
        <f>VLOOKUP(AU24,CENY!$B$11:$M$2005,12,FALSE)</f>
        <v>561.63</v>
      </c>
      <c r="BB24" s="107">
        <f t="shared" si="0"/>
        <v>0</v>
      </c>
      <c r="BD24" s="441">
        <f>OBJ!B73</f>
        <v>9255806</v>
      </c>
      <c r="BE24" s="23" t="str">
        <f>VLOOKUP(BD24,CENY!$B$11:$G$1034,2,FALSE)</f>
        <v>AVANTECH YOU DEKORATIVNÍ PROFIL NL350 MM STŘÍBRNÝ</v>
      </c>
      <c r="BF24" s="24">
        <f>VLOOKUP(BD24,CENY!$B$11:$G$1034,3,FALSE)</f>
        <v>200</v>
      </c>
      <c r="BG24" s="24"/>
      <c r="BH24" s="25">
        <f>2*(S19+S20+S27+S28+S30)</f>
        <v>0</v>
      </c>
      <c r="BI24" s="451">
        <f t="shared" si="2"/>
        <v>0</v>
      </c>
      <c r="BJ24" s="107">
        <f>VLOOKUP(BD24,CENY!$B$11:$M$2005,12,FALSE)</f>
        <v>9.4499999999999993</v>
      </c>
      <c r="BK24" s="107">
        <f t="shared" si="3"/>
        <v>0</v>
      </c>
    </row>
    <row r="25" spans="2:63" ht="14.4" customHeight="1" thickBot="1">
      <c r="B25" s="2" t="s">
        <v>391</v>
      </c>
      <c r="AI25" s="579" t="str">
        <f>verze!E199</f>
        <v>P2O Silent pro Quadro</v>
      </c>
      <c r="AJ25" s="580"/>
      <c r="AK25" s="580"/>
      <c r="AL25" s="580"/>
      <c r="AM25" s="580"/>
      <c r="AN25" s="580"/>
      <c r="AO25" s="580"/>
      <c r="AU25" s="441">
        <f>OBJ!B238</f>
        <v>9257002</v>
      </c>
      <c r="AV25" s="23" t="str">
        <f>VLOOKUP(AU25,CENY!$B$11:$G$1034,2,FALSE)</f>
        <v>ACTRO YOU 40KG PLNOVÝSUV 350 MM EB21 SILENT SYSTEM SADA</v>
      </c>
      <c r="AW25" s="24">
        <f>VLOOKUP(AU25,CENY!$B$11:$G$1034,3,FALSE)</f>
        <v>1</v>
      </c>
      <c r="AX25" s="499">
        <v>8</v>
      </c>
      <c r="AY25" s="25">
        <f>S20</f>
        <v>0</v>
      </c>
      <c r="AZ25" s="451">
        <f t="shared" si="1"/>
        <v>0</v>
      </c>
      <c r="BA25" s="107">
        <f>VLOOKUP(AU25,CENY!$B$11:$M$2005,12,FALSE)</f>
        <v>561.63</v>
      </c>
      <c r="BB25" s="107">
        <f t="shared" si="0"/>
        <v>0</v>
      </c>
      <c r="BD25" s="441">
        <f>OBJ!B74</f>
        <v>9255807</v>
      </c>
      <c r="BE25" s="23" t="str">
        <f>VLOOKUP(BD25,CENY!$B$11:$G$1034,2,FALSE)</f>
        <v>AVANTECH YOU DEKORATIVNÍ PROFIL NL400 MM STŘÍBRNÝ</v>
      </c>
      <c r="BF25" s="24">
        <f>VLOOKUP(BD25,CENY!$B$11:$G$1034,3,FALSE)</f>
        <v>200</v>
      </c>
      <c r="BG25" s="24"/>
      <c r="BH25" s="25">
        <f>2*(U20+U28+U30)</f>
        <v>0</v>
      </c>
      <c r="BI25" s="451">
        <f t="shared" si="2"/>
        <v>0</v>
      </c>
      <c r="BJ25" s="107">
        <f>VLOOKUP(BD25,CENY!$B$11:$M$2005,12,FALSE)</f>
        <v>9.6199999999999992</v>
      </c>
      <c r="BK25" s="107">
        <f t="shared" si="3"/>
        <v>0</v>
      </c>
    </row>
    <row r="26" spans="2:63" ht="14.4" customHeight="1" thickBot="1">
      <c r="B26" s="109"/>
      <c r="C26" s="109"/>
      <c r="D26" s="109"/>
      <c r="E26" s="109"/>
      <c r="F26" s="109"/>
      <c r="G26" s="109"/>
      <c r="H26" s="81"/>
      <c r="I26" s="81"/>
      <c r="J26" s="81"/>
      <c r="K26" s="81"/>
      <c r="L26" s="81"/>
      <c r="M26" s="81"/>
      <c r="N26" s="81" t="str">
        <f>verze!$E$20&amp;" "</f>
        <v xml:space="preserve">Jmenovitá délka: </v>
      </c>
      <c r="O26" s="569">
        <v>270</v>
      </c>
      <c r="P26" s="570"/>
      <c r="Q26" s="569">
        <v>300</v>
      </c>
      <c r="R26" s="570"/>
      <c r="S26" s="569">
        <v>350</v>
      </c>
      <c r="T26" s="570"/>
      <c r="U26" s="569">
        <v>400</v>
      </c>
      <c r="V26" s="570"/>
      <c r="W26" s="569">
        <v>450</v>
      </c>
      <c r="X26" s="570"/>
      <c r="Y26" s="581">
        <v>500</v>
      </c>
      <c r="Z26" s="582"/>
      <c r="AA26" s="569">
        <v>550</v>
      </c>
      <c r="AB26" s="570"/>
      <c r="AC26" s="569">
        <v>600</v>
      </c>
      <c r="AD26" s="570"/>
      <c r="AI26" s="571" t="s">
        <v>409</v>
      </c>
      <c r="AJ26" s="571"/>
      <c r="AK26" s="571"/>
      <c r="AL26" s="571"/>
      <c r="AM26" s="571"/>
      <c r="AN26" s="571"/>
      <c r="AO26" s="571"/>
      <c r="AU26" s="441">
        <f>OBJ!B239</f>
        <v>9257004</v>
      </c>
      <c r="AV26" s="23" t="str">
        <f>VLOOKUP(AU26,CENY!$B$11:$G$1034,2,FALSE)</f>
        <v>ACTRO YOU 40KG PLNOVÝSUV 400 MM EB21 SILENT SYSTEM SADA</v>
      </c>
      <c r="AW26" s="24">
        <f>VLOOKUP(AU26,CENY!$B$11:$G$1034,3,FALSE)</f>
        <v>1</v>
      </c>
      <c r="AX26" s="499">
        <v>8</v>
      </c>
      <c r="AY26" s="25">
        <f>U20</f>
        <v>0</v>
      </c>
      <c r="AZ26" s="451">
        <f t="shared" si="1"/>
        <v>0</v>
      </c>
      <c r="BA26" s="107">
        <f>VLOOKUP(AU26,CENY!$B$11:$M$2005,12,FALSE)</f>
        <v>567.85</v>
      </c>
      <c r="BB26" s="107">
        <f t="shared" si="0"/>
        <v>0</v>
      </c>
      <c r="BD26" s="441">
        <f>OBJ!B75</f>
        <v>9255808</v>
      </c>
      <c r="BE26" s="23" t="str">
        <f>VLOOKUP(BD26,CENY!$B$11:$G$1034,2,FALSE)</f>
        <v>AVANTECH YOU DEKORATIVNÍ PROFIL NL450 MM STŘÍBRNÝ</v>
      </c>
      <c r="BF26" s="24">
        <f>VLOOKUP(BD26,CENY!$B$11:$G$1034,3,FALSE)</f>
        <v>200</v>
      </c>
      <c r="BG26" s="24"/>
      <c r="BH26" s="25">
        <f>2*(W20+W22+W28+W30)</f>
        <v>0</v>
      </c>
      <c r="BI26" s="451">
        <f t="shared" si="2"/>
        <v>0</v>
      </c>
      <c r="BJ26" s="107">
        <f>VLOOKUP(BD26,CENY!$B$11:$M$2005,12,FALSE)</f>
        <v>9.8000000000000007</v>
      </c>
      <c r="BK26" s="107">
        <f t="shared" si="3"/>
        <v>0</v>
      </c>
    </row>
    <row r="27" spans="2:63" ht="14.4" customHeight="1" thickBot="1">
      <c r="B27" s="572" t="s">
        <v>398</v>
      </c>
      <c r="C27" s="572"/>
      <c r="D27" s="572"/>
      <c r="E27" s="572"/>
      <c r="F27" s="572"/>
      <c r="G27" s="572"/>
      <c r="H27" s="573" t="str">
        <f>verze!E18</f>
        <v>plnovýsuv</v>
      </c>
      <c r="I27" s="573"/>
      <c r="J27" s="573"/>
      <c r="K27" s="573"/>
      <c r="L27" s="573"/>
      <c r="M27" s="574" t="s">
        <v>392</v>
      </c>
      <c r="N27" s="575"/>
      <c r="O27" s="445"/>
      <c r="P27" s="446"/>
      <c r="Q27" s="617"/>
      <c r="R27" s="618"/>
      <c r="S27" s="617"/>
      <c r="T27" s="618"/>
      <c r="U27" s="445"/>
      <c r="V27" s="446"/>
      <c r="W27" s="445"/>
      <c r="X27" s="446"/>
      <c r="Y27" s="445"/>
      <c r="Z27" s="446"/>
      <c r="AA27" s="445"/>
      <c r="AB27" s="446"/>
      <c r="AC27" s="445"/>
      <c r="AD27" s="446"/>
      <c r="AI27" s="389"/>
      <c r="AJ27" s="390"/>
      <c r="AK27" s="389"/>
      <c r="AL27" s="390"/>
      <c r="AM27" s="391" t="s">
        <v>405</v>
      </c>
      <c r="AN27" s="576"/>
      <c r="AO27" s="576"/>
      <c r="AU27" s="441">
        <f>OBJ!B240</f>
        <v>9257006</v>
      </c>
      <c r="AV27" s="23" t="str">
        <f>VLOOKUP(AU27,CENY!$B$11:$G$1034,2,FALSE)</f>
        <v>ACTRO YOU 40KG PLNOVÝSUV 450 MM EB21 SILENT SYSTEM SADA</v>
      </c>
      <c r="AW27" s="24">
        <f>VLOOKUP(AU27,CENY!$B$11:$G$1034,3,FALSE)</f>
        <v>1</v>
      </c>
      <c r="AX27" s="499">
        <v>10</v>
      </c>
      <c r="AY27" s="25">
        <f>W20</f>
        <v>0</v>
      </c>
      <c r="AZ27" s="451">
        <f t="shared" si="1"/>
        <v>0</v>
      </c>
      <c r="BA27" s="107">
        <f>VLOOKUP(AU27,CENY!$B$11:$M$2005,12,FALSE)</f>
        <v>574.04</v>
      </c>
      <c r="BB27" s="107">
        <f t="shared" si="0"/>
        <v>0</v>
      </c>
      <c r="BD27" s="441">
        <f>OBJ!B76</f>
        <v>9255809</v>
      </c>
      <c r="BE27" s="23" t="str">
        <f>VLOOKUP(BD27,CENY!$B$11:$G$1034,2,FALSE)</f>
        <v>AVANTECH YOU DEKORATIVNÍ PROFIL NL500 MM STŘÍBRNÝ</v>
      </c>
      <c r="BF27" s="24">
        <f>VLOOKUP(BD27,CENY!$B$11:$G$1034,3,FALSE)</f>
        <v>200</v>
      </c>
      <c r="BG27" s="24"/>
      <c r="BH27" s="25">
        <f>2*(Y20+Y22+Y28+Y30)</f>
        <v>0</v>
      </c>
      <c r="BI27" s="451">
        <f t="shared" si="2"/>
        <v>0</v>
      </c>
      <c r="BJ27" s="107">
        <f>VLOOKUP(BD27,CENY!$B$11:$M$2005,12,FALSE)</f>
        <v>9.9700000000000006</v>
      </c>
      <c r="BK27" s="107">
        <f t="shared" si="3"/>
        <v>0</v>
      </c>
    </row>
    <row r="28" spans="2:63" ht="14.4" customHeight="1" thickBot="1">
      <c r="B28" s="591" t="s">
        <v>482</v>
      </c>
      <c r="C28" s="591"/>
      <c r="D28" s="591"/>
      <c r="E28" s="591"/>
      <c r="F28" s="591"/>
      <c r="G28" s="591"/>
      <c r="H28" s="592" t="str">
        <f>verze!E18</f>
        <v>plnovýsuv</v>
      </c>
      <c r="I28" s="592"/>
      <c r="J28" s="592"/>
      <c r="K28" s="592"/>
      <c r="L28" s="592"/>
      <c r="M28" s="585" t="s">
        <v>1</v>
      </c>
      <c r="N28" s="586"/>
      <c r="O28" s="445"/>
      <c r="P28" s="446"/>
      <c r="Q28" s="589"/>
      <c r="R28" s="590"/>
      <c r="S28" s="589"/>
      <c r="T28" s="590"/>
      <c r="U28" s="589"/>
      <c r="V28" s="590"/>
      <c r="W28" s="589"/>
      <c r="X28" s="590"/>
      <c r="Y28" s="589"/>
      <c r="Z28" s="590"/>
      <c r="AA28" s="589"/>
      <c r="AB28" s="590"/>
      <c r="AC28" s="589"/>
      <c r="AD28" s="590"/>
      <c r="AI28" s="387"/>
      <c r="AJ28" s="388"/>
      <c r="AK28" s="387"/>
      <c r="AL28" s="388"/>
      <c r="AM28" s="386" t="s">
        <v>404</v>
      </c>
      <c r="AN28" s="595"/>
      <c r="AO28" s="595"/>
      <c r="AU28" s="441">
        <f>OBJ!B241</f>
        <v>9257008</v>
      </c>
      <c r="AV28" s="23" t="str">
        <f>VLOOKUP(AU28,CENY!$B$11:$G$1034,2,FALSE)</f>
        <v>ACTRO YOU 40KG PLNOVÝSUV 500 MM EB21 SILENT SYSTEM SADA</v>
      </c>
      <c r="AW28" s="24">
        <f>VLOOKUP(AU28,CENY!$B$11:$G$1034,3,FALSE)</f>
        <v>1</v>
      </c>
      <c r="AX28" s="499">
        <v>10</v>
      </c>
      <c r="AY28" s="25">
        <f>Y20</f>
        <v>0</v>
      </c>
      <c r="AZ28" s="451">
        <f t="shared" si="1"/>
        <v>0</v>
      </c>
      <c r="BA28" s="107">
        <f>VLOOKUP(AU28,CENY!$B$11:$M$2005,12,FALSE)</f>
        <v>580.26</v>
      </c>
      <c r="BB28" s="107">
        <f t="shared" si="0"/>
        <v>0</v>
      </c>
      <c r="BD28" s="441">
        <f>OBJ!B77</f>
        <v>9255810</v>
      </c>
      <c r="BE28" s="23" t="str">
        <f>VLOOKUP(BD28,CENY!$B$11:$G$1034,2,FALSE)</f>
        <v>AVANTECH YOU DEKORATIVNÍ PROFIL NL550 MM STŘÍBRNÝ</v>
      </c>
      <c r="BF28" s="24">
        <f>VLOOKUP(BD28,CENY!$B$11:$G$1034,3,FALSE)</f>
        <v>200</v>
      </c>
      <c r="BG28" s="24"/>
      <c r="BH28" s="25">
        <f>2*(AA20+AA22+AA28+AA30)</f>
        <v>0</v>
      </c>
      <c r="BI28" s="451">
        <f t="shared" si="2"/>
        <v>0</v>
      </c>
      <c r="BJ28" s="107">
        <f>VLOOKUP(BD28,CENY!$B$11:$M$2005,12,FALSE)</f>
        <v>10.14</v>
      </c>
      <c r="BK28" s="107">
        <f t="shared" si="3"/>
        <v>0</v>
      </c>
    </row>
    <row r="29" spans="2:63" ht="14.4" customHeight="1" thickBot="1">
      <c r="H29" s="187"/>
      <c r="I29" s="187"/>
      <c r="J29" s="187"/>
      <c r="K29" s="187"/>
      <c r="L29" s="187"/>
      <c r="O29" s="445"/>
      <c r="P29" s="446"/>
      <c r="Q29" s="445"/>
      <c r="R29" s="446"/>
      <c r="S29" s="445"/>
      <c r="T29" s="446"/>
      <c r="U29" s="445"/>
      <c r="V29" s="446"/>
      <c r="W29" s="445"/>
      <c r="X29" s="446"/>
      <c r="Y29" s="445"/>
      <c r="Z29" s="446"/>
      <c r="AA29" s="445"/>
      <c r="AB29" s="446"/>
      <c r="AC29" s="445"/>
      <c r="AD29" s="446"/>
      <c r="AI29" s="387"/>
      <c r="AJ29" s="388"/>
      <c r="AK29" s="387"/>
      <c r="AL29" s="388"/>
      <c r="AM29" s="386" t="s">
        <v>408</v>
      </c>
      <c r="AN29" s="599"/>
      <c r="AO29" s="599"/>
      <c r="AU29" s="441">
        <f>OBJ!B242</f>
        <v>9257010</v>
      </c>
      <c r="AV29" s="23" t="str">
        <f>VLOOKUP(AU29,CENY!$B$11:$G$1034,2,FALSE)</f>
        <v>ACTRO YOU 40KG PLNOVÝSUV 550 MM EB21 SILENT SYSTEM SADA</v>
      </c>
      <c r="AW29" s="24">
        <f>VLOOKUP(AU29,CENY!$B$11:$G$1034,3,FALSE)</f>
        <v>1</v>
      </c>
      <c r="AX29" s="499">
        <v>10</v>
      </c>
      <c r="AY29" s="25">
        <f>AA20</f>
        <v>0</v>
      </c>
      <c r="AZ29" s="451">
        <f t="shared" si="1"/>
        <v>0</v>
      </c>
      <c r="BA29" s="107">
        <f>VLOOKUP(AU29,CENY!$B$11:$M$2005,12,FALSE)</f>
        <v>613.44000000000005</v>
      </c>
      <c r="BB29" s="107">
        <f t="shared" si="0"/>
        <v>0</v>
      </c>
      <c r="BD29" s="441">
        <f>OBJ!B78</f>
        <v>9255811</v>
      </c>
      <c r="BE29" s="23" t="str">
        <f>VLOOKUP(BD29,CENY!$B$11:$G$1034,2,FALSE)</f>
        <v>AVANTECH YOU DEKORATIVNÍ PROFIL NL600 MM STŘÍBRNÝ</v>
      </c>
      <c r="BF29" s="24">
        <f>VLOOKUP(BD29,CENY!$B$11:$G$1034,3,FALSE)</f>
        <v>200</v>
      </c>
      <c r="BG29" s="24"/>
      <c r="BH29" s="25">
        <f>2*(AC20+AC22+AC28+AC30)</f>
        <v>0</v>
      </c>
      <c r="BI29" s="451">
        <f t="shared" si="2"/>
        <v>0</v>
      </c>
      <c r="BJ29" s="107">
        <f>VLOOKUP(BD29,CENY!$B$11:$M$2005,12,FALSE)</f>
        <v>10.39</v>
      </c>
      <c r="BK29" s="107">
        <f t="shared" si="3"/>
        <v>0</v>
      </c>
    </row>
    <row r="30" spans="2:63" ht="14.4" customHeight="1" thickBot="1">
      <c r="B30" s="600" t="s">
        <v>483</v>
      </c>
      <c r="C30" s="600"/>
      <c r="D30" s="600"/>
      <c r="E30" s="600"/>
      <c r="F30" s="600"/>
      <c r="G30" s="600"/>
      <c r="H30" s="601" t="str">
        <f>verze!E18</f>
        <v>plnovýsuv</v>
      </c>
      <c r="I30" s="601"/>
      <c r="J30" s="601"/>
      <c r="K30" s="601"/>
      <c r="L30" s="601"/>
      <c r="M30" s="585" t="s">
        <v>1</v>
      </c>
      <c r="N30" s="586"/>
      <c r="O30" s="445"/>
      <c r="P30" s="446"/>
      <c r="Q30" s="589"/>
      <c r="R30" s="590"/>
      <c r="S30" s="589"/>
      <c r="T30" s="590"/>
      <c r="U30" s="589"/>
      <c r="V30" s="590"/>
      <c r="W30" s="589"/>
      <c r="X30" s="590"/>
      <c r="Y30" s="589"/>
      <c r="Z30" s="590"/>
      <c r="AA30" s="589"/>
      <c r="AB30" s="590"/>
      <c r="AC30" s="643"/>
      <c r="AD30" s="644"/>
      <c r="AU30" s="441">
        <f>OBJ!B243</f>
        <v>9268681</v>
      </c>
      <c r="AV30" s="23" t="str">
        <f>VLOOKUP(AU30,CENY!$B$11:$G$1034,2,FALSE)</f>
        <v>ACTRO YOU 40KG PLNOVÝSUV 600 MM EB21 SILENT SYSTÉM SADA</v>
      </c>
      <c r="AW30" s="24">
        <f>VLOOKUP(AU30,CENY!$B$11:$G$1034,3,FALSE)</f>
        <v>1</v>
      </c>
      <c r="AX30" s="499">
        <v>10</v>
      </c>
      <c r="AY30" s="25">
        <f>AC20</f>
        <v>0</v>
      </c>
      <c r="AZ30" s="451">
        <f t="shared" si="1"/>
        <v>0</v>
      </c>
      <c r="BA30" s="107">
        <f>VLOOKUP(AU30,CENY!$B$11:$M$2005,12,FALSE)</f>
        <v>620.78</v>
      </c>
      <c r="BB30" s="107">
        <f t="shared" si="0"/>
        <v>0</v>
      </c>
      <c r="BD30" s="441"/>
      <c r="BE30" s="23"/>
      <c r="BF30" s="24"/>
      <c r="BG30" s="24"/>
      <c r="BH30" s="25"/>
      <c r="BI30" s="451" t="str">
        <f t="shared" si="2"/>
        <v/>
      </c>
      <c r="BJ30" s="107"/>
      <c r="BK30" s="107" t="str">
        <f t="shared" si="3"/>
        <v/>
      </c>
    </row>
    <row r="31" spans="2:63" ht="14.4" customHeight="1">
      <c r="AU31" s="441"/>
      <c r="AV31" s="23"/>
      <c r="AW31" s="24"/>
      <c r="AX31" s="24"/>
      <c r="AY31" s="25"/>
      <c r="AZ31" s="451" t="str">
        <f t="shared" si="1"/>
        <v/>
      </c>
      <c r="BA31" s="107"/>
      <c r="BB31" s="107" t="str">
        <f t="shared" si="0"/>
        <v/>
      </c>
      <c r="BD31" s="441">
        <f>OBJ!B231</f>
        <v>9256961</v>
      </c>
      <c r="BE31" s="23" t="str">
        <f>VLOOKUP(BD31,CENY!$B$11:$G$1034,2,FALSE)</f>
        <v>ACTRO YOU 10KG PLNOVÝSUV 300 MM EB21 SILENT SYSTEM LEVÝ</v>
      </c>
      <c r="BF31" s="24">
        <f>VLOOKUP(BD31,CENY!$B$11:$G$1034,3,FALSE)</f>
        <v>10</v>
      </c>
      <c r="BG31" s="24"/>
      <c r="BH31" s="25">
        <f>AY21</f>
        <v>0</v>
      </c>
      <c r="BI31" s="451">
        <f t="shared" si="2"/>
        <v>0</v>
      </c>
      <c r="BJ31" s="107">
        <f>VLOOKUP(BD31,CENY!$B$11:$M$2005,12,FALSE)</f>
        <v>243.93</v>
      </c>
      <c r="BK31" s="107">
        <f t="shared" si="3"/>
        <v>0</v>
      </c>
    </row>
    <row r="32" spans="2:63" ht="14.4" customHeight="1">
      <c r="B32" s="505" t="str">
        <f>verze!E201</f>
        <v>SiSy = tlumení Silent System</v>
      </c>
      <c r="AU32" s="441">
        <f>OBJ!B261</f>
        <v>9257034</v>
      </c>
      <c r="AV32" s="23" t="str">
        <f>VLOOKUP(AU32,CENY!$B$11:$G$1034,2,FALSE)</f>
        <v>ACTRO YOU 70KG PLNOVÝSUV 450 MM EB21 SILENT SYSTEM SADA</v>
      </c>
      <c r="AW32" s="24">
        <f>VLOOKUP(AU32,CENY!$B$11:$G$1034,3,FALSE)</f>
        <v>1</v>
      </c>
      <c r="AX32" s="499">
        <v>10</v>
      </c>
      <c r="AY32" s="25">
        <f>W22</f>
        <v>0</v>
      </c>
      <c r="AZ32" s="451">
        <f t="shared" si="1"/>
        <v>0</v>
      </c>
      <c r="BA32" s="107">
        <f>VLOOKUP(AU32,CENY!$B$11:$M$2005,12,FALSE)</f>
        <v>691.9</v>
      </c>
      <c r="BB32" s="107">
        <f t="shared" si="0"/>
        <v>0</v>
      </c>
      <c r="BD32" s="441">
        <f>OBJ!B232</f>
        <v>9256962</v>
      </c>
      <c r="BE32" s="23" t="str">
        <f>VLOOKUP(BD32,CENY!$B$11:$G$1034,2,FALSE)</f>
        <v>ACTRO YOU 10KG PLNOVÝSUV 300 MM EB21 SILENT SYSTEM PRAVÝ</v>
      </c>
      <c r="BF32" s="24">
        <f>VLOOKUP(BD32,CENY!$B$11:$G$1034,3,FALSE)</f>
        <v>10</v>
      </c>
      <c r="BG32" s="24"/>
      <c r="BH32" s="25">
        <f>AY21</f>
        <v>0</v>
      </c>
      <c r="BI32" s="451">
        <f t="shared" si="2"/>
        <v>0</v>
      </c>
      <c r="BJ32" s="107">
        <f>VLOOKUP(BD32,CENY!$B$11:$M$2005,12,FALSE)</f>
        <v>243.93</v>
      </c>
      <c r="BK32" s="107">
        <f t="shared" si="3"/>
        <v>0</v>
      </c>
    </row>
    <row r="33" spans="2:63" ht="14.4" customHeight="1">
      <c r="B33" s="505" t="str">
        <f>verze!E204</f>
        <v>P2O = otvírání bez úchytky Push to open</v>
      </c>
      <c r="AU33" s="441">
        <f>OBJ!B262</f>
        <v>9257036</v>
      </c>
      <c r="AV33" s="23" t="str">
        <f>VLOOKUP(AU33,CENY!$B$11:$G$1034,2,FALSE)</f>
        <v>ACTRO YOU 70KG PLNOVÝSUV 500 MM EB21 SILENT SYSTEM SADA</v>
      </c>
      <c r="AW33" s="24">
        <f>VLOOKUP(AU33,CENY!$B$11:$G$1034,3,FALSE)</f>
        <v>1</v>
      </c>
      <c r="AX33" s="499">
        <v>10</v>
      </c>
      <c r="AY33" s="25">
        <f>Y22</f>
        <v>0</v>
      </c>
      <c r="AZ33" s="451">
        <f t="shared" si="1"/>
        <v>0</v>
      </c>
      <c r="BA33" s="107">
        <f>VLOOKUP(AU33,CENY!$B$11:$M$2005,12,FALSE)</f>
        <v>698.13</v>
      </c>
      <c r="BB33" s="107">
        <f t="shared" si="0"/>
        <v>0</v>
      </c>
      <c r="BD33" s="441">
        <f>OBJ!B233</f>
        <v>9256965</v>
      </c>
      <c r="BE33" s="23" t="str">
        <f>VLOOKUP(BD33,CENY!$B$11:$G$1034,2,FALSE)</f>
        <v>ACTRO YOU 10KG PLNOVÝSUV 350 MM EB21 SILENT SYSTEM LEVÝ</v>
      </c>
      <c r="BF33" s="24">
        <f>VLOOKUP(BD33,CENY!$B$11:$G$1034,3,FALSE)</f>
        <v>10</v>
      </c>
      <c r="BG33" s="24"/>
      <c r="BH33" s="25">
        <f>AY22</f>
        <v>0</v>
      </c>
      <c r="BI33" s="451">
        <f t="shared" si="2"/>
        <v>0</v>
      </c>
      <c r="BJ33" s="107">
        <f>VLOOKUP(BD33,CENY!$B$11:$M$2005,12,FALSE)</f>
        <v>243.93</v>
      </c>
      <c r="BK33" s="107">
        <f t="shared" si="3"/>
        <v>0</v>
      </c>
    </row>
    <row r="34" spans="2:63" ht="14.4" customHeight="1">
      <c r="B34" s="505" t="str">
        <f>verze!E203</f>
        <v>P2O Silent = tlumení s otvíráním bez úchytky Push to open Silent</v>
      </c>
      <c r="AU34" s="441">
        <f>OBJ!B263</f>
        <v>9257038</v>
      </c>
      <c r="AV34" s="23" t="str">
        <f>VLOOKUP(AU34,CENY!$B$11:$G$1034,2,FALSE)</f>
        <v>ACTRO YOU 70KG PLNOVÝSUV 550 MM EB21 SILENT SYSTEM SADA</v>
      </c>
      <c r="AW34" s="24">
        <f>VLOOKUP(AU34,CENY!$B$11:$G$1034,3,FALSE)</f>
        <v>1</v>
      </c>
      <c r="AX34" s="499">
        <v>10</v>
      </c>
      <c r="AY34" s="25">
        <f>AA22</f>
        <v>0</v>
      </c>
      <c r="AZ34" s="451">
        <f t="shared" si="1"/>
        <v>0</v>
      </c>
      <c r="BA34" s="107">
        <f>VLOOKUP(AU34,CENY!$B$11:$M$2005,12,FALSE)</f>
        <v>731.3</v>
      </c>
      <c r="BB34" s="107">
        <f t="shared" si="0"/>
        <v>0</v>
      </c>
      <c r="BD34" s="441">
        <f>OBJ!B234</f>
        <v>9256966</v>
      </c>
      <c r="BE34" s="23" t="str">
        <f>VLOOKUP(BD34,CENY!$B$11:$G$1034,2,FALSE)</f>
        <v>ACTRO YOU 10KG PLNOVÝSUV 350 MM EB21 SILENT SYSTEM PRAVÝ</v>
      </c>
      <c r="BF34" s="24">
        <f>VLOOKUP(BD34,CENY!$B$11:$G$1034,3,FALSE)</f>
        <v>10</v>
      </c>
      <c r="BG34" s="24"/>
      <c r="BH34" s="25">
        <f>AY22</f>
        <v>0</v>
      </c>
      <c r="BI34" s="451">
        <f t="shared" si="2"/>
        <v>0</v>
      </c>
      <c r="BJ34" s="107">
        <f>VLOOKUP(BD34,CENY!$B$11:$M$2005,12,FALSE)</f>
        <v>243.93</v>
      </c>
      <c r="BK34" s="107">
        <f t="shared" si="3"/>
        <v>0</v>
      </c>
    </row>
    <row r="35" spans="2:63" ht="14.4" customHeight="1">
      <c r="AU35" s="441">
        <f>OBJ!B264</f>
        <v>9257040</v>
      </c>
      <c r="AV35" s="23" t="str">
        <f>VLOOKUP(AU35,CENY!$B$11:$G$1034,2,FALSE)</f>
        <v>ACTRO YOU 70KG PLNOVÝSUV 600 MM EB21 SILENT SYSTEM SADA</v>
      </c>
      <c r="AW35" s="24">
        <f>VLOOKUP(AU35,CENY!$B$11:$G$1034,3,FALSE)</f>
        <v>1</v>
      </c>
      <c r="AX35" s="499">
        <v>10</v>
      </c>
      <c r="AY35" s="25">
        <f>AC22</f>
        <v>0</v>
      </c>
      <c r="AZ35" s="451">
        <f t="shared" si="1"/>
        <v>0</v>
      </c>
      <c r="BA35" s="107">
        <f>VLOOKUP(AU35,CENY!$B$11:$M$2005,12,FALSE)</f>
        <v>798.31</v>
      </c>
      <c r="BB35" s="107">
        <f t="shared" si="0"/>
        <v>0</v>
      </c>
      <c r="BD35" s="441"/>
      <c r="BE35" s="23"/>
      <c r="BF35" s="24"/>
      <c r="BG35" s="24"/>
      <c r="BH35" s="25"/>
      <c r="BI35" s="451" t="str">
        <f t="shared" si="2"/>
        <v/>
      </c>
      <c r="BJ35" s="107"/>
      <c r="BK35" s="107" t="str">
        <f t="shared" si="3"/>
        <v/>
      </c>
    </row>
    <row r="36" spans="2:63" ht="14.4" customHeight="1">
      <c r="AU36" s="441"/>
      <c r="AV36" s="23"/>
      <c r="AW36" s="24"/>
      <c r="AX36" s="24"/>
      <c r="AY36" s="25"/>
      <c r="AZ36" s="451" t="str">
        <f t="shared" si="1"/>
        <v/>
      </c>
      <c r="BA36" s="107"/>
      <c r="BB36" s="107" t="str">
        <f t="shared" si="0"/>
        <v/>
      </c>
      <c r="BD36" s="441">
        <f>OBJ!B246</f>
        <v>9256976</v>
      </c>
      <c r="BE36" s="23" t="str">
        <f>VLOOKUP(BD36,CENY!$B$11:$G$1034,2,FALSE)</f>
        <v>ACTRO YOU 40KG PLNOVÝSUV 300 MM EB21 SILENT SYSTEM LEVÝ</v>
      </c>
      <c r="BF36" s="24">
        <f>VLOOKUP(BD36,CENY!$B$11:$G$1034,3,FALSE)</f>
        <v>10</v>
      </c>
      <c r="BG36" s="24"/>
      <c r="BH36" s="25">
        <f>AY24</f>
        <v>0</v>
      </c>
      <c r="BI36" s="451">
        <f t="shared" si="2"/>
        <v>0</v>
      </c>
      <c r="BJ36" s="107">
        <f>VLOOKUP(BD36,CENY!$B$11:$M$2005,12,FALSE)</f>
        <v>243.93</v>
      </c>
      <c r="BK36" s="107">
        <f t="shared" si="3"/>
        <v>0</v>
      </c>
    </row>
    <row r="37" spans="2:63" ht="14.4" customHeight="1">
      <c r="AU37" s="441">
        <f>OBJ!B277</f>
        <v>9257890</v>
      </c>
      <c r="AV37" s="23" t="str">
        <f>VLOOKUP(AU37,CENY!$B$11:$G$1034,2,FALSE)</f>
        <v>PUSH TO OPEN SILENT ACTRO YOU / ACTRO 5D 10 KG</v>
      </c>
      <c r="AW37" s="24">
        <f>VLOOKUP(AU37,CENY!$B$11:$G$1034,3,FALSE)</f>
        <v>1</v>
      </c>
      <c r="AX37" s="24"/>
      <c r="AY37" s="25">
        <f>AN19</f>
        <v>0</v>
      </c>
      <c r="AZ37" s="451">
        <f t="shared" si="1"/>
        <v>0</v>
      </c>
      <c r="BA37" s="107">
        <f>VLOOKUP(AU37,CENY!$B$11:$M$2005,12,FALSE)</f>
        <v>544.37</v>
      </c>
      <c r="BB37" s="107">
        <f t="shared" si="0"/>
        <v>0</v>
      </c>
      <c r="BD37" s="441">
        <f>OBJ!B247</f>
        <v>9256977</v>
      </c>
      <c r="BE37" s="23" t="str">
        <f>VLOOKUP(BD37,CENY!$B$11:$G$1034,2,FALSE)</f>
        <v>ACTRO YOU 40KG PLNOVÝSUV 300 MM EB21 SILENT SYSTEM PRAVÝ</v>
      </c>
      <c r="BF37" s="24">
        <f>VLOOKUP(BD37,CENY!$B$11:$G$1034,3,FALSE)</f>
        <v>10</v>
      </c>
      <c r="BG37" s="24"/>
      <c r="BH37" s="25">
        <f>AY24</f>
        <v>0</v>
      </c>
      <c r="BI37" s="451">
        <f t="shared" si="2"/>
        <v>0</v>
      </c>
      <c r="BJ37" s="107">
        <f>VLOOKUP(BD37,CENY!$B$11:$M$2005,12,FALSE)</f>
        <v>243.93</v>
      </c>
      <c r="BK37" s="107">
        <f t="shared" si="3"/>
        <v>0</v>
      </c>
    </row>
    <row r="38" spans="2:63" ht="14.4" customHeight="1">
      <c r="AU38" s="441">
        <f>OBJ!B278</f>
        <v>9257891</v>
      </c>
      <c r="AV38" s="23" t="str">
        <f>VLOOKUP(AU38,CENY!$B$11:$G$1034,2,FALSE)</f>
        <v>PUSH TO OPEN SILENT ACTRO YOU / ACTRO 5D 20 KG</v>
      </c>
      <c r="AW38" s="24">
        <f>VLOOKUP(AU38,CENY!$B$11:$G$1034,3,FALSE)</f>
        <v>1</v>
      </c>
      <c r="AX38" s="24"/>
      <c r="AY38" s="25">
        <f>AN20</f>
        <v>0</v>
      </c>
      <c r="AZ38" s="451">
        <f t="shared" si="1"/>
        <v>0</v>
      </c>
      <c r="BA38" s="107">
        <f>VLOOKUP(AU38,CENY!$B$11:$M$2005,12,FALSE)</f>
        <v>544.37</v>
      </c>
      <c r="BB38" s="107">
        <f t="shared" si="0"/>
        <v>0</v>
      </c>
      <c r="BD38" s="441">
        <f>OBJ!B248</f>
        <v>9256980</v>
      </c>
      <c r="BE38" s="23" t="str">
        <f>VLOOKUP(BD38,CENY!$B$11:$G$1034,2,FALSE)</f>
        <v>ACTRO YOU 40KG PLNOVÝSUV 350 MM EB21 SILENT SYSTEM LEVÝ</v>
      </c>
      <c r="BF38" s="24">
        <f>VLOOKUP(BD38,CENY!$B$11:$G$1034,3,FALSE)</f>
        <v>10</v>
      </c>
      <c r="BG38" s="24"/>
      <c r="BH38" s="25">
        <f>AY25</f>
        <v>0</v>
      </c>
      <c r="BI38" s="451">
        <f t="shared" si="2"/>
        <v>0</v>
      </c>
      <c r="BJ38" s="107">
        <f>VLOOKUP(BD38,CENY!$B$11:$M$2005,12,FALSE)</f>
        <v>243.93</v>
      </c>
      <c r="BK38" s="107">
        <f t="shared" si="3"/>
        <v>0</v>
      </c>
    </row>
    <row r="39" spans="2:63" ht="14.4" customHeight="1">
      <c r="AU39" s="441">
        <f>OBJ!B279</f>
        <v>9257892</v>
      </c>
      <c r="AV39" s="23" t="str">
        <f>VLOOKUP(AU39,CENY!$B$11:$G$1034,2,FALSE)</f>
        <v>PUSH TO OPEN SILENT ACTRO YOU / ACTRO 5D 40 KG</v>
      </c>
      <c r="AW39" s="24">
        <f>VLOOKUP(AU39,CENY!$B$11:$G$1034,3,FALSE)</f>
        <v>1</v>
      </c>
      <c r="AX39" s="24"/>
      <c r="AY39" s="25">
        <f>AN21</f>
        <v>0</v>
      </c>
      <c r="AZ39" s="451">
        <f t="shared" si="1"/>
        <v>0</v>
      </c>
      <c r="BA39" s="107">
        <f>VLOOKUP(AU39,CENY!$B$11:$M$2005,12,FALSE)</f>
        <v>544.37</v>
      </c>
      <c r="BB39" s="107">
        <f t="shared" si="0"/>
        <v>0</v>
      </c>
      <c r="BD39" s="441">
        <f>OBJ!B249</f>
        <v>9256981</v>
      </c>
      <c r="BE39" s="23" t="str">
        <f>VLOOKUP(BD39,CENY!$B$11:$G$1034,2,FALSE)</f>
        <v>ACTRO YOU 40KG PLNOVÝSUV 350 MM EB21 SILENT SYSTEM PRAVÝ</v>
      </c>
      <c r="BF39" s="24">
        <f>VLOOKUP(BD39,CENY!$B$11:$G$1034,3,FALSE)</f>
        <v>10</v>
      </c>
      <c r="BG39" s="24"/>
      <c r="BH39" s="25">
        <f>AY25</f>
        <v>0</v>
      </c>
      <c r="BI39" s="451">
        <f t="shared" si="2"/>
        <v>0</v>
      </c>
      <c r="BJ39" s="107">
        <f>VLOOKUP(BD39,CENY!$B$11:$M$2005,12,FALSE)</f>
        <v>243.93</v>
      </c>
      <c r="BK39" s="107">
        <f t="shared" si="3"/>
        <v>0</v>
      </c>
    </row>
    <row r="40" spans="2:63" ht="14.4" customHeight="1">
      <c r="AU40" s="441">
        <f>OBJ!B280</f>
        <v>9257893</v>
      </c>
      <c r="AV40" s="23" t="str">
        <f>VLOOKUP(AU40,CENY!$B$11:$G$1034,2,FALSE)</f>
        <v>PUSH TO OPEN SILENT ACTRO YOU / ACTRO 5D 70 KG</v>
      </c>
      <c r="AW40" s="24">
        <f>VLOOKUP(AU40,CENY!$B$11:$G$1034,3,FALSE)</f>
        <v>1</v>
      </c>
      <c r="AX40" s="24"/>
      <c r="AY40" s="25">
        <f>AN22</f>
        <v>0</v>
      </c>
      <c r="AZ40" s="451">
        <f t="shared" si="1"/>
        <v>0</v>
      </c>
      <c r="BA40" s="107">
        <f>VLOOKUP(AU40,CENY!$B$11:$M$2005,12,FALSE)</f>
        <v>544.37</v>
      </c>
      <c r="BB40" s="107">
        <f t="shared" si="0"/>
        <v>0</v>
      </c>
      <c r="BD40" s="441">
        <f>OBJ!B250</f>
        <v>9256984</v>
      </c>
      <c r="BE40" s="23" t="str">
        <f>VLOOKUP(BD40,CENY!$B$11:$G$1034,2,FALSE)</f>
        <v>ACTRO YOU 40KG PLNOVÝSUV 400 MM EB21 SILENT SYSTEM LEVÝ</v>
      </c>
      <c r="BF40" s="24">
        <f>VLOOKUP(BD40,CENY!$B$11:$G$1034,3,FALSE)</f>
        <v>10</v>
      </c>
      <c r="BG40" s="24"/>
      <c r="BH40" s="25">
        <f>AY26</f>
        <v>0</v>
      </c>
      <c r="BI40" s="451">
        <f t="shared" si="2"/>
        <v>0</v>
      </c>
      <c r="BJ40" s="107">
        <f>VLOOKUP(BD40,CENY!$B$11:$M$2005,12,FALSE)</f>
        <v>247.05</v>
      </c>
      <c r="BK40" s="107">
        <f t="shared" si="3"/>
        <v>0</v>
      </c>
    </row>
    <row r="41" spans="2:63" ht="14.4" customHeight="1">
      <c r="AU41" s="441">
        <f>OBJ!B281</f>
        <v>9236718</v>
      </c>
      <c r="AV41" s="23" t="str">
        <f>VLOOKUP(AU41,CENY!$B$11:$G$1034,2,FALSE)</f>
        <v>PUSH TO OPEN SYNCHRONIZAČNÍ TYČ 2000 MM</v>
      </c>
      <c r="AW41" s="24">
        <f>VLOOKUP(AU41,CENY!$B$11:$G$1034,3,FALSE)</f>
        <v>100</v>
      </c>
      <c r="AX41" s="24"/>
      <c r="AY41" s="25">
        <f>SUM(AN19:AO22)+SUM(AN27:AO29)+SUM(Q30:AD30)</f>
        <v>0</v>
      </c>
      <c r="AZ41" s="451">
        <f t="shared" si="1"/>
        <v>0</v>
      </c>
      <c r="BA41" s="107">
        <f>VLOOKUP(AU41,CENY!$B$11:$M$2005,12,FALSE)</f>
        <v>144.30000000000001</v>
      </c>
      <c r="BB41" s="107">
        <f t="shared" si="0"/>
        <v>0</v>
      </c>
      <c r="BD41" s="441">
        <f>OBJ!B251</f>
        <v>9256985</v>
      </c>
      <c r="BE41" s="23" t="str">
        <f>VLOOKUP(BD41,CENY!$B$11:$G$1034,2,FALSE)</f>
        <v>ACTRO YOU 40KG PLNOVÝSUV 400 MM EB21 SILENT SYSTEM PRAVÝ</v>
      </c>
      <c r="BF41" s="24">
        <f>VLOOKUP(BD41,CENY!$B$11:$G$1034,3,FALSE)</f>
        <v>10</v>
      </c>
      <c r="BG41" s="24"/>
      <c r="BH41" s="25">
        <f>AY26</f>
        <v>0</v>
      </c>
      <c r="BI41" s="451">
        <f t="shared" si="2"/>
        <v>0</v>
      </c>
      <c r="BJ41" s="107">
        <f>VLOOKUP(BD41,CENY!$B$11:$M$2005,12,FALSE)</f>
        <v>247.05</v>
      </c>
      <c r="BK41" s="107">
        <f t="shared" si="3"/>
        <v>0</v>
      </c>
    </row>
    <row r="42" spans="2:63" ht="14.4" customHeight="1">
      <c r="AU42" s="441"/>
      <c r="AV42" s="23"/>
      <c r="AW42" s="24"/>
      <c r="AX42" s="24"/>
      <c r="AY42" s="25"/>
      <c r="AZ42" s="451" t="str">
        <f t="shared" si="1"/>
        <v/>
      </c>
      <c r="BA42" s="107"/>
      <c r="BB42" s="107" t="str">
        <f t="shared" si="0"/>
        <v/>
      </c>
      <c r="BD42" s="441">
        <f>OBJ!B252</f>
        <v>9256988</v>
      </c>
      <c r="BE42" s="23" t="str">
        <f>VLOOKUP(BD42,CENY!$B$11:$G$1034,2,FALSE)</f>
        <v>ACTRO YOU 40KG PLNOVÝSUV 450 MM EB21 SILENT SYSTEM LEVÝ</v>
      </c>
      <c r="BF42" s="24">
        <f>VLOOKUP(BD42,CENY!$B$11:$G$1034,3,FALSE)</f>
        <v>10</v>
      </c>
      <c r="BG42" s="24"/>
      <c r="BH42" s="25">
        <f>AY27</f>
        <v>0</v>
      </c>
      <c r="BI42" s="451">
        <f t="shared" si="2"/>
        <v>0</v>
      </c>
      <c r="BJ42" s="107">
        <f>VLOOKUP(BD42,CENY!$B$11:$M$2005,12,FALSE)</f>
        <v>250.14</v>
      </c>
      <c r="BK42" s="107">
        <f t="shared" si="3"/>
        <v>0</v>
      </c>
    </row>
    <row r="43" spans="2:63" ht="14.4" customHeight="1">
      <c r="AU43" s="441">
        <f>OBJ!B288</f>
        <v>9256954</v>
      </c>
      <c r="AV43" s="23" t="str">
        <f>VLOOKUP(AU43,CENY!$B$11:$G$1034,2,FALSE)</f>
        <v>QUADRO YOU 10 KG PLNOVÝSUV 300 MM EB21 SILENT SYSTEM SADA</v>
      </c>
      <c r="AW43" s="24">
        <f>VLOOKUP(AU43,CENY!$B$11:$G$1034,3,FALSE)</f>
        <v>1</v>
      </c>
      <c r="AX43" s="499">
        <v>4</v>
      </c>
      <c r="AY43" s="25">
        <f>Q27</f>
        <v>0</v>
      </c>
      <c r="AZ43" s="451">
        <f t="shared" si="1"/>
        <v>0</v>
      </c>
      <c r="BA43" s="107">
        <f>VLOOKUP(AU43,CENY!$B$11:$M$2005,12,FALSE)</f>
        <v>414.13</v>
      </c>
      <c r="BB43" s="107">
        <f t="shared" si="0"/>
        <v>0</v>
      </c>
      <c r="BD43" s="441">
        <f>OBJ!B253</f>
        <v>9256989</v>
      </c>
      <c r="BE43" s="23" t="str">
        <f>VLOOKUP(BD43,CENY!$B$11:$G$1034,2,FALSE)</f>
        <v>ACTRO YOU 40KG PLNOVÝSUV 450 MM EB21 SILENT SYSTEM PRAVÝ</v>
      </c>
      <c r="BF43" s="24">
        <f>VLOOKUP(BD43,CENY!$B$11:$G$1034,3,FALSE)</f>
        <v>10</v>
      </c>
      <c r="BG43" s="24"/>
      <c r="BH43" s="25">
        <f>AY27</f>
        <v>0</v>
      </c>
      <c r="BI43" s="451">
        <f t="shared" si="2"/>
        <v>0</v>
      </c>
      <c r="BJ43" s="107">
        <f>VLOOKUP(BD43,CENY!$B$11:$M$2005,12,FALSE)</f>
        <v>250.14</v>
      </c>
      <c r="BK43" s="107">
        <f t="shared" si="3"/>
        <v>0</v>
      </c>
    </row>
    <row r="44" spans="2:63" ht="14.4" customHeight="1">
      <c r="AU44" s="441">
        <f>OBJ!B289</f>
        <v>9256956</v>
      </c>
      <c r="AV44" s="23" t="str">
        <f>VLOOKUP(AU44,CENY!$B$11:$G$1034,2,FALSE)</f>
        <v>QUADRO YOU 10 KG PLNOVÝSUV 350 MM EB21 SILENT SYSTEM SADA</v>
      </c>
      <c r="AW44" s="24">
        <f>VLOOKUP(AU44,CENY!$B$11:$G$1034,3,FALSE)</f>
        <v>1</v>
      </c>
      <c r="AX44" s="499">
        <v>4</v>
      </c>
      <c r="AY44" s="25">
        <f>S27</f>
        <v>0</v>
      </c>
      <c r="AZ44" s="451">
        <f t="shared" si="1"/>
        <v>0</v>
      </c>
      <c r="BA44" s="107">
        <f>VLOOKUP(AU44,CENY!$B$11:$M$2005,12,FALSE)</f>
        <v>421.61</v>
      </c>
      <c r="BB44" s="107">
        <f t="shared" si="0"/>
        <v>0</v>
      </c>
      <c r="BD44" s="441">
        <f>OBJ!B254</f>
        <v>9256992</v>
      </c>
      <c r="BE44" s="23" t="str">
        <f>VLOOKUP(BD44,CENY!$B$11:$G$1034,2,FALSE)</f>
        <v>ACTRO YOU 40KG PLNOVÝSUV 500 MM EB21 SILENT SYSTEM LEVÝ</v>
      </c>
      <c r="BF44" s="24">
        <f>VLOOKUP(BD44,CENY!$B$11:$G$1034,3,FALSE)</f>
        <v>10</v>
      </c>
      <c r="BG44" s="24"/>
      <c r="BH44" s="25">
        <f>AY28</f>
        <v>0</v>
      </c>
      <c r="BI44" s="451">
        <f t="shared" si="2"/>
        <v>0</v>
      </c>
      <c r="BJ44" s="107">
        <f>VLOOKUP(BD44,CENY!$B$11:$M$2005,12,FALSE)</f>
        <v>253.25</v>
      </c>
      <c r="BK44" s="107">
        <f t="shared" si="3"/>
        <v>0</v>
      </c>
    </row>
    <row r="45" spans="2:63" ht="14.4" customHeight="1">
      <c r="AU45" s="441"/>
      <c r="AV45" s="23"/>
      <c r="AW45" s="24"/>
      <c r="AX45" s="24"/>
      <c r="AY45" s="25"/>
      <c r="AZ45" s="451" t="str">
        <f t="shared" si="1"/>
        <v/>
      </c>
      <c r="BA45" s="107"/>
      <c r="BB45" s="107" t="str">
        <f t="shared" si="0"/>
        <v/>
      </c>
      <c r="BD45" s="441">
        <f>OBJ!B255</f>
        <v>9256993</v>
      </c>
      <c r="BE45" s="23" t="str">
        <f>VLOOKUP(BD45,CENY!$B$11:$G$1034,2,FALSE)</f>
        <v>ACTRO YOU 40KG PLNOVÝSUV 500 MM EB21 SILENT SYSTEM PRAVÝ</v>
      </c>
      <c r="BF45" s="24">
        <f>VLOOKUP(BD45,CENY!$B$11:$G$1034,3,FALSE)</f>
        <v>10</v>
      </c>
      <c r="BG45" s="24"/>
      <c r="BH45" s="25">
        <f>AY28</f>
        <v>0</v>
      </c>
      <c r="BI45" s="451">
        <f t="shared" si="2"/>
        <v>0</v>
      </c>
      <c r="BJ45" s="107">
        <f>VLOOKUP(BD45,CENY!$B$11:$M$2005,12,FALSE)</f>
        <v>253.25</v>
      </c>
      <c r="BK45" s="107">
        <f t="shared" si="3"/>
        <v>0</v>
      </c>
    </row>
    <row r="46" spans="2:63" ht="14.4" customHeight="1">
      <c r="AU46" s="441">
        <f>OBJ!B298</f>
        <v>9256884</v>
      </c>
      <c r="AV46" s="23" t="str">
        <f>VLOOKUP(AU46,CENY!$B$11:$G$1034,2,FALSE)</f>
        <v>QUADRO YOU PLNOVÝSUV 300 MM EB21 SILENT SYSTEM SADA</v>
      </c>
      <c r="AW46" s="24">
        <f>VLOOKUP(AU46,CENY!$B$11:$G$1034,3,FALSE)</f>
        <v>1</v>
      </c>
      <c r="AX46" s="499">
        <v>8</v>
      </c>
      <c r="AY46" s="25">
        <f>Q28</f>
        <v>0</v>
      </c>
      <c r="AZ46" s="451">
        <f t="shared" si="1"/>
        <v>0</v>
      </c>
      <c r="BA46" s="107">
        <f>VLOOKUP(AU46,CENY!$B$11:$M$2005,12,FALSE)</f>
        <v>369.3</v>
      </c>
      <c r="BB46" s="107">
        <f t="shared" si="0"/>
        <v>0</v>
      </c>
      <c r="BD46" s="441">
        <f>OBJ!B256</f>
        <v>9256996</v>
      </c>
      <c r="BE46" s="23" t="str">
        <f>VLOOKUP(BD46,CENY!$B$11:$G$1034,2,FALSE)</f>
        <v>ACTRO YOU 40KG PLNOVÝSUV 550 MM EB21 SILENT SYSTEM LEVÝ</v>
      </c>
      <c r="BF46" s="24">
        <f>VLOOKUP(BD46,CENY!$B$11:$G$1034,3,FALSE)</f>
        <v>10</v>
      </c>
      <c r="BG46" s="24"/>
      <c r="BH46" s="25">
        <f>AY29</f>
        <v>0</v>
      </c>
      <c r="BI46" s="451">
        <f t="shared" si="2"/>
        <v>0</v>
      </c>
      <c r="BJ46" s="107">
        <f>VLOOKUP(BD46,CENY!$B$11:$M$2005,12,FALSE)</f>
        <v>269.83999999999997</v>
      </c>
      <c r="BK46" s="107">
        <f t="shared" si="3"/>
        <v>0</v>
      </c>
    </row>
    <row r="47" spans="2:63" ht="14.4" customHeight="1">
      <c r="AU47" s="441">
        <f>OBJ!B299</f>
        <v>9256886</v>
      </c>
      <c r="AV47" s="23" t="str">
        <f>VLOOKUP(AU47,CENY!$B$11:$G$1034,2,FALSE)</f>
        <v>QUADRO YOU PLNOVÝSUV 350 MM EB21 SILENT SYSTEM SADA</v>
      </c>
      <c r="AW47" s="24">
        <f>VLOOKUP(AU47,CENY!$B$11:$G$1034,3,FALSE)</f>
        <v>1</v>
      </c>
      <c r="AX47" s="499">
        <v>8</v>
      </c>
      <c r="AY47" s="25">
        <f>S28</f>
        <v>0</v>
      </c>
      <c r="AZ47" s="451">
        <f t="shared" si="1"/>
        <v>0</v>
      </c>
      <c r="BA47" s="107">
        <f>VLOOKUP(AU47,CENY!$B$11:$M$2005,12,FALSE)</f>
        <v>376.77</v>
      </c>
      <c r="BB47" s="107">
        <f t="shared" si="0"/>
        <v>0</v>
      </c>
      <c r="BD47" s="441">
        <f>OBJ!B257</f>
        <v>9256997</v>
      </c>
      <c r="BE47" s="23" t="str">
        <f>VLOOKUP(BD47,CENY!$B$11:$G$1034,2,FALSE)</f>
        <v>ACTRO YOU 40KG PLNOVÝSUV 550 MM EB21 SILENT SYSTEM PRAVÝ</v>
      </c>
      <c r="BF47" s="24">
        <f>VLOOKUP(BD47,CENY!$B$11:$G$1034,3,FALSE)</f>
        <v>10</v>
      </c>
      <c r="BG47" s="24"/>
      <c r="BH47" s="25">
        <f>AY29</f>
        <v>0</v>
      </c>
      <c r="BI47" s="451">
        <f t="shared" si="2"/>
        <v>0</v>
      </c>
      <c r="BJ47" s="107">
        <f>VLOOKUP(BD47,CENY!$B$11:$M$2005,12,FALSE)</f>
        <v>269.83999999999997</v>
      </c>
      <c r="BK47" s="107">
        <f t="shared" si="3"/>
        <v>0</v>
      </c>
    </row>
    <row r="48" spans="2:63" ht="14.4" customHeight="1">
      <c r="AU48" s="441">
        <f>OBJ!B300</f>
        <v>9256888</v>
      </c>
      <c r="AV48" s="23" t="str">
        <f>VLOOKUP(AU48,CENY!$B$11:$G$1034,2,FALSE)</f>
        <v>QUADRO YOU PLNOVÝSUV 400 MM EB21 SILENT SYSTEM SADA</v>
      </c>
      <c r="AW48" s="24">
        <f>VLOOKUP(AU48,CENY!$B$11:$G$1034,3,FALSE)</f>
        <v>1</v>
      </c>
      <c r="AX48" s="499">
        <v>8</v>
      </c>
      <c r="AY48" s="25">
        <f>U28</f>
        <v>0</v>
      </c>
      <c r="AZ48" s="451">
        <f t="shared" si="1"/>
        <v>0</v>
      </c>
      <c r="BA48" s="107">
        <f>VLOOKUP(AU48,CENY!$B$11:$M$2005,12,FALSE)</f>
        <v>384.24</v>
      </c>
      <c r="BB48" s="107">
        <f t="shared" si="0"/>
        <v>0</v>
      </c>
      <c r="BD48" s="441">
        <f>OBJ!B258</f>
        <v>9268679</v>
      </c>
      <c r="BE48" s="23" t="str">
        <f>VLOOKUP(BD48,CENY!$B$11:$G$1034,2,FALSE)</f>
        <v>ACTRO YOU 40KG PLNOVÝSUV 600 MM EB21 SILENT SYSTÉM LEVÝ</v>
      </c>
      <c r="BF48" s="24">
        <f>VLOOKUP(BD48,CENY!$B$11:$G$1034,3,FALSE)</f>
        <v>10</v>
      </c>
      <c r="BG48" s="24"/>
      <c r="BH48" s="25">
        <f>AY30</f>
        <v>0</v>
      </c>
      <c r="BI48" s="451">
        <f t="shared" si="2"/>
        <v>0</v>
      </c>
      <c r="BJ48" s="107">
        <f>VLOOKUP(BD48,CENY!$B$11:$M$2005,12,FALSE)</f>
        <v>273.51</v>
      </c>
      <c r="BK48" s="107">
        <f t="shared" si="3"/>
        <v>0</v>
      </c>
    </row>
    <row r="49" spans="47:63" ht="14.4" customHeight="1">
      <c r="AU49" s="441">
        <f>OBJ!B301</f>
        <v>9256890</v>
      </c>
      <c r="AV49" s="23" t="str">
        <f>VLOOKUP(AU49,CENY!$B$11:$G$1034,2,FALSE)</f>
        <v>QUADRO YOU PLNOVÝSUV 450 MM EB21 SILENT SYSTEM SADA</v>
      </c>
      <c r="AW49" s="24">
        <f>VLOOKUP(AU49,CENY!$B$11:$G$1034,3,FALSE)</f>
        <v>1</v>
      </c>
      <c r="AX49" s="499">
        <v>8</v>
      </c>
      <c r="AY49" s="25">
        <f>W28</f>
        <v>0</v>
      </c>
      <c r="AZ49" s="451">
        <f t="shared" si="1"/>
        <v>0</v>
      </c>
      <c r="BA49" s="107">
        <f>VLOOKUP(AU49,CENY!$B$11:$M$2005,12,FALSE)</f>
        <v>391.72</v>
      </c>
      <c r="BB49" s="107">
        <f t="shared" si="0"/>
        <v>0</v>
      </c>
      <c r="BD49" s="441">
        <f>OBJ!B259</f>
        <v>9268680</v>
      </c>
      <c r="BE49" s="23" t="str">
        <f>VLOOKUP(BD49,CENY!$B$11:$G$1034,2,FALSE)</f>
        <v>ACTRO YOU 40KG PLNOVÝSUV 600 MM EB21 SILENT SYSTÉM PRAVÝ</v>
      </c>
      <c r="BF49" s="24">
        <f>VLOOKUP(BD49,CENY!$B$11:$G$1034,3,FALSE)</f>
        <v>10</v>
      </c>
      <c r="BG49" s="24"/>
      <c r="BH49" s="25">
        <f>AY30</f>
        <v>0</v>
      </c>
      <c r="BI49" s="451">
        <f t="shared" si="2"/>
        <v>0</v>
      </c>
      <c r="BJ49" s="107">
        <f>VLOOKUP(BD49,CENY!$B$11:$M$2005,12,FALSE)</f>
        <v>273.51</v>
      </c>
      <c r="BK49" s="107">
        <f t="shared" si="3"/>
        <v>0</v>
      </c>
    </row>
    <row r="50" spans="47:63" ht="14.4" customHeight="1">
      <c r="AU50" s="441">
        <f>OBJ!B302</f>
        <v>9256892</v>
      </c>
      <c r="AV50" s="23" t="str">
        <f>VLOOKUP(AU50,CENY!$B$11:$G$1034,2,FALSE)</f>
        <v>QUADRO YOU PLNOVÝSUV 500 MM EB21 SILENT SYSTEM SADA</v>
      </c>
      <c r="AW50" s="24">
        <f>VLOOKUP(AU50,CENY!$B$11:$G$1034,3,FALSE)</f>
        <v>1</v>
      </c>
      <c r="AX50" s="499">
        <v>8</v>
      </c>
      <c r="AY50" s="25">
        <f>Y28</f>
        <v>0</v>
      </c>
      <c r="AZ50" s="451">
        <f t="shared" si="1"/>
        <v>0</v>
      </c>
      <c r="BA50" s="107">
        <f>VLOOKUP(AU50,CENY!$B$11:$M$2005,12,FALSE)</f>
        <v>399.19</v>
      </c>
      <c r="BB50" s="107">
        <f t="shared" si="0"/>
        <v>0</v>
      </c>
      <c r="BD50" s="441"/>
      <c r="BE50" s="23"/>
      <c r="BF50" s="24"/>
      <c r="BG50" s="24"/>
      <c r="BH50" s="25"/>
      <c r="BI50" s="451" t="str">
        <f t="shared" si="2"/>
        <v/>
      </c>
      <c r="BJ50" s="107"/>
      <c r="BK50" s="107" t="str">
        <f t="shared" si="3"/>
        <v/>
      </c>
    </row>
    <row r="51" spans="47:63" ht="14.4" customHeight="1">
      <c r="AU51" s="441">
        <f>OBJ!B303</f>
        <v>9256894</v>
      </c>
      <c r="AV51" s="23" t="str">
        <f>VLOOKUP(AU51,CENY!$B$11:$G$1034,2,FALSE)</f>
        <v>QUADRO YOU PLNOVÝSUV 550 MM EB21 SILENT SYSTEM SADA</v>
      </c>
      <c r="AW51" s="24">
        <f>VLOOKUP(AU51,CENY!$B$11:$G$1034,3,FALSE)</f>
        <v>1</v>
      </c>
      <c r="AX51" s="499">
        <v>8</v>
      </c>
      <c r="AY51" s="25">
        <f>AA28</f>
        <v>0</v>
      </c>
      <c r="AZ51" s="451">
        <f t="shared" si="1"/>
        <v>0</v>
      </c>
      <c r="BA51" s="107">
        <f>VLOOKUP(AU51,CENY!$B$11:$M$2005,12,FALSE)</f>
        <v>412.64</v>
      </c>
      <c r="BB51" s="107">
        <f t="shared" si="0"/>
        <v>0</v>
      </c>
      <c r="BD51" s="441">
        <f>OBJ!B266</f>
        <v>9257013</v>
      </c>
      <c r="BE51" s="23" t="str">
        <f>VLOOKUP(BD51,CENY!$B$11:$G$1034,2,FALSE)</f>
        <v>ACTRO YOU 70KG PLNOVÝSUV 450 MM EB21 SILENT SYSTEM LEVÝ</v>
      </c>
      <c r="BF51" s="24">
        <f>VLOOKUP(BD51,CENY!$B$11:$G$1034,3,FALSE)</f>
        <v>10</v>
      </c>
      <c r="BG51" s="24"/>
      <c r="BH51" s="25">
        <f>AY32</f>
        <v>0</v>
      </c>
      <c r="BI51" s="451">
        <f t="shared" si="2"/>
        <v>0</v>
      </c>
      <c r="BJ51" s="107">
        <f>VLOOKUP(BD51,CENY!$B$11:$M$2005,12,FALSE)</f>
        <v>309.07</v>
      </c>
      <c r="BK51" s="107">
        <f t="shared" si="3"/>
        <v>0</v>
      </c>
    </row>
    <row r="52" spans="47:63" ht="14.4" customHeight="1">
      <c r="AU52" s="441">
        <f>OBJ!B304</f>
        <v>9256896</v>
      </c>
      <c r="AV52" s="23" t="str">
        <f>VLOOKUP(AU52,CENY!$B$11:$G$1034,2,FALSE)</f>
        <v>QUADRO YOU PLNOVÝSUV 600 MM EB21 SILENT SYSTEM SADA</v>
      </c>
      <c r="AW52" s="24">
        <f>VLOOKUP(AU52,CENY!$B$11:$G$1034,3,FALSE)</f>
        <v>1</v>
      </c>
      <c r="AX52" s="499">
        <v>8</v>
      </c>
      <c r="AY52" s="25">
        <f>AC28</f>
        <v>0</v>
      </c>
      <c r="AZ52" s="451">
        <f t="shared" si="1"/>
        <v>0</v>
      </c>
      <c r="BA52" s="107">
        <f>VLOOKUP(AU52,CENY!$B$11:$M$2005,12,FALSE)</f>
        <v>420.11</v>
      </c>
      <c r="BB52" s="107">
        <f t="shared" si="0"/>
        <v>0</v>
      </c>
      <c r="BD52" s="441">
        <f>OBJ!B267</f>
        <v>9257014</v>
      </c>
      <c r="BE52" s="23" t="str">
        <f>VLOOKUP(BD52,CENY!$B$11:$G$1034,2,FALSE)</f>
        <v>ACTRO YOU 70KG PLNOVÝSUV 450 MM EB21 SILENT SYSTEM PRAVÝ</v>
      </c>
      <c r="BF52" s="24">
        <f>VLOOKUP(BD52,CENY!$B$11:$G$1034,3,FALSE)</f>
        <v>10</v>
      </c>
      <c r="BG52" s="24"/>
      <c r="BH52" s="25">
        <f>AY32</f>
        <v>0</v>
      </c>
      <c r="BI52" s="451">
        <f t="shared" si="2"/>
        <v>0</v>
      </c>
      <c r="BJ52" s="107">
        <f>VLOOKUP(BD52,CENY!$B$11:$M$2005,12,FALSE)</f>
        <v>309.07</v>
      </c>
      <c r="BK52" s="107">
        <f t="shared" si="3"/>
        <v>0</v>
      </c>
    </row>
    <row r="53" spans="47:63" ht="14.4" customHeight="1">
      <c r="AU53" s="441"/>
      <c r="AV53" s="23"/>
      <c r="AW53" s="24"/>
      <c r="AX53" s="24"/>
      <c r="AY53" s="25"/>
      <c r="AZ53" s="451" t="str">
        <f t="shared" si="1"/>
        <v/>
      </c>
      <c r="BA53" s="107"/>
      <c r="BB53" s="107" t="str">
        <f t="shared" si="0"/>
        <v/>
      </c>
      <c r="BD53" s="441">
        <f>OBJ!B268</f>
        <v>9257017</v>
      </c>
      <c r="BE53" s="23" t="str">
        <f>VLOOKUP(BD53,CENY!$B$11:$G$1034,2,FALSE)</f>
        <v>ACTRO YOU 70KG PLNOVÝSUV 500 MM EB21 SILENT SYSTEM LEVÝ</v>
      </c>
      <c r="BF53" s="24">
        <f>VLOOKUP(BD53,CENY!$B$11:$G$1034,3,FALSE)</f>
        <v>10</v>
      </c>
      <c r="BG53" s="24"/>
      <c r="BH53" s="25">
        <f>AY33</f>
        <v>0</v>
      </c>
      <c r="BI53" s="451">
        <f t="shared" si="2"/>
        <v>0</v>
      </c>
      <c r="BJ53" s="107">
        <f>VLOOKUP(BD53,CENY!$B$11:$M$2005,12,FALSE)</f>
        <v>312.18</v>
      </c>
      <c r="BK53" s="107">
        <f t="shared" si="3"/>
        <v>0</v>
      </c>
    </row>
    <row r="54" spans="47:63" ht="14.4" customHeight="1">
      <c r="AU54" s="441">
        <f>OBJ!B322</f>
        <v>9257894</v>
      </c>
      <c r="AV54" s="23" t="str">
        <f>VLOOKUP(AU54,CENY!$B$11:$G$1034,2,FALSE)</f>
        <v>PUSH TO OPEN SILENT QUADRO YOU 10 KG</v>
      </c>
      <c r="AW54" s="24">
        <f>VLOOKUP(AU54,CENY!$B$11:$G$1034,3,FALSE)</f>
        <v>1</v>
      </c>
      <c r="AX54" s="24"/>
      <c r="AY54" s="25">
        <f>AN27</f>
        <v>0</v>
      </c>
      <c r="AZ54" s="451">
        <f t="shared" si="1"/>
        <v>0</v>
      </c>
      <c r="BA54" s="107">
        <f>VLOOKUP(AU54,CENY!$B$11:$M$2005,12,FALSE)</f>
        <v>544.37</v>
      </c>
      <c r="BB54" s="107">
        <f t="shared" si="0"/>
        <v>0</v>
      </c>
      <c r="BD54" s="441">
        <f>OBJ!B269</f>
        <v>9257018</v>
      </c>
      <c r="BE54" s="23" t="str">
        <f>VLOOKUP(BD54,CENY!$B$11:$G$1034,2,FALSE)</f>
        <v>ACTRO YOU 70KG PLNOVÝSUV 500 MM EB21 SILENT SYSTEM PRAVÝ</v>
      </c>
      <c r="BF54" s="24">
        <f>VLOOKUP(BD54,CENY!$B$11:$G$1034,3,FALSE)</f>
        <v>10</v>
      </c>
      <c r="BG54" s="24"/>
      <c r="BH54" s="25">
        <f>AY33</f>
        <v>0</v>
      </c>
      <c r="BI54" s="451">
        <f t="shared" si="2"/>
        <v>0</v>
      </c>
      <c r="BJ54" s="107">
        <f>VLOOKUP(BD54,CENY!$B$11:$M$2005,12,FALSE)</f>
        <v>312.18</v>
      </c>
      <c r="BK54" s="107">
        <f t="shared" si="3"/>
        <v>0</v>
      </c>
    </row>
    <row r="55" spans="47:63" ht="14.4" customHeight="1">
      <c r="AU55" s="441">
        <f>OBJ!B323</f>
        <v>9257895</v>
      </c>
      <c r="AV55" s="23" t="str">
        <f>VLOOKUP(AU55,CENY!$B$11:$G$1034,2,FALSE)</f>
        <v>PUSH TO OPEN SILENT QUADRO YOU 20 KG</v>
      </c>
      <c r="AW55" s="24">
        <f>VLOOKUP(AU55,CENY!$B$11:$G$1034,3,FALSE)</f>
        <v>1</v>
      </c>
      <c r="AX55" s="24"/>
      <c r="AY55" s="25">
        <f>AN28</f>
        <v>0</v>
      </c>
      <c r="AZ55" s="451">
        <f t="shared" si="1"/>
        <v>0</v>
      </c>
      <c r="BA55" s="107">
        <f>VLOOKUP(AU55,CENY!$B$11:$M$2005,12,FALSE)</f>
        <v>544.37</v>
      </c>
      <c r="BB55" s="107">
        <f t="shared" si="0"/>
        <v>0</v>
      </c>
      <c r="BD55" s="441">
        <f>OBJ!B270</f>
        <v>9257021</v>
      </c>
      <c r="BE55" s="23" t="str">
        <f>VLOOKUP(BD55,CENY!$B$11:$G$1034,2,FALSE)</f>
        <v>ACTRO YOU 70KG PLNOVÝSUV 550 MM EB21 SILENT SYSTEM LEVÝ</v>
      </c>
      <c r="BF55" s="24">
        <f>VLOOKUP(BD55,CENY!$B$11:$G$1034,3,FALSE)</f>
        <v>10</v>
      </c>
      <c r="BG55" s="24"/>
      <c r="BH55" s="25">
        <f>AY34</f>
        <v>0</v>
      </c>
      <c r="BI55" s="451">
        <f t="shared" si="2"/>
        <v>0</v>
      </c>
      <c r="BJ55" s="107">
        <f>VLOOKUP(BD55,CENY!$B$11:$M$2005,12,FALSE)</f>
        <v>328.77</v>
      </c>
      <c r="BK55" s="107">
        <f t="shared" si="3"/>
        <v>0</v>
      </c>
    </row>
    <row r="56" spans="47:63" ht="14.4" customHeight="1">
      <c r="AU56" s="441">
        <f>OBJ!B324</f>
        <v>9257896</v>
      </c>
      <c r="AV56" s="23" t="str">
        <f>VLOOKUP(AU56,CENY!$B$11:$G$1034,2,FALSE)</f>
        <v>PUSH TO OPEN SILENT QUADRO YOU 30 KG</v>
      </c>
      <c r="AW56" s="24">
        <f>VLOOKUP(AU56,CENY!$B$11:$G$1034,3,FALSE)</f>
        <v>1</v>
      </c>
      <c r="AX56" s="24"/>
      <c r="AY56" s="25">
        <f>AN29</f>
        <v>0</v>
      </c>
      <c r="AZ56" s="451">
        <f t="shared" si="1"/>
        <v>0</v>
      </c>
      <c r="BA56" s="107">
        <f>VLOOKUP(AU56,CENY!$B$11:$M$2005,12,FALSE)</f>
        <v>544.37</v>
      </c>
      <c r="BB56" s="107">
        <f t="shared" si="0"/>
        <v>0</v>
      </c>
      <c r="BD56" s="441">
        <f>OBJ!B271</f>
        <v>9257022</v>
      </c>
      <c r="BE56" s="23" t="str">
        <f>VLOOKUP(BD56,CENY!$B$11:$G$1034,2,FALSE)</f>
        <v>ACTRO YOU 70KG PLNOVÝSUV 550 MM EB21 SILENT SYSTEM PRAVÝ</v>
      </c>
      <c r="BF56" s="24">
        <f>VLOOKUP(BD56,CENY!$B$11:$G$1034,3,FALSE)</f>
        <v>10</v>
      </c>
      <c r="BG56" s="24"/>
      <c r="BH56" s="25">
        <f>AY34</f>
        <v>0</v>
      </c>
      <c r="BI56" s="451">
        <f t="shared" si="2"/>
        <v>0</v>
      </c>
      <c r="BJ56" s="107">
        <f>VLOOKUP(BD56,CENY!$B$11:$M$2005,12,FALSE)</f>
        <v>328.77</v>
      </c>
      <c r="BK56" s="107">
        <f t="shared" si="3"/>
        <v>0</v>
      </c>
    </row>
    <row r="57" spans="47:63" ht="14.4" customHeight="1">
      <c r="AU57" s="441"/>
      <c r="AV57" s="23"/>
      <c r="AW57" s="24"/>
      <c r="AX57" s="24"/>
      <c r="AY57" s="25"/>
      <c r="AZ57" s="451" t="str">
        <f t="shared" si="1"/>
        <v/>
      </c>
      <c r="BA57" s="107"/>
      <c r="BB57" s="107" t="str">
        <f t="shared" si="0"/>
        <v/>
      </c>
      <c r="BD57" s="441">
        <f>OBJ!B272</f>
        <v>9257025</v>
      </c>
      <c r="BE57" s="23" t="str">
        <f>VLOOKUP(BD57,CENY!$B$11:$G$1034,2,FALSE)</f>
        <v>ACTRO YOU 70KG PLNOVÝSUV 600 MM EB21 SILENT SYSTEM LEVÝ</v>
      </c>
      <c r="BF57" s="24">
        <f>VLOOKUP(BD57,CENY!$B$11:$G$1034,3,FALSE)</f>
        <v>10</v>
      </c>
      <c r="BG57" s="24"/>
      <c r="BH57" s="25">
        <f>AY35</f>
        <v>0</v>
      </c>
      <c r="BI57" s="451">
        <f t="shared" si="2"/>
        <v>0</v>
      </c>
      <c r="BJ57" s="107">
        <f>VLOOKUP(BD57,CENY!$B$11:$M$2005,12,FALSE)</f>
        <v>362.28</v>
      </c>
      <c r="BK57" s="107">
        <f t="shared" si="3"/>
        <v>0</v>
      </c>
    </row>
    <row r="58" spans="47:63" ht="14.4" customHeight="1">
      <c r="AU58" s="441">
        <f>OBJ!B327</f>
        <v>9256929</v>
      </c>
      <c r="AV58" s="23" t="str">
        <f>VLOOKUP(AU58,CENY!$B$11:$G$1034,2,FALSE)</f>
        <v>QUADRO YOU PLNOVÝSUV 300 MM EB21 PUSH TO OPEN SADA</v>
      </c>
      <c r="AW58" s="24">
        <f>VLOOKUP(AU58,CENY!$B$11:$G$1034,3,FALSE)</f>
        <v>1</v>
      </c>
      <c r="AX58" s="499">
        <v>8</v>
      </c>
      <c r="AY58" s="25">
        <f>Q30</f>
        <v>0</v>
      </c>
      <c r="AZ58" s="451">
        <f t="shared" si="1"/>
        <v>0</v>
      </c>
      <c r="BA58" s="107">
        <f>VLOOKUP(AU58,CENY!$B$11:$M$2005,12,FALSE)</f>
        <v>414.13</v>
      </c>
      <c r="BB58" s="107">
        <f t="shared" si="0"/>
        <v>0</v>
      </c>
      <c r="BD58" s="441">
        <f>OBJ!B273</f>
        <v>9257026</v>
      </c>
      <c r="BE58" s="23" t="str">
        <f>VLOOKUP(BD58,CENY!$B$11:$G$1034,2,FALSE)</f>
        <v>ACTRO YOU 70KG PLNOVÝSUV 600 MM EB21 SILENT SYSTEM PRAVÝ</v>
      </c>
      <c r="BF58" s="24">
        <f>VLOOKUP(BD58,CENY!$B$11:$G$1034,3,FALSE)</f>
        <v>10</v>
      </c>
      <c r="BG58" s="24"/>
      <c r="BH58" s="25">
        <f>AY35</f>
        <v>0</v>
      </c>
      <c r="BI58" s="451">
        <f t="shared" si="2"/>
        <v>0</v>
      </c>
      <c r="BJ58" s="107">
        <f>VLOOKUP(BD58,CENY!$B$11:$M$2005,12,FALSE)</f>
        <v>362.28</v>
      </c>
      <c r="BK58" s="107">
        <f t="shared" si="3"/>
        <v>0</v>
      </c>
    </row>
    <row r="59" spans="47:63" ht="14.4" customHeight="1">
      <c r="AU59" s="441">
        <f>OBJ!B328</f>
        <v>9256931</v>
      </c>
      <c r="AV59" s="23" t="str">
        <f>VLOOKUP(AU59,CENY!$B$11:$G$1034,2,FALSE)</f>
        <v>QUADRO YOU PLNOVÝSUV 350 MM EB21 PUSH TO OPEN SADA</v>
      </c>
      <c r="AW59" s="24">
        <f>VLOOKUP(AU59,CENY!$B$11:$G$1034,3,FALSE)</f>
        <v>1</v>
      </c>
      <c r="AX59" s="499">
        <v>8</v>
      </c>
      <c r="AY59" s="25">
        <f>S30</f>
        <v>0</v>
      </c>
      <c r="AZ59" s="451">
        <f t="shared" si="1"/>
        <v>0</v>
      </c>
      <c r="BA59" s="107">
        <f>VLOOKUP(AU59,CENY!$B$11:$M$2005,12,FALSE)</f>
        <v>421.61</v>
      </c>
      <c r="BB59" s="107">
        <f t="shared" si="0"/>
        <v>0</v>
      </c>
      <c r="BD59" s="441"/>
      <c r="BE59" s="23"/>
      <c r="BF59" s="24"/>
      <c r="BG59" s="24"/>
      <c r="BH59" s="25"/>
      <c r="BI59" s="451" t="str">
        <f t="shared" si="2"/>
        <v/>
      </c>
      <c r="BJ59" s="107"/>
      <c r="BK59" s="107" t="str">
        <f t="shared" si="3"/>
        <v/>
      </c>
    </row>
    <row r="60" spans="47:63" ht="14.4" customHeight="1">
      <c r="AU60" s="441">
        <f>OBJ!B329</f>
        <v>9256933</v>
      </c>
      <c r="AV60" s="23" t="str">
        <f>VLOOKUP(AU60,CENY!$B$11:$G$1034,2,FALSE)</f>
        <v>QUADRO YOU PLNOVÝSUV 400 MM EB21 PUSH TO OPEN SADA</v>
      </c>
      <c r="AW60" s="24">
        <f>VLOOKUP(AU60,CENY!$B$11:$G$1034,3,FALSE)</f>
        <v>1</v>
      </c>
      <c r="AX60" s="499">
        <v>8</v>
      </c>
      <c r="AY60" s="25">
        <f>U30</f>
        <v>0</v>
      </c>
      <c r="AZ60" s="451">
        <f t="shared" si="1"/>
        <v>0</v>
      </c>
      <c r="BA60" s="107">
        <f>VLOOKUP(AU60,CENY!$B$11:$M$2005,12,FALSE)</f>
        <v>429.08</v>
      </c>
      <c r="BB60" s="107">
        <f t="shared" si="0"/>
        <v>0</v>
      </c>
      <c r="BD60" s="441">
        <f>OBJ!B277</f>
        <v>9257890</v>
      </c>
      <c r="BE60" s="23" t="str">
        <f>VLOOKUP(BD60,CENY!$B$11:$G$1034,2,FALSE)</f>
        <v>PUSH TO OPEN SILENT ACTRO YOU / ACTRO 5D 10 KG</v>
      </c>
      <c r="BF60" s="24">
        <f>VLOOKUP(BD60,CENY!$B$11:$G$1034,3,FALSE)</f>
        <v>1</v>
      </c>
      <c r="BG60" s="24"/>
      <c r="BH60" s="25">
        <f>AY37</f>
        <v>0</v>
      </c>
      <c r="BI60" s="451">
        <f t="shared" si="2"/>
        <v>0</v>
      </c>
      <c r="BJ60" s="107">
        <f>VLOOKUP(BD60,CENY!$B$11:$M$2005,12,FALSE)</f>
        <v>544.37</v>
      </c>
      <c r="BK60" s="107">
        <f t="shared" si="3"/>
        <v>0</v>
      </c>
    </row>
    <row r="61" spans="47:63" ht="14.4" customHeight="1">
      <c r="AU61" s="441">
        <f>OBJ!B330</f>
        <v>9256935</v>
      </c>
      <c r="AV61" s="23" t="str">
        <f>VLOOKUP(AU61,CENY!$B$11:$G$1034,2,FALSE)</f>
        <v>QUADRO YOU PLNOVÝSUV 450 MM EB21 PUSH TO OPEN SADA</v>
      </c>
      <c r="AW61" s="24">
        <f>VLOOKUP(AU61,CENY!$B$11:$G$1034,3,FALSE)</f>
        <v>1</v>
      </c>
      <c r="AX61" s="499">
        <v>8</v>
      </c>
      <c r="AY61" s="25">
        <f>W30</f>
        <v>0</v>
      </c>
      <c r="AZ61" s="451">
        <f t="shared" si="1"/>
        <v>0</v>
      </c>
      <c r="BA61" s="107">
        <f>VLOOKUP(AU61,CENY!$B$11:$M$2005,12,FALSE)</f>
        <v>436.55</v>
      </c>
      <c r="BB61" s="107">
        <f t="shared" si="0"/>
        <v>0</v>
      </c>
      <c r="BD61" s="441">
        <f>OBJ!B278</f>
        <v>9257891</v>
      </c>
      <c r="BE61" s="23" t="str">
        <f>VLOOKUP(BD61,CENY!$B$11:$G$1034,2,FALSE)</f>
        <v>PUSH TO OPEN SILENT ACTRO YOU / ACTRO 5D 20 KG</v>
      </c>
      <c r="BF61" s="24">
        <f>VLOOKUP(BD61,CENY!$B$11:$G$1034,3,FALSE)</f>
        <v>1</v>
      </c>
      <c r="BG61" s="24"/>
      <c r="BH61" s="25">
        <f>AY38</f>
        <v>0</v>
      </c>
      <c r="BI61" s="451">
        <f t="shared" si="2"/>
        <v>0</v>
      </c>
      <c r="BJ61" s="107">
        <f>VLOOKUP(BD61,CENY!$B$11:$M$2005,12,FALSE)</f>
        <v>544.37</v>
      </c>
      <c r="BK61" s="107">
        <f t="shared" si="3"/>
        <v>0</v>
      </c>
    </row>
    <row r="62" spans="47:63" ht="14.4" customHeight="1">
      <c r="AU62" s="441">
        <f>OBJ!B331</f>
        <v>9256937</v>
      </c>
      <c r="AV62" s="23" t="str">
        <f>VLOOKUP(AU62,CENY!$B$11:$G$1034,2,FALSE)</f>
        <v>QUADRO YOU PLNOVÝSUV 500 MM EB21 PUSH TO OPEN SADA</v>
      </c>
      <c r="AW62" s="24">
        <f>VLOOKUP(AU62,CENY!$B$11:$G$1034,3,FALSE)</f>
        <v>1</v>
      </c>
      <c r="AX62" s="499">
        <v>8</v>
      </c>
      <c r="AY62" s="25">
        <f>Y30</f>
        <v>0</v>
      </c>
      <c r="AZ62" s="451">
        <f t="shared" si="1"/>
        <v>0</v>
      </c>
      <c r="BA62" s="107">
        <f>VLOOKUP(AU62,CENY!$B$11:$M$2005,12,FALSE)</f>
        <v>444.02</v>
      </c>
      <c r="BB62" s="107">
        <f t="shared" si="0"/>
        <v>0</v>
      </c>
      <c r="BD62" s="441">
        <f>OBJ!B279</f>
        <v>9257892</v>
      </c>
      <c r="BE62" s="23" t="str">
        <f>VLOOKUP(BD62,CENY!$B$11:$G$1034,2,FALSE)</f>
        <v>PUSH TO OPEN SILENT ACTRO YOU / ACTRO 5D 40 KG</v>
      </c>
      <c r="BF62" s="24">
        <f>VLOOKUP(BD62,CENY!$B$11:$G$1034,3,FALSE)</f>
        <v>1</v>
      </c>
      <c r="BG62" s="24"/>
      <c r="BH62" s="25">
        <f>AY39</f>
        <v>0</v>
      </c>
      <c r="BI62" s="451">
        <f t="shared" si="2"/>
        <v>0</v>
      </c>
      <c r="BJ62" s="107">
        <f>VLOOKUP(BD62,CENY!$B$11:$M$2005,12,FALSE)</f>
        <v>544.37</v>
      </c>
      <c r="BK62" s="107">
        <f t="shared" si="3"/>
        <v>0</v>
      </c>
    </row>
    <row r="63" spans="47:63" ht="14.4" customHeight="1">
      <c r="AU63" s="441">
        <f>OBJ!B332</f>
        <v>9256939</v>
      </c>
      <c r="AV63" s="23" t="str">
        <f>VLOOKUP(AU63,CENY!$B$11:$G$1034,2,FALSE)</f>
        <v>QUADRO YOU PLNOVÝSUV 550 MM EB21 PUSH TO OPEN SADA</v>
      </c>
      <c r="AW63" s="24">
        <f>VLOOKUP(AU63,CENY!$B$11:$G$1034,3,FALSE)</f>
        <v>1</v>
      </c>
      <c r="AX63" s="499">
        <v>8</v>
      </c>
      <c r="AY63" s="25">
        <f>AA30</f>
        <v>0</v>
      </c>
      <c r="AZ63" s="451">
        <f t="shared" si="1"/>
        <v>0</v>
      </c>
      <c r="BA63" s="107">
        <f>VLOOKUP(AU63,CENY!$B$11:$M$2005,12,FALSE)</f>
        <v>457.48</v>
      </c>
      <c r="BB63" s="107">
        <f t="shared" si="0"/>
        <v>0</v>
      </c>
      <c r="BD63" s="441">
        <f>OBJ!B280</f>
        <v>9257893</v>
      </c>
      <c r="BE63" s="23" t="str">
        <f>VLOOKUP(BD63,CENY!$B$11:$G$1034,2,FALSE)</f>
        <v>PUSH TO OPEN SILENT ACTRO YOU / ACTRO 5D 70 KG</v>
      </c>
      <c r="BF63" s="24">
        <f>VLOOKUP(BD63,CENY!$B$11:$G$1034,3,FALSE)</f>
        <v>1</v>
      </c>
      <c r="BG63" s="24"/>
      <c r="BH63" s="25">
        <f>AY40</f>
        <v>0</v>
      </c>
      <c r="BI63" s="451">
        <f t="shared" si="2"/>
        <v>0</v>
      </c>
      <c r="BJ63" s="107">
        <f>VLOOKUP(BD63,CENY!$B$11:$M$2005,12,FALSE)</f>
        <v>544.37</v>
      </c>
      <c r="BK63" s="107">
        <f t="shared" si="3"/>
        <v>0</v>
      </c>
    </row>
    <row r="64" spans="47:63" ht="14.4" customHeight="1">
      <c r="AU64" s="441">
        <f>OBJ!B333</f>
        <v>9256941</v>
      </c>
      <c r="AV64" s="23" t="str">
        <f>VLOOKUP(AU64,CENY!$B$11:$G$1034,2,FALSE)</f>
        <v>QUADRO YOU PLNOVÝSUV 600 MM EB21 PUSH TO OPEN SADA</v>
      </c>
      <c r="AW64" s="24">
        <f>VLOOKUP(AU64,CENY!$B$11:$G$1034,3,FALSE)</f>
        <v>1</v>
      </c>
      <c r="AX64" s="499">
        <v>8</v>
      </c>
      <c r="AY64" s="25">
        <f>AC30</f>
        <v>0</v>
      </c>
      <c r="AZ64" s="451">
        <f t="shared" si="1"/>
        <v>0</v>
      </c>
      <c r="BA64" s="107">
        <f>VLOOKUP(AU64,CENY!$B$11:$M$2005,12,FALSE)</f>
        <v>464.95</v>
      </c>
      <c r="BB64" s="107">
        <f t="shared" si="0"/>
        <v>0</v>
      </c>
      <c r="BD64" s="441">
        <f>OBJ!B281</f>
        <v>9236718</v>
      </c>
      <c r="BE64" s="23" t="str">
        <f>VLOOKUP(BD64,CENY!$B$11:$G$1034,2,FALSE)</f>
        <v>PUSH TO OPEN SYNCHRONIZAČNÍ TYČ 2000 MM</v>
      </c>
      <c r="BF64" s="24">
        <f>VLOOKUP(BD64,CENY!$B$11:$G$1034,3,FALSE)</f>
        <v>100</v>
      </c>
      <c r="BG64" s="24"/>
      <c r="BH64" s="25">
        <f>AY41</f>
        <v>0</v>
      </c>
      <c r="BI64" s="451">
        <f t="shared" si="2"/>
        <v>0</v>
      </c>
      <c r="BJ64" s="107">
        <f>VLOOKUP(BD64,CENY!$B$11:$M$2005,12,FALSE)</f>
        <v>144.30000000000001</v>
      </c>
      <c r="BK64" s="107">
        <f t="shared" si="3"/>
        <v>0</v>
      </c>
    </row>
    <row r="65" spans="47:63" ht="14.4" customHeight="1">
      <c r="AU65" s="441"/>
      <c r="AV65" s="23"/>
      <c r="AW65" s="24"/>
      <c r="AX65" s="24"/>
      <c r="AY65" s="25"/>
      <c r="AZ65" s="451" t="str">
        <f t="shared" si="1"/>
        <v/>
      </c>
      <c r="BA65" s="107"/>
      <c r="BB65" s="107" t="str">
        <f t="shared" si="0"/>
        <v/>
      </c>
      <c r="BD65" s="441"/>
      <c r="BE65" s="23"/>
      <c r="BF65" s="24"/>
      <c r="BG65" s="24"/>
      <c r="BH65" s="25"/>
      <c r="BI65" s="451" t="str">
        <f t="shared" si="2"/>
        <v/>
      </c>
      <c r="BJ65" s="107"/>
      <c r="BK65" s="107" t="str">
        <f t="shared" si="3"/>
        <v/>
      </c>
    </row>
    <row r="66" spans="47:63" ht="14.4" customHeight="1">
      <c r="AU66" s="441">
        <f>OBJ!B351</f>
        <v>9219966</v>
      </c>
      <c r="AV66" s="23" t="str">
        <f>VLOOKUP(AU66,CENY!$B$11:$G$1034,2,FALSE)</f>
        <v>PUSH TO OPEN SYNCHRO ADAPTÉR TYP A</v>
      </c>
      <c r="AW66" s="24">
        <f>VLOOKUP(AU66,CENY!$B$11:$G$1034,3,FALSE)</f>
        <v>200</v>
      </c>
      <c r="AX66" s="24"/>
      <c r="AY66" s="25">
        <f>2*SUM(Q30:AD30)</f>
        <v>0</v>
      </c>
      <c r="AZ66" s="451">
        <f t="shared" si="1"/>
        <v>0</v>
      </c>
      <c r="BA66" s="107">
        <f>VLOOKUP(AU66,CENY!$B$11:$M$2005,12,FALSE)</f>
        <v>13.07</v>
      </c>
      <c r="BB66" s="107">
        <f t="shared" si="0"/>
        <v>0</v>
      </c>
      <c r="BD66" s="441">
        <f>OBJ!B292</f>
        <v>9256946</v>
      </c>
      <c r="BE66" s="23" t="str">
        <f>VLOOKUP(BD66,CENY!$B$11:$G$1034,2,FALSE)</f>
        <v>QUADRO YOU 10 KG PLNOVÝSUV 300 MM EB21 SILENT SYSTEM LEVÝ</v>
      </c>
      <c r="BF66" s="24">
        <f>VLOOKUP(BD66,CENY!$B$11:$G$1034,3,FALSE)</f>
        <v>20</v>
      </c>
      <c r="BG66" s="24"/>
      <c r="BH66" s="25">
        <f>AY43</f>
        <v>0</v>
      </c>
      <c r="BI66" s="451">
        <f t="shared" si="2"/>
        <v>0</v>
      </c>
      <c r="BJ66" s="107">
        <f>VLOOKUP(BD66,CENY!$B$11:$M$2005,12,FALSE)</f>
        <v>172.7</v>
      </c>
      <c r="BK66" s="107">
        <f t="shared" si="3"/>
        <v>0</v>
      </c>
    </row>
    <row r="67" spans="47:63" ht="14.4" customHeight="1">
      <c r="AU67" s="441"/>
      <c r="AV67" s="23"/>
      <c r="AW67" s="24"/>
      <c r="AX67" s="24"/>
      <c r="AY67" s="25"/>
      <c r="AZ67" s="451" t="str">
        <f t="shared" si="1"/>
        <v/>
      </c>
      <c r="BA67" s="107"/>
      <c r="BB67" s="107" t="str">
        <f t="shared" ref="BB67:BB112" si="4">IF(BA67="","",BA67*AY67)</f>
        <v/>
      </c>
      <c r="BD67" s="441">
        <f>OBJ!B293</f>
        <v>9256947</v>
      </c>
      <c r="BE67" s="23" t="str">
        <f>VLOOKUP(BD67,CENY!$B$11:$G$1034,2,FALSE)</f>
        <v>QUADRO YOU 10 KG PLNOVÝSUV 300 MM EB21 SILENT SYSTEM PRAVÝ</v>
      </c>
      <c r="BF67" s="24">
        <f>VLOOKUP(BD67,CENY!$B$11:$G$1034,3,FALSE)</f>
        <v>20</v>
      </c>
      <c r="BG67" s="24"/>
      <c r="BH67" s="25">
        <f>AY43</f>
        <v>0</v>
      </c>
      <c r="BI67" s="451">
        <f t="shared" si="2"/>
        <v>0</v>
      </c>
      <c r="BJ67" s="107">
        <f>VLOOKUP(BD67,CENY!$B$11:$M$2005,12,FALSE)</f>
        <v>172.7</v>
      </c>
      <c r="BK67" s="107">
        <f t="shared" si="3"/>
        <v>0</v>
      </c>
    </row>
    <row r="68" spans="47:63" ht="14.4" customHeight="1">
      <c r="AU68" s="442">
        <v>9257885</v>
      </c>
      <c r="AV68" s="443" t="str">
        <f>VLOOKUP(AU68,CENY!$B$11:$G$1034,2,FALSE)</f>
        <v>AVANTECH YOU PŘÍCHYTKA ČELA V139 MM K ZALISOVÁNÍ</v>
      </c>
      <c r="AW68" s="24">
        <f>VLOOKUP(AU68,CENY!$B$11:$G$1034,3,FALSE)</f>
        <v>200</v>
      </c>
      <c r="AX68" s="24"/>
      <c r="AY68" s="77">
        <f>IF(FORM!AM8=FORM!AU11,(2*(+SUM(O19:T19)+SUM(O20:AD20)+SUM(W22:AF22)+SUM(O27:T27)+SUM(O28:AD28)+SUM(O30:AD30))),0)</f>
        <v>0</v>
      </c>
      <c r="AZ68" s="451">
        <f t="shared" ref="AZ68:AZ113" si="5">IF(AY68="","",IF($AW$4=1,AY68,0))</f>
        <v>0</v>
      </c>
      <c r="BA68" s="107">
        <f>VLOOKUP(AU68,CENY!$B$11:$M$2005,12,FALSE)</f>
        <v>36.090000000000003</v>
      </c>
      <c r="BB68" s="107">
        <f t="shared" si="4"/>
        <v>0</v>
      </c>
      <c r="BD68" s="441">
        <f>OBJ!B294</f>
        <v>9256950</v>
      </c>
      <c r="BE68" s="23" t="str">
        <f>VLOOKUP(BD68,CENY!$B$11:$G$1034,2,FALSE)</f>
        <v>QUADRO YOU 10 KG PLNOVÝSUV 350 MM EB21 SILENT SYSTEM LEVÝ</v>
      </c>
      <c r="BF68" s="24">
        <f>VLOOKUP(BD68,CENY!$B$11:$G$1034,3,FALSE)</f>
        <v>20</v>
      </c>
      <c r="BG68" s="24"/>
      <c r="BH68" s="25">
        <f>AY44</f>
        <v>0</v>
      </c>
      <c r="BI68" s="451">
        <f t="shared" si="2"/>
        <v>0</v>
      </c>
      <c r="BJ68" s="107">
        <f>VLOOKUP(BD68,CENY!$B$11:$M$2005,12,FALSE)</f>
        <v>176.43</v>
      </c>
      <c r="BK68" s="107">
        <f t="shared" si="3"/>
        <v>0</v>
      </c>
    </row>
    <row r="69" spans="47:63" ht="14.4" customHeight="1">
      <c r="AU69" s="441"/>
      <c r="AV69" s="23"/>
      <c r="AW69" s="24"/>
      <c r="AX69" s="24"/>
      <c r="AY69" s="25"/>
      <c r="AZ69" s="451" t="str">
        <f t="shared" si="5"/>
        <v/>
      </c>
      <c r="BA69" s="107"/>
      <c r="BB69" s="107" t="str">
        <f t="shared" si="4"/>
        <v/>
      </c>
      <c r="BD69" s="441">
        <f>OBJ!B295</f>
        <v>9256951</v>
      </c>
      <c r="BE69" s="23" t="str">
        <f>VLOOKUP(BD69,CENY!$B$11:$G$1034,2,FALSE)</f>
        <v>QUADRO YOU 10 KG PLNOVÝSUV 350 MM EB21 SILENT SYSTEM PRAVÝ</v>
      </c>
      <c r="BF69" s="24">
        <f>VLOOKUP(BD69,CENY!$B$11:$G$1034,3,FALSE)</f>
        <v>20</v>
      </c>
      <c r="BG69" s="24"/>
      <c r="BH69" s="25">
        <f>AY44</f>
        <v>0</v>
      </c>
      <c r="BI69" s="451">
        <f t="shared" si="2"/>
        <v>0</v>
      </c>
      <c r="BJ69" s="107">
        <f>VLOOKUP(BD69,CENY!$B$11:$M$2005,12,FALSE)</f>
        <v>176.43</v>
      </c>
      <c r="BK69" s="107">
        <f t="shared" si="3"/>
        <v>0</v>
      </c>
    </row>
    <row r="70" spans="47:63" ht="14.4" customHeight="1">
      <c r="AU70" s="441">
        <f>OBJ!B207</f>
        <v>0</v>
      </c>
      <c r="AV70" s="23" t="e">
        <f>VLOOKUP(AU70,CENY!$B$11:$G$1034,2,FALSE)</f>
        <v>#N/A</v>
      </c>
      <c r="AW70" s="24" t="e">
        <f>VLOOKUP(AU70,CENY!$B$11:$G$1034,3,FALSE)</f>
        <v>#N/A</v>
      </c>
      <c r="AX70" s="24"/>
      <c r="AY70" s="77">
        <f>IF(FORM!AM21&lt;&gt;FORM!AW16,(2*(+SUM(O19:T19)+SUM(O20:AD20)+SUM(W22:AF22)+SUM(O27:T27)+SUM(O28:AD28)+SUM(O30:AD30))),0)</f>
        <v>0</v>
      </c>
      <c r="AZ70" s="451">
        <f t="shared" si="5"/>
        <v>0</v>
      </c>
      <c r="BA70" s="449" t="str">
        <f>IF(AU70=0,"",VLOOKUP(AU70,CENY!$B$11:$M$2005,12,FALSE))</f>
        <v/>
      </c>
      <c r="BB70" s="107" t="str">
        <f t="shared" si="4"/>
        <v/>
      </c>
      <c r="BD70" s="441"/>
      <c r="BE70" s="23"/>
      <c r="BF70" s="24"/>
      <c r="BG70" s="24"/>
      <c r="BH70" s="25"/>
      <c r="BI70" s="451" t="str">
        <f t="shared" ref="BI70:BI115" si="6">IF(BH70="","",IF($AW$4=0,BH70,0))</f>
        <v/>
      </c>
      <c r="BJ70" s="107"/>
      <c r="BK70" s="107" t="str">
        <f t="shared" ref="BK70:BK115" si="7">IF(BJ70="","",BJ70*BH70)</f>
        <v/>
      </c>
    </row>
    <row r="71" spans="47:63" ht="14.4" customHeight="1">
      <c r="AU71" s="441"/>
      <c r="AV71" s="23"/>
      <c r="AW71" s="24"/>
      <c r="AX71" s="24"/>
      <c r="AY71" s="25"/>
      <c r="AZ71" s="451" t="str">
        <f t="shared" si="5"/>
        <v/>
      </c>
      <c r="BA71" s="107"/>
      <c r="BB71" s="107" t="str">
        <f t="shared" si="4"/>
        <v/>
      </c>
      <c r="BD71" s="441">
        <f>OBJ!B307</f>
        <v>9256856</v>
      </c>
      <c r="BE71" s="23" t="str">
        <f>VLOOKUP(BD71,CENY!$B$11:$G$1034,2,FALSE)</f>
        <v>QUADRO YOU PLNOVÝSUV 300 MM EB21 SILENT SYSTEM LEVÝ</v>
      </c>
      <c r="BF71" s="24">
        <f>VLOOKUP(BD71,CENY!$B$11:$G$1034,3,FALSE)</f>
        <v>20</v>
      </c>
      <c r="BG71" s="24"/>
      <c r="BH71" s="25">
        <f>AY46</f>
        <v>0</v>
      </c>
      <c r="BI71" s="451">
        <f t="shared" si="6"/>
        <v>0</v>
      </c>
      <c r="BJ71" s="107">
        <f>VLOOKUP(BD71,CENY!$B$11:$M$2005,12,FALSE)</f>
        <v>172.7</v>
      </c>
      <c r="BK71" s="107">
        <f t="shared" si="7"/>
        <v>0</v>
      </c>
    </row>
    <row r="72" spans="47:63" ht="14.4" customHeight="1">
      <c r="AU72" s="441"/>
      <c r="AV72" s="23"/>
      <c r="AW72" s="24"/>
      <c r="AX72" s="24"/>
      <c r="AY72" s="25"/>
      <c r="AZ72" s="451" t="str">
        <f t="shared" si="5"/>
        <v/>
      </c>
      <c r="BA72" s="107"/>
      <c r="BB72" s="107" t="str">
        <f t="shared" si="4"/>
        <v/>
      </c>
      <c r="BD72" s="441">
        <f>OBJ!B308</f>
        <v>9256857</v>
      </c>
      <c r="BE72" s="23" t="str">
        <f>VLOOKUP(BD72,CENY!$B$11:$G$1034,2,FALSE)</f>
        <v>QUADRO YOU PLNOVÝSUV 300 MM EB21 SILENT SYSTEM PRAVÝ</v>
      </c>
      <c r="BF72" s="24">
        <f>VLOOKUP(BD72,CENY!$B$11:$G$1034,3,FALSE)</f>
        <v>20</v>
      </c>
      <c r="BG72" s="24"/>
      <c r="BH72" s="25">
        <f>AY46</f>
        <v>0</v>
      </c>
      <c r="BI72" s="451">
        <f t="shared" si="6"/>
        <v>0</v>
      </c>
      <c r="BJ72" s="107">
        <f>VLOOKUP(BD72,CENY!$B$11:$M$2005,12,FALSE)</f>
        <v>172.7</v>
      </c>
      <c r="BK72" s="107">
        <f t="shared" si="7"/>
        <v>0</v>
      </c>
    </row>
    <row r="73" spans="47:63" ht="14.4" customHeight="1">
      <c r="AU73" s="441"/>
      <c r="AV73" s="23"/>
      <c r="AW73" s="24"/>
      <c r="AX73" s="24"/>
      <c r="AY73" s="25"/>
      <c r="AZ73" s="451" t="str">
        <f t="shared" si="5"/>
        <v/>
      </c>
      <c r="BA73" s="107"/>
      <c r="BB73" s="107" t="str">
        <f t="shared" si="4"/>
        <v/>
      </c>
      <c r="BD73" s="441">
        <f>OBJ!B309</f>
        <v>9256860</v>
      </c>
      <c r="BE73" s="23" t="str">
        <f>VLOOKUP(BD73,CENY!$B$11:$G$1034,2,FALSE)</f>
        <v>QUADRO YOU PLNOVÝSUV 350 MM EB21 SILENT SYSTEM LEVÝ</v>
      </c>
      <c r="BF73" s="24">
        <f>VLOOKUP(BD73,CENY!$B$11:$G$1034,3,FALSE)</f>
        <v>20</v>
      </c>
      <c r="BG73" s="24"/>
      <c r="BH73" s="25">
        <f>AY47</f>
        <v>0</v>
      </c>
      <c r="BI73" s="451">
        <f t="shared" si="6"/>
        <v>0</v>
      </c>
      <c r="BJ73" s="107">
        <f>VLOOKUP(BD73,CENY!$B$11:$M$2005,12,FALSE)</f>
        <v>176.43</v>
      </c>
      <c r="BK73" s="107">
        <f t="shared" si="7"/>
        <v>0</v>
      </c>
    </row>
    <row r="74" spans="47:63" ht="14.4" customHeight="1">
      <c r="AU74" s="441"/>
      <c r="AV74" s="23"/>
      <c r="AW74" s="24"/>
      <c r="AX74" s="24"/>
      <c r="AY74" s="25"/>
      <c r="AZ74" s="451" t="str">
        <f t="shared" si="5"/>
        <v/>
      </c>
      <c r="BA74" s="107"/>
      <c r="BB74" s="107" t="str">
        <f t="shared" si="4"/>
        <v/>
      </c>
      <c r="BD74" s="441">
        <f>OBJ!B310</f>
        <v>9256861</v>
      </c>
      <c r="BE74" s="23" t="str">
        <f>VLOOKUP(BD74,CENY!$B$11:$G$1034,2,FALSE)</f>
        <v>QUADRO YOU PLNOVÝSUV 350 MM EB21 SILENT SYSTEM PRAVÝ</v>
      </c>
      <c r="BF74" s="24">
        <f>VLOOKUP(BD74,CENY!$B$11:$G$1034,3,FALSE)</f>
        <v>20</v>
      </c>
      <c r="BG74" s="24"/>
      <c r="BH74" s="25">
        <f>AY47</f>
        <v>0</v>
      </c>
      <c r="BI74" s="451">
        <f t="shared" si="6"/>
        <v>0</v>
      </c>
      <c r="BJ74" s="107">
        <f>VLOOKUP(BD74,CENY!$B$11:$M$2005,12,FALSE)</f>
        <v>176.43</v>
      </c>
      <c r="BK74" s="107">
        <f t="shared" si="7"/>
        <v>0</v>
      </c>
    </row>
    <row r="75" spans="47:63" ht="14.4" customHeight="1">
      <c r="AU75" s="441"/>
      <c r="AV75" s="23"/>
      <c r="AW75" s="24"/>
      <c r="AX75" s="24"/>
      <c r="AY75" s="25"/>
      <c r="AZ75" s="451" t="str">
        <f t="shared" si="5"/>
        <v/>
      </c>
      <c r="BA75" s="107"/>
      <c r="BB75" s="107" t="str">
        <f t="shared" si="4"/>
        <v/>
      </c>
      <c r="BD75" s="441">
        <f>OBJ!B311</f>
        <v>9256864</v>
      </c>
      <c r="BE75" s="23" t="str">
        <f>VLOOKUP(BD75,CENY!$B$11:$G$1034,2,FALSE)</f>
        <v>QUADRO YOU PLNOVÝSUV 400 MM EB21 SILENT SYSTEM LEVÝ</v>
      </c>
      <c r="BF75" s="24">
        <f>VLOOKUP(BD75,CENY!$B$11:$G$1034,3,FALSE)</f>
        <v>20</v>
      </c>
      <c r="BG75" s="24"/>
      <c r="BH75" s="25">
        <f>AY48</f>
        <v>0</v>
      </c>
      <c r="BI75" s="451">
        <f t="shared" si="6"/>
        <v>0</v>
      </c>
      <c r="BJ75" s="107">
        <f>VLOOKUP(BD75,CENY!$B$11:$M$2005,12,FALSE)</f>
        <v>180.17</v>
      </c>
      <c r="BK75" s="107">
        <f t="shared" si="7"/>
        <v>0</v>
      </c>
    </row>
    <row r="76" spans="47:63" ht="14.4" customHeight="1">
      <c r="AU76" s="441"/>
      <c r="AV76" s="23"/>
      <c r="AW76" s="24"/>
      <c r="AX76" s="24"/>
      <c r="AY76" s="25"/>
      <c r="AZ76" s="451" t="str">
        <f t="shared" si="5"/>
        <v/>
      </c>
      <c r="BA76" s="107"/>
      <c r="BB76" s="107" t="str">
        <f t="shared" si="4"/>
        <v/>
      </c>
      <c r="BD76" s="441">
        <f>OBJ!B312</f>
        <v>9256865</v>
      </c>
      <c r="BE76" s="23" t="str">
        <f>VLOOKUP(BD76,CENY!$B$11:$G$1034,2,FALSE)</f>
        <v>QUADRO YOU PLNOVÝSUV 400 MM EB21 SILENT SYSTEM PRAVÝ</v>
      </c>
      <c r="BF76" s="24">
        <f>VLOOKUP(BD76,CENY!$B$11:$G$1034,3,FALSE)</f>
        <v>20</v>
      </c>
      <c r="BG76" s="24"/>
      <c r="BH76" s="25">
        <f>AY48</f>
        <v>0</v>
      </c>
      <c r="BI76" s="451">
        <f t="shared" si="6"/>
        <v>0</v>
      </c>
      <c r="BJ76" s="107">
        <f>VLOOKUP(BD76,CENY!$B$11:$M$2005,12,FALSE)</f>
        <v>180.17</v>
      </c>
      <c r="BK76" s="107">
        <f t="shared" si="7"/>
        <v>0</v>
      </c>
    </row>
    <row r="77" spans="47:63" ht="14.4" customHeight="1">
      <c r="AU77" s="441"/>
      <c r="AV77" s="23"/>
      <c r="AW77" s="24"/>
      <c r="AX77" s="24"/>
      <c r="AY77" s="25"/>
      <c r="AZ77" s="451" t="str">
        <f t="shared" si="5"/>
        <v/>
      </c>
      <c r="BA77" s="107"/>
      <c r="BB77" s="107" t="str">
        <f t="shared" si="4"/>
        <v/>
      </c>
      <c r="BD77" s="441">
        <f>OBJ!B313</f>
        <v>9256868</v>
      </c>
      <c r="BE77" s="23" t="str">
        <f>VLOOKUP(BD77,CENY!$B$11:$G$1034,2,FALSE)</f>
        <v>QUADRO YOU PLNOVÝSUV 450 MM EB21 SILENT SYSTEM LEVÝ</v>
      </c>
      <c r="BF77" s="24">
        <f>VLOOKUP(BD77,CENY!$B$11:$G$1034,3,FALSE)</f>
        <v>20</v>
      </c>
      <c r="BG77" s="24"/>
      <c r="BH77" s="25">
        <f>AY49</f>
        <v>0</v>
      </c>
      <c r="BI77" s="451">
        <f t="shared" si="6"/>
        <v>0</v>
      </c>
      <c r="BJ77" s="107">
        <f>VLOOKUP(BD77,CENY!$B$11:$M$2005,12,FALSE)</f>
        <v>183.9</v>
      </c>
      <c r="BK77" s="107">
        <f t="shared" si="7"/>
        <v>0</v>
      </c>
    </row>
    <row r="78" spans="47:63" ht="14.4" customHeight="1">
      <c r="AU78" s="441"/>
      <c r="AV78" s="23"/>
      <c r="AW78" s="24"/>
      <c r="AX78" s="24"/>
      <c r="AY78" s="25"/>
      <c r="AZ78" s="451" t="str">
        <f t="shared" si="5"/>
        <v/>
      </c>
      <c r="BA78" s="107"/>
      <c r="BB78" s="107" t="str">
        <f t="shared" si="4"/>
        <v/>
      </c>
      <c r="BD78" s="441">
        <f>OBJ!B314</f>
        <v>9256869</v>
      </c>
      <c r="BE78" s="23" t="str">
        <f>VLOOKUP(BD78,CENY!$B$11:$G$1034,2,FALSE)</f>
        <v>QUADRO YOU PLNOVÝSUV 450 MM EB21 SILENT SYSTEM PRAVÝ</v>
      </c>
      <c r="BF78" s="24">
        <f>VLOOKUP(BD78,CENY!$B$11:$G$1034,3,FALSE)</f>
        <v>20</v>
      </c>
      <c r="BG78" s="24"/>
      <c r="BH78" s="25">
        <f>AY49</f>
        <v>0</v>
      </c>
      <c r="BI78" s="451">
        <f t="shared" si="6"/>
        <v>0</v>
      </c>
      <c r="BJ78" s="107">
        <f>VLOOKUP(BD78,CENY!$B$11:$M$2005,12,FALSE)</f>
        <v>183.9</v>
      </c>
      <c r="BK78" s="107">
        <f t="shared" si="7"/>
        <v>0</v>
      </c>
    </row>
    <row r="79" spans="47:63" ht="14.4" customHeight="1">
      <c r="AU79" s="441"/>
      <c r="AV79" s="23"/>
      <c r="AW79" s="24"/>
      <c r="AX79" s="24"/>
      <c r="AY79" s="25"/>
      <c r="AZ79" s="451" t="str">
        <f t="shared" si="5"/>
        <v/>
      </c>
      <c r="BA79" s="107"/>
      <c r="BB79" s="107" t="str">
        <f t="shared" si="4"/>
        <v/>
      </c>
      <c r="BD79" s="441">
        <f>OBJ!B315</f>
        <v>9256872</v>
      </c>
      <c r="BE79" s="23" t="str">
        <f>VLOOKUP(BD79,CENY!$B$11:$G$1034,2,FALSE)</f>
        <v>QUADRO YOU PLNOVÝSUV 500 MM EB21 SILENT SYSTEM LEVÝ</v>
      </c>
      <c r="BF79" s="24">
        <f>VLOOKUP(BD79,CENY!$B$11:$G$1034,3,FALSE)</f>
        <v>20</v>
      </c>
      <c r="BG79" s="24"/>
      <c r="BH79" s="25">
        <f>AY50</f>
        <v>0</v>
      </c>
      <c r="BI79" s="451">
        <f t="shared" si="6"/>
        <v>0</v>
      </c>
      <c r="BJ79" s="107">
        <f>VLOOKUP(BD79,CENY!$B$11:$M$2005,12,FALSE)</f>
        <v>187.64</v>
      </c>
      <c r="BK79" s="107">
        <f t="shared" si="7"/>
        <v>0</v>
      </c>
    </row>
    <row r="80" spans="47:63" ht="14.4" customHeight="1">
      <c r="AU80" s="441"/>
      <c r="AV80" s="23"/>
      <c r="AW80" s="24"/>
      <c r="AX80" s="24"/>
      <c r="AY80" s="25"/>
      <c r="AZ80" s="451" t="str">
        <f t="shared" si="5"/>
        <v/>
      </c>
      <c r="BA80" s="107"/>
      <c r="BB80" s="107" t="str">
        <f t="shared" si="4"/>
        <v/>
      </c>
      <c r="BD80" s="441">
        <f>OBJ!B316</f>
        <v>9256873</v>
      </c>
      <c r="BE80" s="23" t="str">
        <f>VLOOKUP(BD80,CENY!$B$11:$G$1034,2,FALSE)</f>
        <v>QUADRO YOU PLNOVÝSUV 500 MM EB21 SILENT SYSTEM PRAVÝ</v>
      </c>
      <c r="BF80" s="24">
        <f>VLOOKUP(BD80,CENY!$B$11:$G$1034,3,FALSE)</f>
        <v>20</v>
      </c>
      <c r="BG80" s="24"/>
      <c r="BH80" s="25">
        <f>AY50</f>
        <v>0</v>
      </c>
      <c r="BI80" s="451">
        <f t="shared" si="6"/>
        <v>0</v>
      </c>
      <c r="BJ80" s="107">
        <f>VLOOKUP(BD80,CENY!$B$11:$M$2005,12,FALSE)</f>
        <v>187.64</v>
      </c>
      <c r="BK80" s="107">
        <f t="shared" si="7"/>
        <v>0</v>
      </c>
    </row>
    <row r="81" spans="47:63" ht="14.4" customHeight="1">
      <c r="AU81" s="441"/>
      <c r="AV81" s="23"/>
      <c r="AW81" s="24"/>
      <c r="AX81" s="24"/>
      <c r="AY81" s="25"/>
      <c r="AZ81" s="451" t="str">
        <f t="shared" si="5"/>
        <v/>
      </c>
      <c r="BA81" s="107"/>
      <c r="BB81" s="107" t="str">
        <f t="shared" si="4"/>
        <v/>
      </c>
      <c r="BD81" s="441">
        <f>OBJ!B317</f>
        <v>9256876</v>
      </c>
      <c r="BE81" s="23" t="str">
        <f>VLOOKUP(BD81,CENY!$B$11:$G$1034,2,FALSE)</f>
        <v>QUADRO YOU PLNOVÝSUV 550 MM EB21 SILENT SYSTEM LEVÝ</v>
      </c>
      <c r="BF81" s="24">
        <f>VLOOKUP(BD81,CENY!$B$11:$G$1034,3,FALSE)</f>
        <v>20</v>
      </c>
      <c r="BG81" s="24"/>
      <c r="BH81" s="25">
        <f>AY51</f>
        <v>0</v>
      </c>
      <c r="BI81" s="451">
        <f t="shared" si="6"/>
        <v>0</v>
      </c>
      <c r="BJ81" s="107">
        <f>VLOOKUP(BD81,CENY!$B$11:$M$2005,12,FALSE)</f>
        <v>194.36</v>
      </c>
      <c r="BK81" s="107">
        <f t="shared" si="7"/>
        <v>0</v>
      </c>
    </row>
    <row r="82" spans="47:63" ht="14.4" customHeight="1">
      <c r="AU82" s="441"/>
      <c r="AV82" s="23"/>
      <c r="AW82" s="24"/>
      <c r="AX82" s="24"/>
      <c r="AY82" s="25"/>
      <c r="AZ82" s="451" t="str">
        <f t="shared" si="5"/>
        <v/>
      </c>
      <c r="BA82" s="107"/>
      <c r="BB82" s="107" t="str">
        <f t="shared" si="4"/>
        <v/>
      </c>
      <c r="BD82" s="441">
        <f>OBJ!B318</f>
        <v>9256877</v>
      </c>
      <c r="BE82" s="23" t="str">
        <f>VLOOKUP(BD82,CENY!$B$11:$G$1034,2,FALSE)</f>
        <v>QUADRO YOU PLNOVÝSUV 550 MM EB21 SILENT SYSTEM PRAVÝ</v>
      </c>
      <c r="BF82" s="24">
        <f>VLOOKUP(BD82,CENY!$B$11:$G$1034,3,FALSE)</f>
        <v>20</v>
      </c>
      <c r="BG82" s="24"/>
      <c r="BH82" s="25">
        <f>AY51</f>
        <v>0</v>
      </c>
      <c r="BI82" s="451">
        <f t="shared" si="6"/>
        <v>0</v>
      </c>
      <c r="BJ82" s="107">
        <f>VLOOKUP(BD82,CENY!$B$11:$M$2005,12,FALSE)</f>
        <v>194.36</v>
      </c>
      <c r="BK82" s="107">
        <f t="shared" si="7"/>
        <v>0</v>
      </c>
    </row>
    <row r="83" spans="47:63" ht="14.4" customHeight="1">
      <c r="AU83" s="441"/>
      <c r="AV83" s="23"/>
      <c r="AW83" s="24"/>
      <c r="AX83" s="24"/>
      <c r="AY83" s="25"/>
      <c r="AZ83" s="451" t="str">
        <f t="shared" si="5"/>
        <v/>
      </c>
      <c r="BA83" s="107"/>
      <c r="BB83" s="107" t="str">
        <f t="shared" si="4"/>
        <v/>
      </c>
      <c r="BD83" s="441">
        <f>OBJ!B319</f>
        <v>9256880</v>
      </c>
      <c r="BE83" s="23" t="str">
        <f>VLOOKUP(BD83,CENY!$B$11:$G$1034,2,FALSE)</f>
        <v>QUADRO YOU PLNOVÝSUV 600 MM EB21 SILENT SYSTEM LEVÝ</v>
      </c>
      <c r="BF83" s="24">
        <f>VLOOKUP(BD83,CENY!$B$11:$G$1034,3,FALSE)</f>
        <v>20</v>
      </c>
      <c r="BG83" s="24"/>
      <c r="BH83" s="25">
        <f>AY52</f>
        <v>0</v>
      </c>
      <c r="BI83" s="451">
        <f t="shared" si="6"/>
        <v>0</v>
      </c>
      <c r="BJ83" s="107">
        <f>VLOOKUP(BD83,CENY!$B$11:$M$2005,12,FALSE)</f>
        <v>198.1</v>
      </c>
      <c r="BK83" s="107">
        <f t="shared" si="7"/>
        <v>0</v>
      </c>
    </row>
    <row r="84" spans="47:63" ht="14.4" customHeight="1">
      <c r="AU84" s="441"/>
      <c r="AV84" s="23"/>
      <c r="AW84" s="24"/>
      <c r="AX84" s="24"/>
      <c r="AY84" s="25"/>
      <c r="AZ84" s="451" t="str">
        <f t="shared" si="5"/>
        <v/>
      </c>
      <c r="BA84" s="107"/>
      <c r="BB84" s="107" t="str">
        <f t="shared" si="4"/>
        <v/>
      </c>
      <c r="BD84" s="441">
        <f>OBJ!B320</f>
        <v>9256881</v>
      </c>
      <c r="BE84" s="23" t="str">
        <f>VLOOKUP(BD84,CENY!$B$11:$G$1034,2,FALSE)</f>
        <v>QUADRO YOU PLNOVÝSUV 600 MM EB21 SILENT SYSTEM PRAVÝ</v>
      </c>
      <c r="BF84" s="24">
        <f>VLOOKUP(BD84,CENY!$B$11:$G$1034,3,FALSE)</f>
        <v>20</v>
      </c>
      <c r="BG84" s="24"/>
      <c r="BH84" s="25">
        <f>AY52</f>
        <v>0</v>
      </c>
      <c r="BI84" s="451">
        <f t="shared" si="6"/>
        <v>0</v>
      </c>
      <c r="BJ84" s="107">
        <f>VLOOKUP(BD84,CENY!$B$11:$M$2005,12,FALSE)</f>
        <v>198.1</v>
      </c>
      <c r="BK84" s="107">
        <f t="shared" si="7"/>
        <v>0</v>
      </c>
    </row>
    <row r="85" spans="47:63" ht="14.4" customHeight="1">
      <c r="AU85" s="441"/>
      <c r="AV85" s="23"/>
      <c r="AW85" s="24"/>
      <c r="AX85" s="24"/>
      <c r="AY85" s="25"/>
      <c r="AZ85" s="451" t="str">
        <f t="shared" si="5"/>
        <v/>
      </c>
      <c r="BA85" s="107"/>
      <c r="BB85" s="107" t="str">
        <f t="shared" si="4"/>
        <v/>
      </c>
      <c r="BD85" s="441"/>
      <c r="BE85" s="23"/>
      <c r="BF85" s="24"/>
      <c r="BG85" s="24"/>
      <c r="BH85" s="25"/>
      <c r="BI85" s="451" t="str">
        <f t="shared" si="6"/>
        <v/>
      </c>
      <c r="BJ85" s="107"/>
      <c r="BK85" s="107" t="str">
        <f t="shared" si="7"/>
        <v/>
      </c>
    </row>
    <row r="86" spans="47:63" ht="14.4" customHeight="1">
      <c r="AU86" s="441"/>
      <c r="AV86" s="23"/>
      <c r="AW86" s="24"/>
      <c r="AX86" s="24"/>
      <c r="AY86" s="25"/>
      <c r="AZ86" s="451" t="str">
        <f t="shared" si="5"/>
        <v/>
      </c>
      <c r="BA86" s="107"/>
      <c r="BB86" s="107" t="str">
        <f t="shared" si="4"/>
        <v/>
      </c>
      <c r="BD86" s="441">
        <f>OBJ!B322</f>
        <v>9257894</v>
      </c>
      <c r="BE86" s="23" t="str">
        <f>VLOOKUP(BD86,CENY!$B$11:$G$1034,2,FALSE)</f>
        <v>PUSH TO OPEN SILENT QUADRO YOU 10 KG</v>
      </c>
      <c r="BF86" s="24">
        <f>VLOOKUP(BD86,CENY!$B$11:$G$1034,3,FALSE)</f>
        <v>1</v>
      </c>
      <c r="BG86" s="24"/>
      <c r="BH86" s="25">
        <f>AY54</f>
        <v>0</v>
      </c>
      <c r="BI86" s="451">
        <f t="shared" si="6"/>
        <v>0</v>
      </c>
      <c r="BJ86" s="107">
        <f>VLOOKUP(BD86,CENY!$B$11:$M$2005,12,FALSE)</f>
        <v>544.37</v>
      </c>
      <c r="BK86" s="107">
        <f t="shared" si="7"/>
        <v>0</v>
      </c>
    </row>
    <row r="87" spans="47:63" ht="14.4" customHeight="1">
      <c r="AU87" s="441"/>
      <c r="AV87" s="23"/>
      <c r="AW87" s="24"/>
      <c r="AX87" s="24"/>
      <c r="AY87" s="25"/>
      <c r="AZ87" s="451" t="str">
        <f t="shared" si="5"/>
        <v/>
      </c>
      <c r="BA87" s="107"/>
      <c r="BB87" s="107" t="str">
        <f t="shared" si="4"/>
        <v/>
      </c>
      <c r="BD87" s="441">
        <f>OBJ!B323</f>
        <v>9257895</v>
      </c>
      <c r="BE87" s="23" t="str">
        <f>VLOOKUP(BD87,CENY!$B$11:$G$1034,2,FALSE)</f>
        <v>PUSH TO OPEN SILENT QUADRO YOU 20 KG</v>
      </c>
      <c r="BF87" s="24">
        <f>VLOOKUP(BD87,CENY!$B$11:$G$1034,3,FALSE)</f>
        <v>1</v>
      </c>
      <c r="BG87" s="24"/>
      <c r="BH87" s="25">
        <f>AY55</f>
        <v>0</v>
      </c>
      <c r="BI87" s="451">
        <f t="shared" si="6"/>
        <v>0</v>
      </c>
      <c r="BJ87" s="107">
        <f>VLOOKUP(BD87,CENY!$B$11:$M$2005,12,FALSE)</f>
        <v>544.37</v>
      </c>
      <c r="BK87" s="107">
        <f t="shared" si="7"/>
        <v>0</v>
      </c>
    </row>
    <row r="88" spans="47:63" ht="14.4" customHeight="1">
      <c r="AU88" s="22"/>
      <c r="AV88" s="23"/>
      <c r="AW88" s="24"/>
      <c r="AX88" s="24"/>
      <c r="AY88" s="25"/>
      <c r="AZ88" s="451" t="str">
        <f t="shared" si="5"/>
        <v/>
      </c>
      <c r="BA88" s="107"/>
      <c r="BB88" s="107" t="str">
        <f t="shared" si="4"/>
        <v/>
      </c>
      <c r="BD88" s="441">
        <f>OBJ!B324</f>
        <v>9257896</v>
      </c>
      <c r="BE88" s="23" t="str">
        <f>VLOOKUP(BD88,CENY!$B$11:$G$1034,2,FALSE)</f>
        <v>PUSH TO OPEN SILENT QUADRO YOU 30 KG</v>
      </c>
      <c r="BF88" s="24">
        <f>VLOOKUP(BD88,CENY!$B$11:$G$1034,3,FALSE)</f>
        <v>1</v>
      </c>
      <c r="BG88" s="24"/>
      <c r="BH88" s="25">
        <f>AY56</f>
        <v>0</v>
      </c>
      <c r="BI88" s="451">
        <f t="shared" si="6"/>
        <v>0</v>
      </c>
      <c r="BJ88" s="107">
        <f>VLOOKUP(BD88,CENY!$B$11:$M$2005,12,FALSE)</f>
        <v>544.37</v>
      </c>
      <c r="BK88" s="107">
        <f t="shared" si="7"/>
        <v>0</v>
      </c>
    </row>
    <row r="89" spans="47:63" ht="14.4" customHeight="1">
      <c r="AU89" s="22"/>
      <c r="AV89" s="23"/>
      <c r="AW89" s="24"/>
      <c r="AX89" s="24"/>
      <c r="AY89" s="25"/>
      <c r="AZ89" s="451" t="str">
        <f t="shared" si="5"/>
        <v/>
      </c>
      <c r="BA89" s="107"/>
      <c r="BB89" s="107" t="str">
        <f t="shared" si="4"/>
        <v/>
      </c>
      <c r="BD89" s="441"/>
      <c r="BE89" s="23"/>
      <c r="BF89" s="24"/>
      <c r="BG89" s="24"/>
      <c r="BH89" s="25"/>
      <c r="BI89" s="451" t="str">
        <f t="shared" si="6"/>
        <v/>
      </c>
      <c r="BJ89" s="107"/>
      <c r="BK89" s="107" t="str">
        <f t="shared" si="7"/>
        <v/>
      </c>
    </row>
    <row r="90" spans="47:63" ht="14.4" customHeight="1">
      <c r="AU90" s="22"/>
      <c r="AV90" s="23"/>
      <c r="AW90" s="24"/>
      <c r="AX90" s="24"/>
      <c r="AY90" s="25"/>
      <c r="AZ90" s="451" t="str">
        <f t="shared" si="5"/>
        <v/>
      </c>
      <c r="BA90" s="107"/>
      <c r="BB90" s="107" t="str">
        <f t="shared" si="4"/>
        <v/>
      </c>
      <c r="BD90" s="441">
        <f>OBJ!B336</f>
        <v>9256901</v>
      </c>
      <c r="BE90" s="23" t="str">
        <f>VLOOKUP(BD90,CENY!$B$11:$G$1034,2,FALSE)</f>
        <v>QUADRO YOU PLNOVÝSUV 300 MM EB21 PUSH TO OPEN LEVÝ</v>
      </c>
      <c r="BF90" s="24">
        <f>VLOOKUP(BD90,CENY!$B$11:$G$1034,3,FALSE)</f>
        <v>20</v>
      </c>
      <c r="BG90" s="24"/>
      <c r="BH90" s="25">
        <f>AY58</f>
        <v>0</v>
      </c>
      <c r="BI90" s="451">
        <f t="shared" si="6"/>
        <v>0</v>
      </c>
      <c r="BJ90" s="107">
        <f>VLOOKUP(BD90,CENY!$B$11:$M$2005,12,FALSE)</f>
        <v>195.11</v>
      </c>
      <c r="BK90" s="107">
        <f t="shared" si="7"/>
        <v>0</v>
      </c>
    </row>
    <row r="91" spans="47:63" ht="14.4" customHeight="1">
      <c r="AU91" s="22"/>
      <c r="AV91" s="23"/>
      <c r="AW91" s="24"/>
      <c r="AX91" s="24"/>
      <c r="AY91" s="25"/>
      <c r="AZ91" s="451" t="str">
        <f t="shared" si="5"/>
        <v/>
      </c>
      <c r="BA91" s="107"/>
      <c r="BB91" s="107" t="str">
        <f t="shared" si="4"/>
        <v/>
      </c>
      <c r="BD91" s="441">
        <f>OBJ!B337</f>
        <v>9256902</v>
      </c>
      <c r="BE91" s="23" t="str">
        <f>VLOOKUP(BD91,CENY!$B$11:$G$1034,2,FALSE)</f>
        <v>QUADRO YOU PLNOVÝSUV 300 MM EB21 PUSH TO OPEN PRAVÝ</v>
      </c>
      <c r="BF91" s="24">
        <f>VLOOKUP(BD91,CENY!$B$11:$G$1034,3,FALSE)</f>
        <v>20</v>
      </c>
      <c r="BG91" s="24"/>
      <c r="BH91" s="25">
        <f>AY58</f>
        <v>0</v>
      </c>
      <c r="BI91" s="451">
        <f t="shared" si="6"/>
        <v>0</v>
      </c>
      <c r="BJ91" s="107">
        <f>VLOOKUP(BD91,CENY!$B$11:$M$2005,12,FALSE)</f>
        <v>195.11</v>
      </c>
      <c r="BK91" s="107">
        <f t="shared" si="7"/>
        <v>0</v>
      </c>
    </row>
    <row r="92" spans="47:63" ht="14.4" customHeight="1">
      <c r="AU92" s="22"/>
      <c r="AV92" s="23"/>
      <c r="AW92" s="24"/>
      <c r="AX92" s="24"/>
      <c r="AY92" s="25"/>
      <c r="AZ92" s="451" t="str">
        <f t="shared" si="5"/>
        <v/>
      </c>
      <c r="BA92" s="107"/>
      <c r="BB92" s="107" t="str">
        <f t="shared" si="4"/>
        <v/>
      </c>
      <c r="BD92" s="441">
        <f>OBJ!B338</f>
        <v>9256905</v>
      </c>
      <c r="BE92" s="23" t="str">
        <f>VLOOKUP(BD92,CENY!$B$11:$G$1034,2,FALSE)</f>
        <v>QUADRO YOU PLNOVÝSUV 350 MM EB21 PUSH TO OPEN LEVÝ</v>
      </c>
      <c r="BF92" s="24">
        <f>VLOOKUP(BD92,CENY!$B$11:$G$1034,3,FALSE)</f>
        <v>20</v>
      </c>
      <c r="BG92" s="24"/>
      <c r="BH92" s="25">
        <f>AY59</f>
        <v>0</v>
      </c>
      <c r="BI92" s="451">
        <f t="shared" si="6"/>
        <v>0</v>
      </c>
      <c r="BJ92" s="107">
        <f>VLOOKUP(BD92,CENY!$B$11:$M$2005,12,FALSE)</f>
        <v>198.85</v>
      </c>
      <c r="BK92" s="107">
        <f t="shared" si="7"/>
        <v>0</v>
      </c>
    </row>
    <row r="93" spans="47:63" ht="14.4" customHeight="1">
      <c r="AU93" s="22"/>
      <c r="AV93" s="23"/>
      <c r="AW93" s="24"/>
      <c r="AX93" s="24"/>
      <c r="AY93" s="25"/>
      <c r="AZ93" s="451" t="str">
        <f t="shared" si="5"/>
        <v/>
      </c>
      <c r="BA93" s="107"/>
      <c r="BB93" s="107" t="str">
        <f t="shared" si="4"/>
        <v/>
      </c>
      <c r="BD93" s="441">
        <f>OBJ!B339</f>
        <v>9256906</v>
      </c>
      <c r="BE93" s="23" t="str">
        <f>VLOOKUP(BD93,CENY!$B$11:$G$1034,2,FALSE)</f>
        <v>QUADRO YOU PLNOVÝSUV 350 MM EB21 PUSH TO OPEN PRAVÝ</v>
      </c>
      <c r="BF93" s="24">
        <f>VLOOKUP(BD93,CENY!$B$11:$G$1034,3,FALSE)</f>
        <v>20</v>
      </c>
      <c r="BG93" s="24"/>
      <c r="BH93" s="25">
        <f>AY59</f>
        <v>0</v>
      </c>
      <c r="BI93" s="451">
        <f t="shared" si="6"/>
        <v>0</v>
      </c>
      <c r="BJ93" s="107">
        <f>VLOOKUP(BD93,CENY!$B$11:$M$2005,12,FALSE)</f>
        <v>198.85</v>
      </c>
      <c r="BK93" s="107">
        <f t="shared" si="7"/>
        <v>0</v>
      </c>
    </row>
    <row r="94" spans="47:63" ht="14.4" customHeight="1">
      <c r="AU94" s="22"/>
      <c r="AV94" s="23"/>
      <c r="AW94" s="24"/>
      <c r="AX94" s="24"/>
      <c r="AY94" s="25"/>
      <c r="AZ94" s="451" t="str">
        <f t="shared" si="5"/>
        <v/>
      </c>
      <c r="BA94" s="107"/>
      <c r="BB94" s="107" t="str">
        <f t="shared" si="4"/>
        <v/>
      </c>
      <c r="BD94" s="441">
        <f>OBJ!B340</f>
        <v>9256909</v>
      </c>
      <c r="BE94" s="23" t="str">
        <f>VLOOKUP(BD94,CENY!$B$11:$G$1034,2,FALSE)</f>
        <v>QUADRO YOU PLNOVÝSUV 400 MM EB21 PUSH TO OPEN LEVÝ</v>
      </c>
      <c r="BF94" s="24">
        <f>VLOOKUP(BD94,CENY!$B$11:$G$1034,3,FALSE)</f>
        <v>20</v>
      </c>
      <c r="BG94" s="24"/>
      <c r="BH94" s="25">
        <f>AY60</f>
        <v>0</v>
      </c>
      <c r="BI94" s="451">
        <f t="shared" si="6"/>
        <v>0</v>
      </c>
      <c r="BJ94" s="107">
        <f>VLOOKUP(BD94,CENY!$B$11:$M$2005,12,FALSE)</f>
        <v>202.58</v>
      </c>
      <c r="BK94" s="107">
        <f t="shared" si="7"/>
        <v>0</v>
      </c>
    </row>
    <row r="95" spans="47:63" ht="14.4" customHeight="1">
      <c r="AU95" s="22"/>
      <c r="AV95" s="23"/>
      <c r="AW95" s="24"/>
      <c r="AX95" s="24"/>
      <c r="AY95" s="25"/>
      <c r="AZ95" s="451" t="str">
        <f t="shared" si="5"/>
        <v/>
      </c>
      <c r="BA95" s="107"/>
      <c r="BB95" s="107" t="str">
        <f t="shared" si="4"/>
        <v/>
      </c>
      <c r="BD95" s="441">
        <f>OBJ!B341</f>
        <v>9256910</v>
      </c>
      <c r="BE95" s="23" t="str">
        <f>VLOOKUP(BD95,CENY!$B$11:$G$1034,2,FALSE)</f>
        <v>QUADRO YOU PLNOVÝSUV 400 MM EB21 PUSH TO OPEN PRAVÝ</v>
      </c>
      <c r="BF95" s="24">
        <f>VLOOKUP(BD95,CENY!$B$11:$G$1034,3,FALSE)</f>
        <v>20</v>
      </c>
      <c r="BG95" s="24"/>
      <c r="BH95" s="25">
        <f>AY60</f>
        <v>0</v>
      </c>
      <c r="BI95" s="451">
        <f t="shared" si="6"/>
        <v>0</v>
      </c>
      <c r="BJ95" s="107">
        <f>VLOOKUP(BD95,CENY!$B$11:$M$2005,12,FALSE)</f>
        <v>202.58</v>
      </c>
      <c r="BK95" s="107">
        <f t="shared" si="7"/>
        <v>0</v>
      </c>
    </row>
    <row r="96" spans="47:63" ht="14.4" customHeight="1">
      <c r="AU96" s="22"/>
      <c r="AV96" s="23"/>
      <c r="AW96" s="24"/>
      <c r="AX96" s="24"/>
      <c r="AY96" s="25"/>
      <c r="AZ96" s="451" t="str">
        <f t="shared" si="5"/>
        <v/>
      </c>
      <c r="BA96" s="107"/>
      <c r="BB96" s="107" t="str">
        <f t="shared" si="4"/>
        <v/>
      </c>
      <c r="BD96" s="441">
        <f>OBJ!B342</f>
        <v>9256913</v>
      </c>
      <c r="BE96" s="23" t="str">
        <f>VLOOKUP(BD96,CENY!$B$11:$G$1034,2,FALSE)</f>
        <v>QUADRO YOU PLNOVÝSUV 450 MM EB21 PUSH TO OPEN LEVÝ</v>
      </c>
      <c r="BF96" s="24">
        <f>VLOOKUP(BD96,CENY!$B$11:$G$1034,3,FALSE)</f>
        <v>20</v>
      </c>
      <c r="BG96" s="24"/>
      <c r="BH96" s="25">
        <f>AY61</f>
        <v>0</v>
      </c>
      <c r="BI96" s="451">
        <f t="shared" si="6"/>
        <v>0</v>
      </c>
      <c r="BJ96" s="107">
        <f>VLOOKUP(BD96,CENY!$B$11:$M$2005,12,FALSE)</f>
        <v>206.32</v>
      </c>
      <c r="BK96" s="107">
        <f t="shared" si="7"/>
        <v>0</v>
      </c>
    </row>
    <row r="97" spans="47:63" ht="14.4" customHeight="1">
      <c r="AU97" s="22"/>
      <c r="AV97" s="23"/>
      <c r="AW97" s="24"/>
      <c r="AX97" s="24"/>
      <c r="AY97" s="25"/>
      <c r="AZ97" s="451" t="str">
        <f t="shared" si="5"/>
        <v/>
      </c>
      <c r="BA97" s="107"/>
      <c r="BB97" s="107" t="str">
        <f t="shared" si="4"/>
        <v/>
      </c>
      <c r="BD97" s="441">
        <f>OBJ!B343</f>
        <v>9256914</v>
      </c>
      <c r="BE97" s="23" t="str">
        <f>VLOOKUP(BD97,CENY!$B$11:$G$1034,2,FALSE)</f>
        <v>QUADRO YOU PLNOVÝSUV 450 MM EB21 PUSH TO OPEN PRAVÝ</v>
      </c>
      <c r="BF97" s="24">
        <f>VLOOKUP(BD97,CENY!$B$11:$G$1034,3,FALSE)</f>
        <v>20</v>
      </c>
      <c r="BG97" s="24"/>
      <c r="BH97" s="25">
        <f>AY61</f>
        <v>0</v>
      </c>
      <c r="BI97" s="451">
        <f t="shared" si="6"/>
        <v>0</v>
      </c>
      <c r="BJ97" s="107">
        <f>VLOOKUP(BD97,CENY!$B$11:$M$2005,12,FALSE)</f>
        <v>206.32</v>
      </c>
      <c r="BK97" s="107">
        <f t="shared" si="7"/>
        <v>0</v>
      </c>
    </row>
    <row r="98" spans="47:63" ht="14.4" customHeight="1">
      <c r="AU98" s="22"/>
      <c r="AV98" s="23"/>
      <c r="AW98" s="24"/>
      <c r="AX98" s="24"/>
      <c r="AY98" s="25"/>
      <c r="AZ98" s="451" t="str">
        <f t="shared" si="5"/>
        <v/>
      </c>
      <c r="BA98" s="107"/>
      <c r="BB98" s="107" t="str">
        <f t="shared" si="4"/>
        <v/>
      </c>
      <c r="BD98" s="441">
        <f>OBJ!B344</f>
        <v>9256917</v>
      </c>
      <c r="BE98" s="23" t="str">
        <f>VLOOKUP(BD98,CENY!$B$11:$G$1034,2,FALSE)</f>
        <v>QUADRO YOU PLNOVÝSUV 500 MM EB21 PUSH TO OPEN LEVÝ</v>
      </c>
      <c r="BF98" s="24">
        <f>VLOOKUP(BD98,CENY!$B$11:$G$1034,3,FALSE)</f>
        <v>20</v>
      </c>
      <c r="BG98" s="24"/>
      <c r="BH98" s="25">
        <f>AY62</f>
        <v>0</v>
      </c>
      <c r="BI98" s="451">
        <f t="shared" si="6"/>
        <v>0</v>
      </c>
      <c r="BJ98" s="107">
        <f>VLOOKUP(BD98,CENY!$B$11:$M$2005,12,FALSE)</f>
        <v>210.06</v>
      </c>
      <c r="BK98" s="107">
        <f t="shared" si="7"/>
        <v>0</v>
      </c>
    </row>
    <row r="99" spans="47:63" ht="14.4" customHeight="1">
      <c r="AU99" s="22"/>
      <c r="AV99" s="23"/>
      <c r="AW99" s="24"/>
      <c r="AX99" s="24"/>
      <c r="AY99" s="25"/>
      <c r="AZ99" s="451" t="str">
        <f t="shared" si="5"/>
        <v/>
      </c>
      <c r="BA99" s="107"/>
      <c r="BB99" s="107" t="str">
        <f t="shared" si="4"/>
        <v/>
      </c>
      <c r="BD99" s="441">
        <f>OBJ!B345</f>
        <v>9256918</v>
      </c>
      <c r="BE99" s="23" t="str">
        <f>VLOOKUP(BD99,CENY!$B$11:$G$1034,2,FALSE)</f>
        <v>QUADRO YOU PLNOVÝSUV 500 MM EB21 PUSH TO OPEN PRAVÝ</v>
      </c>
      <c r="BF99" s="24">
        <f>VLOOKUP(BD99,CENY!$B$11:$G$1034,3,FALSE)</f>
        <v>20</v>
      </c>
      <c r="BG99" s="24"/>
      <c r="BH99" s="25">
        <f>AY62</f>
        <v>0</v>
      </c>
      <c r="BI99" s="451">
        <f t="shared" si="6"/>
        <v>0</v>
      </c>
      <c r="BJ99" s="107">
        <f>VLOOKUP(BD99,CENY!$B$11:$M$2005,12,FALSE)</f>
        <v>210.06</v>
      </c>
      <c r="BK99" s="107">
        <f t="shared" si="7"/>
        <v>0</v>
      </c>
    </row>
    <row r="100" spans="47:63" ht="14.4" customHeight="1">
      <c r="AU100" s="22"/>
      <c r="AV100" s="23"/>
      <c r="AW100" s="24"/>
      <c r="AX100" s="24"/>
      <c r="AY100" s="25"/>
      <c r="AZ100" s="451" t="str">
        <f t="shared" si="5"/>
        <v/>
      </c>
      <c r="BA100" s="107"/>
      <c r="BB100" s="107" t="str">
        <f t="shared" si="4"/>
        <v/>
      </c>
      <c r="BD100" s="441">
        <f>OBJ!B346</f>
        <v>9256921</v>
      </c>
      <c r="BE100" s="23" t="str">
        <f>VLOOKUP(BD100,CENY!$B$11:$G$1034,2,FALSE)</f>
        <v>QUADRO YOU PLNOVÝSUV 550 MM EB21 PUSH TO OPEN LEVÝ</v>
      </c>
      <c r="BF100" s="24">
        <f>VLOOKUP(BD100,CENY!$B$11:$G$1034,3,FALSE)</f>
        <v>20</v>
      </c>
      <c r="BG100" s="24"/>
      <c r="BH100" s="25">
        <f>AY63</f>
        <v>0</v>
      </c>
      <c r="BI100" s="451">
        <f t="shared" si="6"/>
        <v>0</v>
      </c>
      <c r="BJ100" s="107">
        <f>VLOOKUP(BD100,CENY!$B$11:$M$2005,12,FALSE)</f>
        <v>216.78</v>
      </c>
      <c r="BK100" s="107">
        <f t="shared" si="7"/>
        <v>0</v>
      </c>
    </row>
    <row r="101" spans="47:63">
      <c r="AU101" s="22"/>
      <c r="AV101" s="23"/>
      <c r="AW101" s="24"/>
      <c r="AX101" s="24"/>
      <c r="AY101" s="25"/>
      <c r="AZ101" s="451" t="str">
        <f t="shared" si="5"/>
        <v/>
      </c>
      <c r="BA101" s="107"/>
      <c r="BB101" s="107" t="str">
        <f t="shared" si="4"/>
        <v/>
      </c>
      <c r="BD101" s="441">
        <f>OBJ!B347</f>
        <v>9256922</v>
      </c>
      <c r="BE101" s="23" t="str">
        <f>VLOOKUP(BD101,CENY!$B$11:$G$1034,2,FALSE)</f>
        <v>QUADRO YOU PLNOVÝSUV 550 MM EB21 PUSH TO OPEN PRAVÝ</v>
      </c>
      <c r="BF101" s="24">
        <f>VLOOKUP(BD101,CENY!$B$11:$G$1034,3,FALSE)</f>
        <v>20</v>
      </c>
      <c r="BG101" s="24"/>
      <c r="BH101" s="25">
        <f>AY63</f>
        <v>0</v>
      </c>
      <c r="BI101" s="451">
        <f t="shared" si="6"/>
        <v>0</v>
      </c>
      <c r="BJ101" s="107">
        <f>VLOOKUP(BD101,CENY!$B$11:$M$2005,12,FALSE)</f>
        <v>216.78</v>
      </c>
      <c r="BK101" s="107">
        <f t="shared" si="7"/>
        <v>0</v>
      </c>
    </row>
    <row r="102" spans="47:63">
      <c r="AU102" s="22"/>
      <c r="AV102" s="23"/>
      <c r="AW102" s="24"/>
      <c r="AX102" s="24"/>
      <c r="AY102" s="25"/>
      <c r="AZ102" s="451" t="str">
        <f t="shared" si="5"/>
        <v/>
      </c>
      <c r="BA102" s="107"/>
      <c r="BB102" s="107" t="str">
        <f t="shared" si="4"/>
        <v/>
      </c>
      <c r="BD102" s="441">
        <f>OBJ!B348</f>
        <v>9256925</v>
      </c>
      <c r="BE102" s="23" t="str">
        <f>VLOOKUP(BD102,CENY!$B$11:$G$1034,2,FALSE)</f>
        <v>QUADRO YOU PLNOVÝSUV 600 MM EB21 PUSH TO OPEN LEVÝ</v>
      </c>
      <c r="BF102" s="24">
        <f>VLOOKUP(BD102,CENY!$B$11:$G$1034,3,FALSE)</f>
        <v>20</v>
      </c>
      <c r="BG102" s="24"/>
      <c r="BH102" s="25">
        <f>AY64</f>
        <v>0</v>
      </c>
      <c r="BI102" s="451">
        <f t="shared" si="6"/>
        <v>0</v>
      </c>
      <c r="BJ102" s="107">
        <f>VLOOKUP(BD102,CENY!$B$11:$M$2005,12,FALSE)</f>
        <v>223.51</v>
      </c>
      <c r="BK102" s="107">
        <f t="shared" si="7"/>
        <v>0</v>
      </c>
    </row>
    <row r="103" spans="47:63">
      <c r="AU103" s="22"/>
      <c r="AV103" s="23"/>
      <c r="AW103" s="24"/>
      <c r="AX103" s="24"/>
      <c r="AY103" s="25"/>
      <c r="AZ103" s="451" t="str">
        <f t="shared" si="5"/>
        <v/>
      </c>
      <c r="BA103" s="107"/>
      <c r="BB103" s="107" t="str">
        <f t="shared" si="4"/>
        <v/>
      </c>
      <c r="BD103" s="441">
        <f>OBJ!B349</f>
        <v>9256926</v>
      </c>
      <c r="BE103" s="23" t="str">
        <f>VLOOKUP(BD103,CENY!$B$11:$G$1034,2,FALSE)</f>
        <v>QUADRO YOU PLNOVÝSUV 600 MM EB21 PUSH TO OPEN PRAVÝ</v>
      </c>
      <c r="BF103" s="24">
        <f>VLOOKUP(BD103,CENY!$B$11:$G$1034,3,FALSE)</f>
        <v>20</v>
      </c>
      <c r="BG103" s="24"/>
      <c r="BH103" s="25">
        <f>AY64</f>
        <v>0</v>
      </c>
      <c r="BI103" s="451">
        <f t="shared" si="6"/>
        <v>0</v>
      </c>
      <c r="BJ103" s="107">
        <f>VLOOKUP(BD103,CENY!$B$11:$M$2005,12,FALSE)</f>
        <v>223.51</v>
      </c>
      <c r="BK103" s="107">
        <f t="shared" si="7"/>
        <v>0</v>
      </c>
    </row>
    <row r="104" spans="47:63">
      <c r="AU104" s="22"/>
      <c r="AV104" s="23"/>
      <c r="AW104" s="24"/>
      <c r="AX104" s="24"/>
      <c r="AY104" s="25"/>
      <c r="AZ104" s="451" t="str">
        <f t="shared" si="5"/>
        <v/>
      </c>
      <c r="BA104" s="107"/>
      <c r="BB104" s="107" t="str">
        <f t="shared" si="4"/>
        <v/>
      </c>
      <c r="BD104" s="441"/>
      <c r="BE104" s="23"/>
      <c r="BF104" s="24"/>
      <c r="BG104" s="24"/>
      <c r="BH104" s="25"/>
      <c r="BI104" s="451" t="str">
        <f t="shared" si="6"/>
        <v/>
      </c>
      <c r="BJ104" s="107"/>
      <c r="BK104" s="107" t="str">
        <f t="shared" si="7"/>
        <v/>
      </c>
    </row>
    <row r="105" spans="47:63">
      <c r="AU105" s="22"/>
      <c r="AV105" s="23"/>
      <c r="AW105" s="24"/>
      <c r="AX105" s="24"/>
      <c r="AY105" s="25"/>
      <c r="AZ105" s="451" t="str">
        <f t="shared" si="5"/>
        <v/>
      </c>
      <c r="BA105" s="107"/>
      <c r="BB105" s="107" t="str">
        <f t="shared" si="4"/>
        <v/>
      </c>
      <c r="BD105" s="441">
        <f>OBJ!B351</f>
        <v>9219966</v>
      </c>
      <c r="BE105" s="23" t="str">
        <f>VLOOKUP(BD105,CENY!$B$11:$G$1034,2,FALSE)</f>
        <v>PUSH TO OPEN SYNCHRO ADAPTÉR TYP A</v>
      </c>
      <c r="BF105" s="24">
        <f>VLOOKUP(BD105,CENY!$B$11:$G$1034,3,FALSE)</f>
        <v>200</v>
      </c>
      <c r="BG105" s="24"/>
      <c r="BH105" s="25">
        <f>AY66</f>
        <v>0</v>
      </c>
      <c r="BI105" s="451">
        <f t="shared" si="6"/>
        <v>0</v>
      </c>
      <c r="BJ105" s="107">
        <f>VLOOKUP(BD105,CENY!$B$11:$M$2005,12,FALSE)</f>
        <v>13.07</v>
      </c>
      <c r="BK105" s="107">
        <f t="shared" si="7"/>
        <v>0</v>
      </c>
    </row>
    <row r="106" spans="47:63">
      <c r="AU106" s="22"/>
      <c r="AV106" s="23"/>
      <c r="AW106" s="24"/>
      <c r="AX106" s="24"/>
      <c r="AY106" s="25"/>
      <c r="AZ106" s="451" t="str">
        <f t="shared" si="5"/>
        <v/>
      </c>
      <c r="BA106" s="107"/>
      <c r="BB106" s="107" t="str">
        <f t="shared" si="4"/>
        <v/>
      </c>
      <c r="BD106" s="441"/>
      <c r="BE106" s="23"/>
      <c r="BF106" s="24"/>
      <c r="BG106" s="24"/>
      <c r="BH106" s="25"/>
      <c r="BI106" s="451" t="str">
        <f t="shared" si="6"/>
        <v/>
      </c>
      <c r="BJ106" s="107"/>
      <c r="BK106" s="107" t="str">
        <f t="shared" si="7"/>
        <v/>
      </c>
    </row>
    <row r="107" spans="47:63">
      <c r="AU107" s="22"/>
      <c r="AV107" s="23"/>
      <c r="AW107" s="24"/>
      <c r="AX107" s="24"/>
      <c r="AY107" s="25"/>
      <c r="AZ107" s="451" t="str">
        <f t="shared" si="5"/>
        <v/>
      </c>
      <c r="BA107" s="107"/>
      <c r="BB107" s="107" t="str">
        <f t="shared" si="4"/>
        <v/>
      </c>
      <c r="BD107" s="441">
        <f>OBJ!B207</f>
        <v>0</v>
      </c>
      <c r="BE107" s="23" t="e">
        <f>VLOOKUP(BD107,CENY!$B$11:$G$1034,2,FALSE)</f>
        <v>#N/A</v>
      </c>
      <c r="BF107" s="24" t="e">
        <f>VLOOKUP(BD107,CENY!$B$11:$G$1034,3,FALSE)</f>
        <v>#N/A</v>
      </c>
      <c r="BG107" s="24"/>
      <c r="BH107" s="25">
        <f>AY70</f>
        <v>0</v>
      </c>
      <c r="BI107" s="451">
        <f t="shared" si="6"/>
        <v>0</v>
      </c>
      <c r="BJ107" s="449" t="str">
        <f>IF(BD107=0,"",VLOOKUP(BD107,CENY!$B$11:$M$2005,12,FALSE))</f>
        <v/>
      </c>
      <c r="BK107" s="107" t="str">
        <f t="shared" si="7"/>
        <v/>
      </c>
    </row>
    <row r="108" spans="47:63">
      <c r="AU108" s="22"/>
      <c r="AV108" s="23"/>
      <c r="AW108" s="24"/>
      <c r="AX108" s="24"/>
      <c r="AY108" s="25"/>
      <c r="AZ108" s="451" t="str">
        <f t="shared" si="5"/>
        <v/>
      </c>
      <c r="BA108" s="107"/>
      <c r="BB108" s="107" t="str">
        <f t="shared" si="4"/>
        <v/>
      </c>
      <c r="BD108" s="441"/>
      <c r="BE108" s="23"/>
      <c r="BF108" s="24"/>
      <c r="BG108" s="24"/>
      <c r="BH108" s="25"/>
      <c r="BI108" s="451" t="str">
        <f t="shared" si="6"/>
        <v/>
      </c>
      <c r="BJ108" s="107"/>
      <c r="BK108" s="107" t="str">
        <f t="shared" si="7"/>
        <v/>
      </c>
    </row>
    <row r="109" spans="47:63">
      <c r="AU109" s="441">
        <f>OBJ!B354</f>
        <v>45167</v>
      </c>
      <c r="AV109" s="23" t="str">
        <f>VLOOKUP(AU109,CENY!$B$11:$G$1034,2,FALSE)</f>
        <v>VRUT PANHEAD 35X12</v>
      </c>
      <c r="AW109" s="24">
        <f>VLOOKUP(AU109,CENY!$B$11:$G$1034,3,FALSE)</f>
        <v>200</v>
      </c>
      <c r="AX109" s="24"/>
      <c r="AY109" s="25">
        <f>SUMPRODUCT(AX5:AX11,AY5:AY11)</f>
        <v>0</v>
      </c>
      <c r="AZ109" s="451">
        <f t="shared" si="5"/>
        <v>0</v>
      </c>
      <c r="BA109" s="107">
        <f>VLOOKUP(AU109,CENY!$B$11:$M$2005,12,FALSE)</f>
        <v>0.54</v>
      </c>
      <c r="BB109" s="107">
        <f t="shared" si="4"/>
        <v>0</v>
      </c>
      <c r="BC109" s="97" t="s">
        <v>506</v>
      </c>
      <c r="BD109" s="441">
        <f>OBJ!B354</f>
        <v>45167</v>
      </c>
      <c r="BE109" s="23" t="str">
        <f>VLOOKUP(BD109,CENY!$B$11:$G$1034,2,FALSE)</f>
        <v>VRUT PANHEAD 35X12</v>
      </c>
      <c r="BF109" s="24">
        <f>VLOOKUP(BD109,CENY!$B$11:$G$1034,3,FALSE)</f>
        <v>200</v>
      </c>
      <c r="BG109" s="24"/>
      <c r="BH109" s="25">
        <f>AY109+BH21*2</f>
        <v>0</v>
      </c>
      <c r="BI109" s="451">
        <f>IF(BH109="","",IF($AW$4=0,BH109,0))</f>
        <v>0</v>
      </c>
      <c r="BJ109" s="107">
        <f>VLOOKUP(BD109,CENY!$B$11:$M$2005,12,FALSE)</f>
        <v>0.54</v>
      </c>
      <c r="BK109" s="107">
        <f>IF(BJ109="","",BJ109*BH109)</f>
        <v>0</v>
      </c>
    </row>
    <row r="110" spans="47:63">
      <c r="AU110" s="441">
        <f>OBJ!B355</f>
        <v>45168</v>
      </c>
      <c r="AV110" s="23" t="str">
        <f>VLOOKUP(AU110,CENY!$B$11:$G$1034,2,FALSE)</f>
        <v>VRUT PANHEAD 35X20</v>
      </c>
      <c r="AW110" s="24">
        <f>VLOOKUP(AU110,CENY!$B$11:$G$1034,3,FALSE)</f>
        <v>200</v>
      </c>
      <c r="AX110" s="24"/>
      <c r="AY110" s="497">
        <v>0</v>
      </c>
      <c r="AZ110" s="451">
        <f t="shared" si="5"/>
        <v>0</v>
      </c>
      <c r="BA110" s="107">
        <f>VLOOKUP(AU110,CENY!$B$11:$M$2005,12,FALSE)</f>
        <v>0.78</v>
      </c>
      <c r="BB110" s="107">
        <f t="shared" si="4"/>
        <v>0</v>
      </c>
      <c r="BC110" s="97" t="s">
        <v>507</v>
      </c>
      <c r="BD110" s="441">
        <f>OBJ!B355</f>
        <v>45168</v>
      </c>
      <c r="BE110" s="23" t="str">
        <f>VLOOKUP(BD110,CENY!$B$11:$G$1034,2,FALSE)</f>
        <v>VRUT PANHEAD 35X20</v>
      </c>
      <c r="BF110" s="24">
        <f>VLOOKUP(BD110,CENY!$B$11:$G$1034,3,FALSE)</f>
        <v>200</v>
      </c>
      <c r="BG110" s="24"/>
      <c r="BH110" s="497">
        <f>IF(FORM!$AM$8=FORM!$AU$10,BH20*3,0)</f>
        <v>0</v>
      </c>
      <c r="BI110" s="451">
        <f>IF(BH110="","",IF($AW$4=0,BH110,0))</f>
        <v>0</v>
      </c>
      <c r="BJ110" s="107">
        <f>VLOOKUP(BD110,CENY!$B$11:$M$2005,12,FALSE)</f>
        <v>0.78</v>
      </c>
      <c r="BK110" s="107">
        <f>IF(BJ110="","",BJ110*BH110)</f>
        <v>0</v>
      </c>
    </row>
    <row r="111" spans="47:63">
      <c r="AU111" s="441">
        <f>OBJ!B356</f>
        <v>9278224</v>
      </c>
      <c r="AV111" s="23" t="str">
        <f>VLOOKUP(AU111,CENY!$B$11:$G$1034,2,FALSE)</f>
        <v>AVANTECH YOU VRUT 3,5X30 PANHEAD POZINK.</v>
      </c>
      <c r="AW111" s="24">
        <f>VLOOKUP(AU111,CENY!$B$11:$G$1034,3,FALSE)</f>
        <v>200</v>
      </c>
      <c r="AX111" s="24"/>
      <c r="AY111" s="497">
        <v>0</v>
      </c>
      <c r="AZ111" s="451">
        <f t="shared" si="5"/>
        <v>0</v>
      </c>
      <c r="BA111" s="107">
        <f>VLOOKUP(AU111,CENY!$B$11:$M$2005,12,FALSE)</f>
        <v>0.73</v>
      </c>
      <c r="BB111" s="107">
        <f t="shared" si="4"/>
        <v>0</v>
      </c>
      <c r="BC111" s="97" t="s">
        <v>508</v>
      </c>
      <c r="BD111" s="441">
        <f>OBJ!B356</f>
        <v>9278224</v>
      </c>
      <c r="BE111" s="23" t="str">
        <f>VLOOKUP(BD111,CENY!$B$11:$G$1034,2,FALSE)</f>
        <v>AVANTECH YOU VRUT 3,5X30 PANHEAD POZINK.</v>
      </c>
      <c r="BF111" s="24">
        <f>VLOOKUP(BD111,CENY!$B$11:$G$1034,3,FALSE)</f>
        <v>200</v>
      </c>
      <c r="BG111" s="24"/>
      <c r="BH111" s="497">
        <f>2*SUM(BH5:BH18)</f>
        <v>0</v>
      </c>
      <c r="BI111" s="451">
        <f>IF(BH111="","",IF($AW$4=0,BH111,0))</f>
        <v>0</v>
      </c>
      <c r="BJ111" s="107">
        <f>VLOOKUP(BD111,CENY!$B$11:$M$2005,12,FALSE)</f>
        <v>0.73</v>
      </c>
      <c r="BK111" s="107">
        <f>IF(BJ111="","",BJ111*BH111)</f>
        <v>0</v>
      </c>
    </row>
    <row r="112" spans="47:63">
      <c r="AU112" s="441">
        <f>OBJ!B357</f>
        <v>9279197</v>
      </c>
      <c r="AV112" s="23" t="str">
        <f>VLOOKUP(AU112,CENY!$B$11:$G$1034,2,FALSE)</f>
        <v>SAMOŘEZNÝ ŠROUB 3,5X12 PANHEAD POZINK.</v>
      </c>
      <c r="AW112" s="24">
        <f>VLOOKUP(AU112,CENY!$B$11:$G$1034,3,FALSE)</f>
        <v>1000</v>
      </c>
      <c r="AX112" s="24"/>
      <c r="AY112" s="77">
        <v>0</v>
      </c>
      <c r="AZ112" s="451">
        <f t="shared" si="5"/>
        <v>0</v>
      </c>
      <c r="BA112" s="107">
        <f>VLOOKUP(AU112,CENY!$B$11:$M$2005,12,FALSE)</f>
        <v>1.51</v>
      </c>
      <c r="BB112" s="107">
        <f t="shared" si="4"/>
        <v>0</v>
      </c>
      <c r="BC112" s="97" t="s">
        <v>509</v>
      </c>
      <c r="BD112" s="441">
        <f>OBJ!B357</f>
        <v>9279197</v>
      </c>
      <c r="BE112" s="23" t="str">
        <f>VLOOKUP(BD112,CENY!$B$11:$G$1034,2,FALSE)</f>
        <v>SAMOŘEZNÝ ŠROUB 3,5X12 PANHEAD POZINK.</v>
      </c>
      <c r="BF112" s="24">
        <f>VLOOKUP(BD112,CENY!$B$11:$G$1034,3,FALSE)</f>
        <v>1000</v>
      </c>
      <c r="BG112" s="24"/>
      <c r="BH112" s="77">
        <f>AY112</f>
        <v>0</v>
      </c>
      <c r="BI112" s="451">
        <f>IF(BH112="","",IF($AW$4=0,BH112,0))</f>
        <v>0</v>
      </c>
      <c r="BJ112" s="107">
        <f>VLOOKUP(BD112,CENY!$B$11:$M$2005,12,FALSE)</f>
        <v>1.51</v>
      </c>
      <c r="BK112" s="107">
        <f>IF(BJ112="","",BJ112*BH112)</f>
        <v>0</v>
      </c>
    </row>
    <row r="113" spans="47:63">
      <c r="AU113" s="441">
        <f>OBJ!B358</f>
        <v>9137114</v>
      </c>
      <c r="AV113" s="23" t="str">
        <f>VLOOKUP(AU113,CENY!$B$11:$G$1034,2,FALSE)</f>
        <v>EUROŠROUB DBS 60 X 14</v>
      </c>
      <c r="AW113" s="24">
        <f>VLOOKUP(AU113,CENY!$B$11:$G$1034,3,FALSE)</f>
        <v>200</v>
      </c>
      <c r="AX113" s="24"/>
      <c r="AY113" s="25">
        <f>SUMPRODUCT(AX21:AX64,AY21:AY64)</f>
        <v>0</v>
      </c>
      <c r="AZ113" s="451">
        <f t="shared" si="5"/>
        <v>0</v>
      </c>
      <c r="BA113" s="107">
        <f>VLOOKUP(AU113,CENY!$B$11:$M$2005,12,FALSE)</f>
        <v>1.2</v>
      </c>
      <c r="BB113" s="107">
        <f>IF(BA113="","",BA113*AY113)</f>
        <v>0</v>
      </c>
      <c r="BC113" s="97" t="s">
        <v>510</v>
      </c>
      <c r="BD113" s="441">
        <f>OBJ!B358</f>
        <v>9137114</v>
      </c>
      <c r="BE113" s="23" t="str">
        <f>VLOOKUP(BD113,CENY!$B$11:$G$1034,2,FALSE)</f>
        <v>EUROŠROUB DBS 60 X 14</v>
      </c>
      <c r="BF113" s="24">
        <f>VLOOKUP(BD113,CENY!$B$11:$G$1034,3,FALSE)</f>
        <v>200</v>
      </c>
      <c r="BG113" s="24"/>
      <c r="BH113" s="25">
        <f>AY113</f>
        <v>0</v>
      </c>
      <c r="BI113" s="451">
        <f>IF(BH113="","",IF($AW$4=0,BH113,0))</f>
        <v>0</v>
      </c>
      <c r="BJ113" s="107">
        <f>VLOOKUP(BD113,CENY!$B$11:$M$2005,12,FALSE)</f>
        <v>1.2</v>
      </c>
      <c r="BK113" s="107">
        <f>IF(BJ113="","",BJ113*BH113)</f>
        <v>0</v>
      </c>
    </row>
    <row r="114" spans="47:63">
      <c r="AU114" s="22"/>
      <c r="AV114" s="23"/>
      <c r="AW114" s="24"/>
      <c r="AX114" s="24"/>
      <c r="AY114" s="25"/>
      <c r="AZ114" s="451" t="str">
        <f>IF(AY114="","",IF($AW$4=1,AY114,0))</f>
        <v/>
      </c>
      <c r="BA114" s="107"/>
      <c r="BB114" s="107" t="str">
        <f>IF(BA114="","",BA114*AY114)</f>
        <v/>
      </c>
      <c r="BD114" s="441"/>
      <c r="BE114" s="23"/>
      <c r="BF114" s="24"/>
      <c r="BG114" s="24"/>
      <c r="BH114" s="25"/>
      <c r="BI114" s="451" t="str">
        <f t="shared" si="6"/>
        <v/>
      </c>
      <c r="BJ114" s="107"/>
      <c r="BK114" s="107" t="str">
        <f t="shared" si="7"/>
        <v/>
      </c>
    </row>
    <row r="115" spans="47:63">
      <c r="AU115" s="22"/>
      <c r="AV115" s="23"/>
      <c r="AW115" s="24"/>
      <c r="AX115" s="24"/>
      <c r="AY115" s="25"/>
      <c r="AZ115" s="451" t="str">
        <f>IF(AY115="","",IF($AW$4=1,AY115,0))</f>
        <v/>
      </c>
      <c r="BA115" s="107"/>
      <c r="BB115" s="107" t="str">
        <f>IF(BA115="","",BA115*AY115)</f>
        <v/>
      </c>
      <c r="BD115" s="441"/>
      <c r="BE115" s="23"/>
      <c r="BF115" s="24"/>
      <c r="BG115" s="24"/>
      <c r="BH115" s="25"/>
      <c r="BI115" s="451" t="str">
        <f t="shared" si="6"/>
        <v/>
      </c>
      <c r="BJ115" s="107"/>
      <c r="BK115" s="107" t="str">
        <f t="shared" si="7"/>
        <v/>
      </c>
    </row>
    <row r="116" spans="47:63">
      <c r="BD116" s="441"/>
      <c r="BE116" s="23"/>
      <c r="BF116" s="24"/>
      <c r="BG116" s="24"/>
      <c r="BH116" s="25"/>
      <c r="BI116" s="451" t="str">
        <f>IF(BH116="","",IF($AW$4=0,BH116,0))</f>
        <v/>
      </c>
      <c r="BJ116" s="107"/>
      <c r="BK116" s="107" t="str">
        <f>IF(BJ116="","",BJ116*BH116)</f>
        <v/>
      </c>
    </row>
    <row r="117" spans="47:63">
      <c r="BD117" s="441"/>
      <c r="BE117" s="23"/>
      <c r="BF117" s="24"/>
      <c r="BG117" s="24"/>
      <c r="BH117" s="25"/>
      <c r="BI117" s="451" t="str">
        <f>IF(BH117="","",IF($AW$4=0,BH117,0))</f>
        <v/>
      </c>
      <c r="BJ117" s="107"/>
      <c r="BK117" s="107" t="str">
        <f>IF(BJ117="","",BJ117*BH117)</f>
        <v/>
      </c>
    </row>
  </sheetData>
  <sheetProtection password="DD97" sheet="1"/>
  <mergeCells count="106">
    <mergeCell ref="B10:E10"/>
    <mergeCell ref="F10:K10"/>
    <mergeCell ref="B11:E11"/>
    <mergeCell ref="AO2:AR2"/>
    <mergeCell ref="B6:E6"/>
    <mergeCell ref="F6:K6"/>
    <mergeCell ref="B7:E7"/>
    <mergeCell ref="F7:K7"/>
    <mergeCell ref="B12:E12"/>
    <mergeCell ref="AA2:AE2"/>
    <mergeCell ref="AI2:AM2"/>
    <mergeCell ref="B8:E8"/>
    <mergeCell ref="F8:K8"/>
    <mergeCell ref="B2:E2"/>
    <mergeCell ref="G2:K2"/>
    <mergeCell ref="O2:S2"/>
    <mergeCell ref="U2:Y2"/>
    <mergeCell ref="B9:E9"/>
    <mergeCell ref="F9:K9"/>
    <mergeCell ref="AI17:AO17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I18:AO18"/>
    <mergeCell ref="AN19:AO19"/>
    <mergeCell ref="B20:G20"/>
    <mergeCell ref="H20:L20"/>
    <mergeCell ref="M20:N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N20:AO20"/>
    <mergeCell ref="AN21:AO21"/>
    <mergeCell ref="B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N22:AO22"/>
    <mergeCell ref="AN27:AO27"/>
    <mergeCell ref="AC28:AD28"/>
    <mergeCell ref="AN28:AO28"/>
    <mergeCell ref="B28:G28"/>
    <mergeCell ref="H28:L28"/>
    <mergeCell ref="M28:N28"/>
    <mergeCell ref="Q28:R28"/>
    <mergeCell ref="S28:T28"/>
    <mergeCell ref="AI25:AO25"/>
    <mergeCell ref="O26:P26"/>
    <mergeCell ref="Q26:R26"/>
    <mergeCell ref="S26:T26"/>
    <mergeCell ref="U26:V26"/>
    <mergeCell ref="W26:X26"/>
    <mergeCell ref="Y26:Z26"/>
    <mergeCell ref="AA26:AB26"/>
    <mergeCell ref="AC26:AD26"/>
    <mergeCell ref="AI26:AO26"/>
    <mergeCell ref="AN29:AO29"/>
    <mergeCell ref="B30:G30"/>
    <mergeCell ref="H30:L30"/>
    <mergeCell ref="M30:N30"/>
    <mergeCell ref="Q30:R30"/>
    <mergeCell ref="S30:T30"/>
    <mergeCell ref="U30:V30"/>
    <mergeCell ref="W30:X30"/>
    <mergeCell ref="Y30:Z30"/>
    <mergeCell ref="AA30:AB30"/>
    <mergeCell ref="AC30:AD30"/>
    <mergeCell ref="B13:E13"/>
    <mergeCell ref="F13:I13"/>
    <mergeCell ref="J13:K13"/>
    <mergeCell ref="F11:K11"/>
    <mergeCell ref="F12:K12"/>
    <mergeCell ref="U28:V28"/>
    <mergeCell ref="W28:X28"/>
    <mergeCell ref="Y28:Z28"/>
    <mergeCell ref="AA28:AB28"/>
    <mergeCell ref="B27:G27"/>
    <mergeCell ref="H27:L27"/>
    <mergeCell ref="M27:N27"/>
    <mergeCell ref="Q27:R27"/>
    <mergeCell ref="S27:T27"/>
    <mergeCell ref="B19:G19"/>
    <mergeCell ref="H19:L19"/>
    <mergeCell ref="M19:N19"/>
    <mergeCell ref="Q19:R19"/>
    <mergeCell ref="S19:T19"/>
    <mergeCell ref="O17:AF17"/>
  </mergeCells>
  <conditionalFormatting sqref="AY15:AY20 BH30 AY23 AY25:AY36 AY38:AY42 BH35 BH37:BH42 BH44:BH59 BH65:BH70 BH72:BH76 BH78:BH83 BH85 BH5:BH22 AY5:AY13 AZ114:AZ115 AZ6:AZ108 AY98:AY108 BH108 BI6:BI108">
    <cfRule type="cellIs" dxfId="655" priority="64" stopIfTrue="1" operator="equal">
      <formula>0</formula>
    </cfRule>
  </conditionalFormatting>
  <conditionalFormatting sqref="AY53:AY56 AY67 AY44:AY48 AY50 AY69">
    <cfRule type="cellIs" dxfId="654" priority="61" stopIfTrue="1" operator="equal">
      <formula>0</formula>
    </cfRule>
  </conditionalFormatting>
  <conditionalFormatting sqref="O17:AF17 Q19:T19 Q20:AD20 W22:AD22 Q27:T27 Q28:AD28 Q30:AD30">
    <cfRule type="expression" dxfId="653" priority="63" stopIfTrue="1">
      <formula>$AW$4=0</formula>
    </cfRule>
  </conditionalFormatting>
  <conditionalFormatting sqref="AY43">
    <cfRule type="cellIs" dxfId="652" priority="34" stopIfTrue="1" operator="equal">
      <formula>0</formula>
    </cfRule>
  </conditionalFormatting>
  <conditionalFormatting sqref="AY76 AY82:AY83">
    <cfRule type="cellIs" dxfId="651" priority="60" stopIfTrue="1" operator="equal">
      <formula>0</formula>
    </cfRule>
  </conditionalFormatting>
  <conditionalFormatting sqref="AY84">
    <cfRule type="cellIs" dxfId="650" priority="59" stopIfTrue="1" operator="equal">
      <formula>0</formula>
    </cfRule>
  </conditionalFormatting>
  <conditionalFormatting sqref="AY88:AY97">
    <cfRule type="cellIs" dxfId="649" priority="58" stopIfTrue="1" operator="equal">
      <formula>0</formula>
    </cfRule>
  </conditionalFormatting>
  <conditionalFormatting sqref="AY51:AY52">
    <cfRule type="cellIs" dxfId="648" priority="56" stopIfTrue="1" operator="equal">
      <formula>0</formula>
    </cfRule>
  </conditionalFormatting>
  <conditionalFormatting sqref="AY57:AY61 AY63">
    <cfRule type="cellIs" dxfId="647" priority="55" stopIfTrue="1" operator="equal">
      <formula>0</formula>
    </cfRule>
  </conditionalFormatting>
  <conditionalFormatting sqref="AY71:AY73">
    <cfRule type="cellIs" dxfId="646" priority="54" stopIfTrue="1" operator="equal">
      <formula>0</formula>
    </cfRule>
  </conditionalFormatting>
  <conditionalFormatting sqref="AY74">
    <cfRule type="cellIs" dxfId="645" priority="53" stopIfTrue="1" operator="equal">
      <formula>0</formula>
    </cfRule>
  </conditionalFormatting>
  <conditionalFormatting sqref="AY75">
    <cfRule type="cellIs" dxfId="644" priority="52" stopIfTrue="1" operator="equal">
      <formula>0</formula>
    </cfRule>
  </conditionalFormatting>
  <conditionalFormatting sqref="AY85:AY87">
    <cfRule type="cellIs" dxfId="643" priority="50" stopIfTrue="1" operator="equal">
      <formula>0</formula>
    </cfRule>
  </conditionalFormatting>
  <conditionalFormatting sqref="BH102:BH104 BH106">
    <cfRule type="cellIs" dxfId="642" priority="49" stopIfTrue="1" operator="equal">
      <formula>0</formula>
    </cfRule>
  </conditionalFormatting>
  <conditionalFormatting sqref="BH114:BH117">
    <cfRule type="cellIs" dxfId="641" priority="48" stopIfTrue="1" operator="equal">
      <formula>0</formula>
    </cfRule>
  </conditionalFormatting>
  <conditionalFormatting sqref="AY114:AY115">
    <cfRule type="cellIs" dxfId="640" priority="47" stopIfTrue="1" operator="equal">
      <formula>0</formula>
    </cfRule>
  </conditionalFormatting>
  <conditionalFormatting sqref="AY64:AY65">
    <cfRule type="cellIs" dxfId="639" priority="46" stopIfTrue="1" operator="equal">
      <formula>0</formula>
    </cfRule>
  </conditionalFormatting>
  <conditionalFormatting sqref="BH86:BH100">
    <cfRule type="cellIs" dxfId="638" priority="45" stopIfTrue="1" operator="equal">
      <formula>0</formula>
    </cfRule>
  </conditionalFormatting>
  <conditionalFormatting sqref="BH107">
    <cfRule type="cellIs" dxfId="637" priority="44" stopIfTrue="1" operator="equal">
      <formula>0</formula>
    </cfRule>
  </conditionalFormatting>
  <conditionalFormatting sqref="BH27">
    <cfRule type="cellIs" dxfId="636" priority="25" stopIfTrue="1" operator="equal">
      <formula>0</formula>
    </cfRule>
  </conditionalFormatting>
  <conditionalFormatting sqref="AY14">
    <cfRule type="cellIs" dxfId="635" priority="38" stopIfTrue="1" operator="equal">
      <formula>0</formula>
    </cfRule>
  </conditionalFormatting>
  <conditionalFormatting sqref="AY21:AY22">
    <cfRule type="cellIs" dxfId="634" priority="37" stopIfTrue="1" operator="equal">
      <formula>0</formula>
    </cfRule>
  </conditionalFormatting>
  <conditionalFormatting sqref="AY24">
    <cfRule type="cellIs" dxfId="633" priority="36" stopIfTrue="1" operator="equal">
      <formula>0</formula>
    </cfRule>
  </conditionalFormatting>
  <conditionalFormatting sqref="AY37">
    <cfRule type="cellIs" dxfId="632" priority="35" stopIfTrue="1" operator="equal">
      <formula>0</formula>
    </cfRule>
  </conditionalFormatting>
  <conditionalFormatting sqref="AY49">
    <cfRule type="cellIs" dxfId="631" priority="33" stopIfTrue="1" operator="equal">
      <formula>0</formula>
    </cfRule>
  </conditionalFormatting>
  <conditionalFormatting sqref="AY62">
    <cfRule type="cellIs" dxfId="630" priority="32" stopIfTrue="1" operator="equal">
      <formula>0</formula>
    </cfRule>
  </conditionalFormatting>
  <conditionalFormatting sqref="AY66">
    <cfRule type="cellIs" dxfId="629" priority="31" stopIfTrue="1" operator="equal">
      <formula>0</formula>
    </cfRule>
  </conditionalFormatting>
  <conditionalFormatting sqref="AY68">
    <cfRule type="cellIs" dxfId="628" priority="30" stopIfTrue="1" operator="equal">
      <formula>0</formula>
    </cfRule>
  </conditionalFormatting>
  <conditionalFormatting sqref="AY70">
    <cfRule type="cellIs" dxfId="627" priority="29" stopIfTrue="1" operator="equal">
      <formula>0</formula>
    </cfRule>
  </conditionalFormatting>
  <conditionalFormatting sqref="AY77:AY81">
    <cfRule type="cellIs" dxfId="626" priority="28" stopIfTrue="1" operator="equal">
      <formula>0</formula>
    </cfRule>
  </conditionalFormatting>
  <conditionalFormatting sqref="F13:K13">
    <cfRule type="expression" dxfId="625" priority="27" stopIfTrue="1">
      <formula>$AW$4=1</formula>
    </cfRule>
  </conditionalFormatting>
  <conditionalFormatting sqref="BH23:BH26">
    <cfRule type="cellIs" dxfId="624" priority="26" stopIfTrue="1" operator="equal">
      <formula>0</formula>
    </cfRule>
  </conditionalFormatting>
  <conditionalFormatting sqref="BH28">
    <cfRule type="cellIs" dxfId="623" priority="24" stopIfTrue="1" operator="equal">
      <formula>0</formula>
    </cfRule>
  </conditionalFormatting>
  <conditionalFormatting sqref="BH29">
    <cfRule type="cellIs" dxfId="622" priority="23" stopIfTrue="1" operator="equal">
      <formula>0</formula>
    </cfRule>
  </conditionalFormatting>
  <conditionalFormatting sqref="BH31:BH34">
    <cfRule type="cellIs" dxfId="621" priority="22" stopIfTrue="1" operator="equal">
      <formula>0</formula>
    </cfRule>
  </conditionalFormatting>
  <conditionalFormatting sqref="BH36">
    <cfRule type="cellIs" dxfId="620" priority="21" stopIfTrue="1" operator="equal">
      <formula>0</formula>
    </cfRule>
  </conditionalFormatting>
  <conditionalFormatting sqref="BH43">
    <cfRule type="cellIs" dxfId="619" priority="20" stopIfTrue="1" operator="equal">
      <formula>0</formula>
    </cfRule>
  </conditionalFormatting>
  <conditionalFormatting sqref="BH60">
    <cfRule type="cellIs" dxfId="618" priority="19" stopIfTrue="1" operator="equal">
      <formula>0</formula>
    </cfRule>
  </conditionalFormatting>
  <conditionalFormatting sqref="BH61:BH64">
    <cfRule type="cellIs" dxfId="617" priority="18" stopIfTrue="1" operator="equal">
      <formula>0</formula>
    </cfRule>
  </conditionalFormatting>
  <conditionalFormatting sqref="BH71">
    <cfRule type="cellIs" dxfId="616" priority="17" stopIfTrue="1" operator="equal">
      <formula>0</formula>
    </cfRule>
  </conditionalFormatting>
  <conditionalFormatting sqref="BH77">
    <cfRule type="cellIs" dxfId="615" priority="16" stopIfTrue="1" operator="equal">
      <formula>0</formula>
    </cfRule>
  </conditionalFormatting>
  <conditionalFormatting sqref="BH84">
    <cfRule type="cellIs" dxfId="614" priority="15" stopIfTrue="1" operator="equal">
      <formula>0</formula>
    </cfRule>
  </conditionalFormatting>
  <conditionalFormatting sqref="BH101">
    <cfRule type="cellIs" dxfId="613" priority="14" stopIfTrue="1" operator="equal">
      <formula>0</formula>
    </cfRule>
  </conditionalFormatting>
  <conditionalFormatting sqref="BH105">
    <cfRule type="cellIs" dxfId="612" priority="13" stopIfTrue="1" operator="equal">
      <formula>0</formula>
    </cfRule>
  </conditionalFormatting>
  <conditionalFormatting sqref="AZ5">
    <cfRule type="cellIs" dxfId="611" priority="11" stopIfTrue="1" operator="equal">
      <formula>0</formula>
    </cfRule>
  </conditionalFormatting>
  <conditionalFormatting sqref="BI5">
    <cfRule type="cellIs" dxfId="610" priority="10" stopIfTrue="1" operator="equal">
      <formula>0</formula>
    </cfRule>
  </conditionalFormatting>
  <conditionalFormatting sqref="BI114:BI117">
    <cfRule type="cellIs" dxfId="609" priority="8" stopIfTrue="1" operator="equal">
      <formula>0</formula>
    </cfRule>
  </conditionalFormatting>
  <conditionalFormatting sqref="AZ109:AZ113">
    <cfRule type="cellIs" dxfId="608" priority="7" stopIfTrue="1" operator="equal">
      <formula>0</formula>
    </cfRule>
  </conditionalFormatting>
  <conditionalFormatting sqref="AY109:AY113">
    <cfRule type="cellIs" dxfId="607" priority="6" stopIfTrue="1" operator="equal">
      <formula>0</formula>
    </cfRule>
  </conditionalFormatting>
  <conditionalFormatting sqref="BH109 BH112:BH113">
    <cfRule type="cellIs" dxfId="606" priority="5" stopIfTrue="1" operator="equal">
      <formula>0</formula>
    </cfRule>
  </conditionalFormatting>
  <conditionalFormatting sqref="BI109:BI113">
    <cfRule type="cellIs" dxfId="605" priority="4" stopIfTrue="1" operator="equal">
      <formula>0</formula>
    </cfRule>
  </conditionalFormatting>
  <conditionalFormatting sqref="BH110:BH111">
    <cfRule type="cellIs" dxfId="604" priority="3" stopIfTrue="1" operator="equal">
      <formula>0</formula>
    </cfRule>
  </conditionalFormatting>
  <conditionalFormatting sqref="AI17:AO17">
    <cfRule type="expression" dxfId="603" priority="2" stopIfTrue="1">
      <formula>$AW$4=0</formula>
    </cfRule>
  </conditionalFormatting>
  <conditionalFormatting sqref="AI25:AO25">
    <cfRule type="expression" dxfId="602" priority="1" stopIfTrue="1">
      <formula>$AW$4=0</formula>
    </cfRule>
  </conditionalFormatting>
  <hyperlinks>
    <hyperlink ref="M4" location="MENU!A1" display="MENU!A1"/>
    <hyperlink ref="M10" location="OBJ!A1" display="OBJ!A1"/>
    <hyperlink ref="M9" location="suhrn!A1" display="suhrn!A1"/>
    <hyperlink ref="O2:S2" location="MENU!A5" display="MENU!A5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F13:K13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3</vt:i4>
      </vt:variant>
    </vt:vector>
  </HeadingPairs>
  <TitlesOfParts>
    <vt:vector size="33" baseType="lpstr">
      <vt:lpstr>Napoveda</vt:lpstr>
      <vt:lpstr>FORM</vt:lpstr>
      <vt:lpstr>MENU</vt:lpstr>
      <vt:lpstr>MENU-2</vt:lpstr>
      <vt:lpstr>AVT77</vt:lpstr>
      <vt:lpstr>potr-v-R</vt:lpstr>
      <vt:lpstr>potr-ot-R</vt:lpstr>
      <vt:lpstr>AVT101</vt:lpstr>
      <vt:lpstr>AVT139</vt:lpstr>
      <vt:lpstr>AVT187</vt:lpstr>
      <vt:lpstr>AVT251</vt:lpstr>
      <vt:lpstr>AVT187In</vt:lpstr>
      <vt:lpstr>AVT101(vn-A)</vt:lpstr>
      <vt:lpstr>AVT139(vn-A)</vt:lpstr>
      <vt:lpstr>AVT187(vn-A)</vt:lpstr>
      <vt:lpstr>AVT187In(vn-A)</vt:lpstr>
      <vt:lpstr>AVT187(vn-S)</vt:lpstr>
      <vt:lpstr>AVT187In(vn-S)</vt:lpstr>
      <vt:lpstr>AVT-celny-101+187</vt:lpstr>
      <vt:lpstr>AVT-celny-139+187</vt:lpstr>
      <vt:lpstr>AVT-celny-2x187</vt:lpstr>
      <vt:lpstr>AVT-celny-2x187In</vt:lpstr>
      <vt:lpstr>potr-v-DS</vt:lpstr>
      <vt:lpstr>potr-ot-DS</vt:lpstr>
      <vt:lpstr>---</vt:lpstr>
      <vt:lpstr>OT440</vt:lpstr>
      <vt:lpstr>...</vt:lpstr>
      <vt:lpstr>OBJ</vt:lpstr>
      <vt:lpstr>verze</vt:lpstr>
      <vt:lpstr>CENY</vt:lpstr>
      <vt:lpstr>MENU!Oblast_tisku</vt:lpstr>
      <vt:lpstr>'MENU-2'!Oblast_tisku</vt:lpstr>
      <vt:lpstr>OBJ!Oblast_tisku</vt:lpstr>
    </vt:vector>
  </TitlesOfParts>
  <Company>Hettich ČR k.s.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Kopenec</dc:creator>
  <cp:lastModifiedBy>Hein Ladislav</cp:lastModifiedBy>
  <cp:lastPrinted>2020-10-19T14:24:12Z</cp:lastPrinted>
  <dcterms:created xsi:type="dcterms:W3CDTF">2016-01-02T18:34:54Z</dcterms:created>
  <dcterms:modified xsi:type="dcterms:W3CDTF">2020-11-11T17:00:06Z</dcterms:modified>
</cp:coreProperties>
</file>